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3"/>
    <sheet state="visible" name="2024" sheetId="2" r:id="rId4"/>
    <sheet state="visible" name="Income" sheetId="3" r:id="rId5"/>
    <sheet state="visible" name="Expenses" sheetId="4" r:id="rId6"/>
    <sheet state="visible" name="Historical NW" sheetId="5" r:id="rId7"/>
    <sheet state="visible" name="Net Worth By Asset Class" sheetId="6" r:id="rId8"/>
    <sheet state="visible" name="Income And Expenses" sheetId="7" r:id="rId9"/>
    <sheet state="visible" name="2023" sheetId="8" r:id="rId10"/>
    <sheet state="visible" name="2022" sheetId="9" r:id="rId11"/>
    <sheet state="visible" name="2022 Exp - Deprecated" sheetId="10" r:id="rId12"/>
    <sheet state="visible" name="Asset Allocation" sheetId="11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The concat formula takes Cells D201 of THIS sheet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">
      <text>
        <t xml:space="preserve">@1 x € 92,37	 3/01</t>
      </text>
    </comment>
    <comment authorId="0" ref="E4">
      <text>
        <t xml:space="preserve">@1 x € 95,09	 1/02</t>
      </text>
    </comment>
    <comment authorId="0" ref="F4">
      <text>
        <t xml:space="preserve">@1 x € 95,81	 3/03</t>
      </text>
    </comment>
    <comment authorId="0" ref="M4">
      <text>
        <t xml:space="preserve">@1 x € 100.52	 3/10
@1 x € 100.62	 3/10</t>
      </text>
    </comment>
    <comment authorId="0" ref="N4">
      <text>
        <t xml:space="preserve">@2 x € 100.64	 6/11</t>
      </text>
    </comment>
    <comment authorId="0" ref="O4">
      <text>
        <t xml:space="preserve">
</t>
      </text>
    </comment>
    <comment authorId="0" ref="D5">
      <text>
        <t xml:space="preserve">@1 x 10,826 3/01</t>
      </text>
    </comment>
    <comment authorId="0" ref="E12">
      <text>
        <t xml:space="preserve">@1 x € 21.199 1/02</t>
      </text>
    </comment>
    <comment authorId="0" ref="H73">
      <text>
        <t xml:space="preserve">Out GNV (Stipendio, TFR, Ferie ecc)</t>
      </text>
    </comment>
    <comment authorId="0" ref="J73">
      <text>
        <t xml:space="preserve">@ Iliad 1199.24
@ Exelab 899.93</t>
      </text>
    </comment>
    <comment authorId="0" ref="O73">
      <text>
        <t xml:space="preserve">Tredicesima 871.15€
Stipendio 2.763,96€</t>
      </text>
    </comment>
    <comment authorId="0" ref="D79">
      <text>
        <t xml:space="preserve">78.64€ rimborso a vic mese gennaio</t>
      </text>
    </comment>
    <comment authorId="0" ref="E79">
      <text>
        <t xml:space="preserve">227.50€ rimborso airhelp
313.34 rimborso vic febbraio
</t>
      </text>
    </comment>
    <comment authorId="0" ref="F79">
      <text>
        <t xml:space="preserve">157 rimborso vic febbraio</t>
      </text>
    </comment>
    <comment authorId="0" ref="G79">
      <text>
        <t xml:space="preserve"> rimborso aprile</t>
      </text>
    </comment>
    <comment authorId="0" ref="I79">
      <text>
        <t xml:space="preserve">250€ welfare aziendale
370€ regalo ex colleghi GNV</t>
      </text>
    </comment>
    <comment authorId="0" ref="J79">
      <text>
        <t xml:space="preserve">290€ vendita lumix wallapop
70€ schermi</t>
      </text>
    </comment>
    <comment authorId="0" ref="K79">
      <text>
        <t xml:space="preserve">200€ vendita insta 360
70€ scrivania
</t>
      </text>
    </comment>
    <comment authorId="0" ref="L79">
      <text>
        <t xml:space="preserve">TFR Exelab</t>
      </text>
    </comment>
    <comment authorId="0" ref="M79">
      <text>
        <t xml:space="preserve">120€ rimborso amazon</t>
      </text>
    </comment>
    <comment authorId="0" ref="N81">
      <text>
        <t xml:space="preserve">Dividendi 0.33$ ETF Energy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4">
      <text>
        <t xml:space="preserve">2 x 90,67</t>
      </text>
    </comment>
    <comment authorId="0" ref="O5">
      <text>
        <t xml:space="preserve">@6 x 11.05 (22/12)</t>
      </text>
    </comment>
    <comment authorId="0" ref="E75">
      <text>
        <t xml:space="preserve">Fee repetto annuo</t>
      </text>
    </comment>
    <comment authorId="0" ref="G75">
      <text>
        <t xml:space="preserve">750 pasini</t>
      </text>
    </comment>
    <comment authorId="0" ref="E79">
      <text>
        <t xml:space="preserve">350 x Biglietto aereo
700 Vendita Mac
416 Isabella</t>
      </text>
    </comment>
    <comment authorId="0" ref="F79">
      <text>
        <t xml:space="preserve">100€ Macbook pro 2009 venduto
100€ Xbox 
200 Multa
</t>
      </text>
    </comment>
    <comment authorId="0" ref="G79">
      <text>
        <t xml:space="preserve">257 bollette rimborso
200 regalo compleanno</t>
      </text>
    </comment>
    <comment authorId="0" ref="M79">
      <text>
        <t xml:space="preserve">giroconto vic 180€ cena</t>
      </text>
    </comment>
    <comment authorId="0" ref="N79">
      <text>
        <t xml:space="preserve">Airpods max 300
imac 24 950
google rimborso 59.99
rimborso gnv 40
google rimborso 17.99</t>
      </text>
    </comment>
    <comment authorId="0" ref="O79">
      <text>
        <t xml:space="preserve">100€ regalo mamma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8">
      <text>
        <t xml:space="preserve">consider moving this to 40 (but reduce MIN_STOCK to 25%)
or 30%-90% between 10-40 CAPE</t>
      </text>
    </comment>
  </commentList>
</comments>
</file>

<file path=xl/sharedStrings.xml><?xml version="1.0" encoding="utf-8"?>
<sst xmlns="http://schemas.openxmlformats.org/spreadsheetml/2006/main" count="840" uniqueCount="224">
  <si>
    <t>Asset/Liability</t>
  </si>
  <si>
    <t>Cur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</si>
  <si>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</si>
  <si>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</si>
  <si>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</si>
  <si>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</si>
  <si>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</si>
  <si>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</si>
  <si>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</si>
  <si>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</si>
  <si>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</si>
  <si>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</si>
  <si>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</si>
  <si>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</si>
  <si>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</si>
  <si>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2024</t>
  </si>
  <si>
    <t>2024 - Ayoub Expenses - Personal</t>
  </si>
  <si>
    <t>AVG</t>
  </si>
  <si>
    <t>Cast</t>
  </si>
  <si>
    <t>Net Worth</t>
  </si>
  <si>
    <t>Stocks / ETF</t>
  </si>
  <si>
    <t>VT</t>
  </si>
  <si>
    <t>D</t>
  </si>
  <si>
    <t>UCITS</t>
  </si>
  <si>
    <t>3A - 99% Stocks</t>
  </si>
  <si>
    <t>TFR</t>
  </si>
  <si>
    <t>E</t>
  </si>
  <si>
    <t>Bonds</t>
  </si>
  <si>
    <t>Acconto affitto</t>
  </si>
  <si>
    <t>Crypto</t>
  </si>
  <si>
    <t>CRO</t>
  </si>
  <si>
    <t>Bitcoin</t>
  </si>
  <si>
    <t>Cash - Liquidity</t>
  </si>
  <si>
    <t xml:space="preserve">Intesa San Paolo - IO </t>
  </si>
  <si>
    <t>Buddybank</t>
  </si>
  <si>
    <t>Revolut - EUR</t>
  </si>
  <si>
    <t>PayPal - EUR</t>
  </si>
  <si>
    <t>Satispay</t>
  </si>
  <si>
    <t>Degiro</t>
  </si>
  <si>
    <t>Kraken</t>
  </si>
  <si>
    <t>TicketResturant</t>
  </si>
  <si>
    <t>Attijarifa</t>
  </si>
  <si>
    <t>M</t>
  </si>
  <si>
    <t>Cash - EUR</t>
  </si>
  <si>
    <t>Cash - MAD</t>
  </si>
  <si>
    <t>Cash - USD</t>
  </si>
  <si>
    <t>Meta Credit</t>
  </si>
  <si>
    <t>X</t>
  </si>
  <si>
    <t>Amazon Credits</t>
  </si>
  <si>
    <t>Welfare</t>
  </si>
  <si>
    <t>Taxes</t>
  </si>
  <si>
    <t>Tax to Paid 2018</t>
  </si>
  <si>
    <t>Other</t>
  </si>
  <si>
    <t>Amex</t>
  </si>
  <si>
    <t>Buddybank Credit</t>
  </si>
  <si>
    <t>Extras</t>
  </si>
  <si>
    <t>Pillar 1 Pension</t>
  </si>
  <si>
    <t>NW (EUR)</t>
  </si>
  <si>
    <t>NW Change</t>
  </si>
  <si>
    <t>-</t>
  </si>
  <si>
    <t>Change %</t>
  </si>
  <si>
    <t>NW (MAD)</t>
  </si>
  <si>
    <t>NW (USD)</t>
  </si>
  <si>
    <t>NW (BTC)</t>
  </si>
  <si>
    <t>BTC</t>
  </si>
  <si>
    <t>Finance</t>
  </si>
  <si>
    <t>YTD</t>
  </si>
  <si>
    <t>Last M</t>
  </si>
  <si>
    <t>VFAWF</t>
  </si>
  <si>
    <t>IMSIF</t>
  </si>
  <si>
    <t>EURMAD</t>
  </si>
  <si>
    <t>EURUSD</t>
  </si>
  <si>
    <t>USDMAD</t>
  </si>
  <si>
    <t>BTCUSD</t>
  </si>
  <si>
    <t>CROEUR</t>
  </si>
  <si>
    <t>BTCEUR</t>
  </si>
  <si>
    <t>Simple</t>
  </si>
  <si>
    <t>Stocks</t>
  </si>
  <si>
    <t>Cash</t>
  </si>
  <si>
    <t>Cash Flow</t>
  </si>
  <si>
    <t>Employment</t>
  </si>
  <si>
    <t>Mr Salary</t>
  </si>
  <si>
    <t>Entrepreneurship</t>
  </si>
  <si>
    <t>PIVA</t>
  </si>
  <si>
    <t>Affiliate</t>
  </si>
  <si>
    <t>Donations</t>
  </si>
  <si>
    <t>Red Thing</t>
  </si>
  <si>
    <t>Financial</t>
  </si>
  <si>
    <t>Dividends USD</t>
  </si>
  <si>
    <t>Dividends EUR</t>
  </si>
  <si>
    <t>Income</t>
  </si>
  <si>
    <t>Spending</t>
  </si>
  <si>
    <t>Saving</t>
  </si>
  <si>
    <t>%</t>
  </si>
  <si>
    <t>CONSTANTS</t>
  </si>
  <si>
    <t>Year</t>
  </si>
  <si>
    <t>month #</t>
  </si>
  <si>
    <t>Income Type (CHF)</t>
  </si>
  <si>
    <t>Mr Stocks</t>
  </si>
  <si>
    <t>Dividends</t>
  </si>
  <si>
    <t>Rent</t>
  </si>
  <si>
    <t>Total</t>
  </si>
  <si>
    <t>Select Month</t>
  </si>
  <si>
    <t>Category (EUR)</t>
  </si>
  <si>
    <t>Housing</t>
  </si>
  <si>
    <t>Health</t>
  </si>
  <si>
    <t>Groceries</t>
  </si>
  <si>
    <t>Transport</t>
  </si>
  <si>
    <t>Out</t>
  </si>
  <si>
    <t>Travel</t>
  </si>
  <si>
    <t>YouTube</t>
  </si>
  <si>
    <t>Clothing</t>
  </si>
  <si>
    <t>Leisure</t>
  </si>
  <si>
    <t>Gifts</t>
  </si>
  <si>
    <t>Fees</t>
  </si>
  <si>
    <t>OtherExpenses</t>
  </si>
  <si>
    <t>None</t>
  </si>
  <si>
    <t>Total Expenses</t>
  </si>
  <si>
    <t>Pick Expenses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</si>
  <si>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</si>
  <si>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</si>
  <si>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</si>
  <si>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</si>
  <si>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</si>
  <si>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</si>
  <si>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</si>
  <si>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</si>
  <si>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</si>
  <si>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</si>
  <si>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</si>
  <si>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</si>
  <si>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</si>
  <si>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</si>
  <si>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</si>
  <si>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Month</t>
  </si>
  <si>
    <t>EUR</t>
  </si>
  <si>
    <t>USD</t>
  </si>
  <si>
    <t>Asset Class (EUR)</t>
  </si>
  <si>
    <t>Cash &amp; Others &amp; Extras</t>
  </si>
  <si>
    <t>Stocks %</t>
  </si>
  <si>
    <t>Bonds %</t>
  </si>
  <si>
    <t>Crypto %</t>
  </si>
  <si>
    <t>Cash &amp; Others %</t>
  </si>
  <si>
    <t>Extras %</t>
  </si>
  <si>
    <t>CHF</t>
  </si>
  <si>
    <t>Income 12m</t>
  </si>
  <si>
    <t>Expenses</t>
  </si>
  <si>
    <t>Expenses 12m</t>
  </si>
  <si>
    <t>Years of expenses</t>
  </si>
  <si>
    <t>2021 Expenses</t>
  </si>
  <si>
    <t>2022</t>
  </si>
  <si>
    <t>2022 - Ayoub Expenses - Personal</t>
  </si>
  <si>
    <t>Intesa San Paolo</t>
  </si>
  <si>
    <t>2021</t>
  </si>
  <si>
    <t>3A - Mr - FinPension - 1</t>
  </si>
  <si>
    <t>ETH</t>
  </si>
  <si>
    <t xml:space="preserve">Cofidis </t>
  </si>
  <si>
    <t>iPhone 12</t>
  </si>
  <si>
    <t>Other - EUR</t>
  </si>
  <si>
    <t>BIT:INRG</t>
  </si>
  <si>
    <r>
      <rPr>
        <rFont val="arial,sans,sans-serif"/>
        <b/>
        <color rgb="FFFF00FF"/>
        <sz val="18.0"/>
      </rPr>
      <t xml:space="preserve">This sheet is deprecated: check the </t>
    </r>
    <r>
      <rPr>
        <rFont val="arial,sans,sans-serif"/>
        <b/>
        <color rgb="FF1155CC"/>
        <sz val="18.0"/>
        <u/>
      </rPr>
      <t>2022 Ayoub Expenses</t>
    </r>
    <r>
      <rPr>
        <rFont val="arial,sans,sans-serif"/>
        <b/>
        <color rgb="FFFF00FF"/>
        <sz val="18.0"/>
      </rPr>
      <t xml:space="preserve"> spreadsheet out. This Sheet remains useful only for the graphs</t>
    </r>
  </si>
  <si>
    <t>Expense Type</t>
  </si>
  <si>
    <t>Sept</t>
  </si>
  <si>
    <t>Yearly</t>
  </si>
  <si>
    <t>Avg 2022</t>
  </si>
  <si>
    <t>Total Income</t>
  </si>
  <si>
    <t>Savings</t>
  </si>
  <si>
    <t>Saving Rate</t>
  </si>
  <si>
    <t>Pick months</t>
  </si>
  <si>
    <t>% Target</t>
  </si>
  <si>
    <t>% Current</t>
  </si>
  <si>
    <t>Assets</t>
  </si>
  <si>
    <t>Index</t>
  </si>
  <si>
    <t>Abs</t>
  </si>
  <si>
    <t>Rel</t>
  </si>
  <si>
    <t>Current (EUR)</t>
  </si>
  <si>
    <t>Target (EUR)</t>
  </si>
  <si>
    <t>Delta</t>
  </si>
  <si>
    <t>Action</t>
  </si>
  <si>
    <t>Notes</t>
  </si>
  <si>
    <t>Fun</t>
  </si>
  <si>
    <t>OFF</t>
  </si>
  <si>
    <t>Cash &amp; Taxes &amp; Others</t>
  </si>
  <si>
    <t>Low risk EUR</t>
  </si>
  <si>
    <t>Buoni Postali ITA</t>
  </si>
  <si>
    <t>Low risk CHF</t>
  </si>
  <si>
    <t>Pillar 2, Flat Deposit. Pillar 3A (cah/bonds), VBA (cash/bonds)</t>
  </si>
  <si>
    <t>US Short Term Bond</t>
  </si>
  <si>
    <t>BSV</t>
  </si>
  <si>
    <t>Global Aggregate Bond (CHF-H)</t>
  </si>
  <si>
    <t>AGGS</t>
  </si>
  <si>
    <t>Global HY Corp Bond (CHF-H)</t>
  </si>
  <si>
    <t>GHYC</t>
  </si>
  <si>
    <t>EM Government Bond</t>
  </si>
  <si>
    <t>VEMT</t>
  </si>
  <si>
    <t>Total Bonds</t>
  </si>
  <si>
    <t>World</t>
  </si>
  <si>
    <t>VT, Pillar 3A (stocks), VBA (stocks)</t>
  </si>
  <si>
    <t>Small Cap Value US</t>
  </si>
  <si>
    <t>VBR</t>
  </si>
  <si>
    <t>Small Cap Ex-US</t>
  </si>
  <si>
    <t>VSS</t>
  </si>
  <si>
    <t>US Value / High Dividend</t>
  </si>
  <si>
    <t>VTV, VYM, KO, INTC</t>
  </si>
  <si>
    <t>Ex-US Value / High Dividend</t>
  </si>
  <si>
    <t>VYMI, SONY</t>
  </si>
  <si>
    <t>Total Stocks</t>
  </si>
  <si>
    <t>Fun Money</t>
  </si>
  <si>
    <t>Cryptos</t>
  </si>
  <si>
    <t>DOT</t>
  </si>
  <si>
    <t>Private Equities</t>
  </si>
  <si>
    <t>Roam, RIP</t>
  </si>
  <si>
    <t>Penny Stocks</t>
  </si>
  <si>
    <t>CHEK, IMMR</t>
  </si>
  <si>
    <t>Total Fun</t>
  </si>
  <si>
    <t>Constants &amp; Variables</t>
  </si>
  <si>
    <t>EURCHF</t>
  </si>
  <si>
    <r>
      <rPr>
        <rFont val="arial"/>
      </rPr>
      <t>World CAPE (</t>
    </r>
    <r>
      <rPr>
        <rFont val="arial"/>
        <color rgb="FF1155CC"/>
        <u/>
      </rPr>
      <t>source</t>
    </r>
    <r>
      <rPr>
        <rFont val="arial"/>
      </rPr>
      <t xml:space="preserve">, </t>
    </r>
    <r>
      <rPr>
        <rFont val="arial"/>
        <color rgb="FF1155CC"/>
        <u/>
      </rPr>
      <t>alt</t>
    </r>
    <r>
      <rPr>
        <rFont val="arial"/>
      </rPr>
      <t xml:space="preserve">, </t>
    </r>
    <r>
      <rPr>
        <rFont val="arial"/>
        <color rgb="FF1155CC"/>
        <u/>
      </rPr>
      <t>alt</t>
    </r>
    <r>
      <rPr>
        <rFont val="arial"/>
      </rPr>
      <t>)</t>
    </r>
  </si>
  <si>
    <t>MIN_CAPE</t>
  </si>
  <si>
    <t>MAX_CAPE</t>
  </si>
  <si>
    <t>MIN_STOCKS</t>
  </si>
  <si>
    <t>MAX_STOCKS</t>
  </si>
  <si>
    <t>CAPE</t>
  </si>
  <si>
    <t>Stocks%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</si>
</sst>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#,##0;[Red]-#,##0"/>
    <numFmt numFmtId="165" formatCode="#,##0.0"/>
    <numFmt numFmtId="166" formatCode="#,##0.000"/>
    <numFmt numFmtId="167" formatCode="0.000"/>
    <numFmt numFmtId="168" formatCode="0.0%"/>
    <numFmt numFmtId="169" formatCode="0.0000"/>
    <numFmt numFmtId="170" formatCode="#,##0[$ Af.]"/>
    <numFmt numFmtId="171" formatCode="[$Nu.]#,##0.00"/>
    <numFmt numFmtId="172" formatCode="yyyy&quot;/&quot;mm"/>
    <numFmt numFmtId="173" formatCode="m/d/yyyy"/>
    <numFmt numFmtId="174" formatCode="yyyy/m"/>
    <numFmt numFmtId="175" formatCode="yyyy/mm"/>
    <numFmt numFmtId="176" formatCode="m&quot;/&quot;yyyy"/>
    <numFmt numFmtId="177" formatCode="#,##0;(#,##0)"/>
    <numFmt numFmtId="178" formatCode="0.0"/>
    <numFmt numFmtId="179" formatCode="[$CHF ]#,##0"/>
  </numFmts>
  <fonts count="32">
    <font>
      <sz val="10.0"/>
      <color rgb="FF000000"/>
      <name val="Arial"/>
    </font>
    <font>
      <sz val="14.0"/>
      <color rgb="FF000000"/>
    </font>
    <font>
      <sz val="14.0"/>
    </font>
    <font>
      <sz val="14.0"/>
      <color rgb="FFFF00FF"/>
    </font>
    <font>
      <u/>
      <color rgb="FF0000FF"/>
      <name val="Arial"/>
    </font>
    <font>
      <sz val="14.0"/>
      <color rgb="FF6AA84F"/>
      <name val="Arial"/>
    </font>
    <font/>
    <font>
      <name val="Arial"/>
    </font>
    <font>
      <b/>
      <sz val="10.0"/>
      <color rgb="FF000000"/>
    </font>
    <font>
      <sz val="10.0"/>
    </font>
    <font>
      <sz val="10.0"/>
      <color rgb="FFFF00FF"/>
    </font>
    <font>
      <sz val="10.0"/>
      <color rgb="FF0000FF"/>
    </font>
    <font>
      <color rgb="FF0000FF"/>
      <name val="Arial"/>
    </font>
    <font>
      <u/>
      <color rgb="FF000000"/>
      <name val="Arial"/>
    </font>
    <font>
      <color rgb="FFFF00FF"/>
      <name val="Arial"/>
    </font>
    <font>
      <b/>
      <color rgb="FF000000"/>
      <name val="Arial"/>
    </font>
    <font>
      <color rgb="FF000000"/>
      <name val="Arial"/>
    </font>
    <font>
      <color rgb="FF6AA84F"/>
      <name val="Arial"/>
    </font>
    <font>
      <sz val="10.0"/>
      <color rgb="FF000000"/>
    </font>
    <font>
      <b/>
      <color rgb="FFFF0000"/>
      <name val="Arial"/>
    </font>
    <font>
      <b/>
      <sz val="10.0"/>
      <color rgb="FFFF0000"/>
    </font>
    <font>
      <sz val="10.0"/>
      <color rgb="FF6AA84F"/>
      <name val="Arial"/>
    </font>
    <font>
      <b/>
      <sz val="10.0"/>
      <color rgb="FFFF00FF"/>
    </font>
    <font>
      <b/>
      <color rgb="FFFF00FF"/>
      <name val="Arial"/>
    </font>
    <font>
      <sz val="10.0"/>
      <color rgb="FFFF0000"/>
    </font>
    <font>
      <color rgb="FFB7B7B7"/>
      <name val="Arial"/>
    </font>
    <font>
      <sz val="10.0"/>
      <color rgb="FFEAD1DC"/>
    </font>
    <font>
      <b/>
    </font>
    <font>
      <b/>
      <name val="Arial"/>
    </font>
    <font>
      <u/>
      <color rgb="FF1155CC"/>
      <name val="Arial"/>
    </font>
    <font>
      <b/>
      <u/>
      <sz val="18.0"/>
      <color rgb="FFFF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horizontal="center" readingOrder="0" shrinkToFit="0" vertical="center" wrapText="0"/>
    </xf>
    <xf borderId="0" fillId="0" fontId="3" numFmtId="49" xfId="0" applyAlignment="1" applyFont="1" applyNumberFormat="1">
      <alignment horizontal="center" readingOrder="0" shrinkToFit="0" vertical="center" wrapText="0"/>
    </xf>
    <xf borderId="0" fillId="0" fontId="1" numFmtId="49" xfId="0" applyAlignment="1" applyFont="1" applyNumberFormat="1">
      <alignment horizontal="center" readingOrder="0" shrinkToFit="0" vertical="center" wrapText="0"/>
    </xf>
    <xf borderId="0" fillId="0" fontId="3" numFmtId="49" xfId="0" applyAlignment="1" applyFont="1" applyNumberFormat="1">
      <alignment horizontal="right" readingOrder="0" shrinkToFit="0" vertical="center" wrapText="0"/>
    </xf>
    <xf borderId="0" fillId="0" fontId="4" numFmtId="4" xfId="0" applyAlignment="1" applyFont="1" applyNumberFormat="1">
      <alignment readingOrder="0" shrinkToFit="0" vertical="bottom" wrapText="1"/>
    </xf>
    <xf borderId="0" fillId="0" fontId="5" numFmtId="49" xfId="0" applyAlignment="1" applyFont="1" applyNumberFormat="1">
      <alignment horizontal="center" readingOrder="0" shrinkToFit="0" wrapText="0"/>
    </xf>
    <xf borderId="0" fillId="2" fontId="6" numFmtId="0" xfId="0" applyAlignment="1" applyFill="1" applyFont="1">
      <alignment horizontal="center" readingOrder="0" shrinkToFit="0" wrapText="1"/>
    </xf>
    <xf borderId="0" fillId="2" fontId="6" numFmtId="0" xfId="0" applyAlignment="1" applyFont="1">
      <alignment horizontal="center" shrinkToFit="0" wrapText="1"/>
    </xf>
    <xf borderId="0" fillId="2" fontId="6" numFmtId="0" xfId="0" applyAlignment="1" applyFont="1">
      <alignment shrinkToFit="0" wrapText="1"/>
    </xf>
    <xf borderId="0" fillId="2" fontId="7" numFmtId="0" xfId="0" applyAlignment="1" applyFont="1">
      <alignment shrinkToFit="0" vertical="bottom" wrapText="1"/>
    </xf>
    <xf borderId="0" fillId="0" fontId="8" numFmtId="0" xfId="0" applyAlignment="1" applyFont="1">
      <alignment horizontal="left" readingOrder="0" shrinkToFit="0" vertical="bottom" wrapText="0"/>
    </xf>
    <xf borderId="0" fillId="0" fontId="9" numFmtId="1" xfId="0" applyAlignment="1" applyFont="1" applyNumberFormat="1">
      <alignment horizontal="center" readingOrder="0" shrinkToFit="0" vertical="bottom" wrapText="0"/>
    </xf>
    <xf borderId="0" fillId="0" fontId="10" numFmtId="1" xfId="0" applyAlignment="1" applyFont="1" applyNumberFormat="1">
      <alignment horizontal="right" shrinkToFit="0" vertical="bottom" wrapText="0"/>
    </xf>
    <xf borderId="0" fillId="0" fontId="11" numFmtId="1" xfId="0" applyAlignment="1" applyFont="1" applyNumberFormat="1">
      <alignment horizontal="right" readingOrder="0" shrinkToFit="0" vertical="bottom" wrapText="0"/>
    </xf>
    <xf borderId="0" fillId="0" fontId="12" numFmtId="1" xfId="0" applyAlignment="1" applyFont="1" applyNumberFormat="1">
      <alignment horizontal="right" shrinkToFit="0" vertical="bottom" wrapText="0"/>
    </xf>
    <xf borderId="0" fillId="0" fontId="7" numFmtId="1" xfId="0" applyAlignment="1" applyFont="1" applyNumberForma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3" fontId="7" numFmtId="1" xfId="0" applyAlignment="1" applyFill="1" applyFont="1" applyNumberFormat="1">
      <alignment horizontal="center" readingOrder="0" shrinkToFit="0" vertical="bottom" wrapText="1"/>
    </xf>
    <xf borderId="0" fillId="0" fontId="14" numFmtId="3" xfId="0" applyAlignment="1" applyFont="1" applyNumberFormat="1">
      <alignment horizontal="right" readingOrder="0" shrinkToFit="0" vertical="bottom" wrapText="1"/>
    </xf>
    <xf borderId="0" fillId="0" fontId="12" numFmtId="164" xfId="0" applyAlignment="1" applyFont="1" applyNumberFormat="1">
      <alignment horizontal="right" readingOrder="0" shrinkToFit="0" vertical="bottom" wrapText="1"/>
    </xf>
    <xf borderId="0" fillId="0" fontId="10" numFmtId="3" xfId="0" applyAlignment="1" applyFont="1" applyNumberFormat="1">
      <alignment horizontal="right" shrinkToFit="0" vertical="bottom" wrapText="0"/>
    </xf>
    <xf borderId="0" fillId="0" fontId="15" numFmtId="0" xfId="0" applyAlignment="1" applyFont="1">
      <alignment shrinkToFit="0" vertical="bottom" wrapText="1"/>
    </xf>
    <xf borderId="0" fillId="0" fontId="7" numFmtId="1" xfId="0" applyAlignment="1" applyFont="1" applyNumberFormat="1">
      <alignment shrinkToFit="0" vertical="bottom" wrapText="1"/>
    </xf>
    <xf borderId="0" fillId="0" fontId="12" numFmtId="164" xfId="0" applyAlignment="1" applyFont="1" applyNumberFormat="1">
      <alignment horizontal="right" readingOrder="0" shrinkToFit="0" vertical="bottom" wrapText="1"/>
    </xf>
    <xf borderId="0" fillId="0" fontId="10" numFmtId="1" xfId="0" applyAlignment="1" applyFont="1" applyNumberFormat="1">
      <alignment horizontal="right" readingOrder="0" shrinkToFit="0" vertical="bottom" wrapText="0"/>
    </xf>
    <xf borderId="0" fillId="0" fontId="16" numFmtId="0" xfId="0" applyAlignment="1" applyFont="1">
      <alignment readingOrder="0" shrinkToFit="0" vertical="bottom" wrapText="1"/>
    </xf>
    <xf borderId="0" fillId="4" fontId="7" numFmtId="1" xfId="0" applyAlignment="1" applyFill="1" applyFont="1" applyNumberFormat="1">
      <alignment horizontal="center" readingOrder="0" shrinkToFit="0" vertical="bottom" wrapText="1"/>
    </xf>
    <xf borderId="0" fillId="0" fontId="12" numFmtId="0" xfId="0" applyAlignment="1" applyFont="1">
      <alignment horizontal="right" readingOrder="0" shrinkToFit="0" vertical="bottom" wrapText="1"/>
    </xf>
    <xf borderId="0" fillId="0" fontId="7" numFmtId="164" xfId="0" applyAlignment="1" applyFont="1" applyNumberFormat="1">
      <alignment readingOrder="0" shrinkToFit="0" vertical="bottom" wrapText="1"/>
    </xf>
    <xf borderId="0" fillId="0" fontId="14" numFmtId="1" xfId="0" applyAlignment="1" applyFont="1" applyNumberFormat="1">
      <alignment horizontal="right" readingOrder="0" shrinkToFit="0" vertical="bottom" wrapText="1"/>
    </xf>
    <xf borderId="0" fillId="0" fontId="10" numFmtId="3" xfId="0" applyAlignment="1" applyFont="1" applyNumberFormat="1">
      <alignment horizontal="right" readingOrder="0" shrinkToFit="0" vertical="bottom" wrapText="0"/>
    </xf>
    <xf borderId="0" fillId="0" fontId="7" numFmtId="1" xfId="0" applyAlignment="1" applyFont="1" applyNumberFormat="1">
      <alignment readingOrder="0" shrinkToFit="0" vertical="bottom" wrapText="1"/>
    </xf>
    <xf borderId="0" fillId="0" fontId="17" numFmtId="1" xfId="0" applyAlignment="1" applyFont="1" applyNumberFormat="1">
      <alignment horizontal="right" shrinkToFit="0" vertical="bottom" wrapText="0"/>
    </xf>
    <xf borderId="0" fillId="5" fontId="7" numFmtId="1" xfId="0" applyAlignment="1" applyFill="1" applyFont="1" applyNumberFormat="1">
      <alignment horizontal="center" shrinkToFit="0" vertical="bottom" wrapText="1"/>
    </xf>
    <xf borderId="0" fillId="0" fontId="17" numFmtId="1" xfId="0" applyAlignment="1" applyFont="1" applyNumberFormat="1">
      <alignment horizontal="right" shrinkToFit="0" vertical="bottom" wrapText="1"/>
    </xf>
    <xf borderId="0" fillId="6" fontId="12" numFmtId="164" xfId="0" applyAlignment="1" applyFill="1" applyFont="1" applyNumberFormat="1">
      <alignment horizontal="right" readingOrder="0" shrinkToFit="0" wrapText="1"/>
    </xf>
    <xf borderId="0" fillId="0" fontId="7" numFmtId="2" xfId="0" applyAlignment="1" applyFont="1" applyNumberForma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4" numFmtId="1" xfId="0" applyAlignment="1" applyFont="1" applyNumberFormat="1">
      <alignment horizontal="right" shrinkToFit="0" vertical="bottom" wrapText="1"/>
    </xf>
    <xf borderId="0" fillId="0" fontId="7" numFmtId="2" xfId="0" applyAlignment="1" applyFont="1" applyNumberFormat="1">
      <alignment shrinkToFit="0" vertical="bottom" wrapText="1"/>
    </xf>
    <xf borderId="0" fillId="0" fontId="7" numFmtId="2" xfId="0" applyAlignment="1" applyFont="1" applyNumberFormat="1">
      <alignment shrinkToFit="0" vertical="bottom" wrapText="1"/>
    </xf>
    <xf borderId="0" fillId="5" fontId="7" numFmtId="1" xfId="0" applyAlignment="1" applyFont="1" applyNumberFormat="1">
      <alignment horizontal="center" readingOrder="0" shrinkToFit="0" vertical="bottom" wrapText="1"/>
    </xf>
    <xf borderId="0" fillId="0" fontId="14" numFmtId="3" xfId="0" applyAlignment="1" applyFont="1" applyNumberFormat="1">
      <alignment horizontal="right" shrinkToFit="0" vertical="bottom" wrapText="1"/>
    </xf>
    <xf borderId="0" fillId="0" fontId="7" numFmtId="4" xfId="0" applyAlignment="1" applyFont="1" applyNumberFormat="1">
      <alignment shrinkToFit="0" vertical="bottom" wrapText="1"/>
    </xf>
    <xf borderId="0" fillId="0" fontId="7" numFmtId="4" xfId="0" applyAlignment="1" applyFont="1" applyNumberFormat="1">
      <alignment shrinkToFit="0" vertical="bottom" wrapText="1"/>
    </xf>
    <xf borderId="0" fillId="0" fontId="16" numFmtId="0" xfId="0" applyAlignment="1" applyFont="1">
      <alignment readingOrder="0" shrinkToFit="0" vertical="bottom" wrapText="1"/>
    </xf>
    <xf borderId="0" fillId="3" fontId="7" numFmtId="1" xfId="0" applyAlignment="1" applyFont="1" applyNumberFormat="1">
      <alignment horizontal="center" readingOrder="0" shrinkToFit="0" vertical="bottom" wrapText="1"/>
    </xf>
    <xf borderId="0" fillId="0" fontId="7" numFmtId="165" xfId="0" applyAlignment="1" applyFont="1" applyNumberForma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7" numFmtId="1" xfId="0" applyAlignment="1" applyFont="1" applyNumberFormat="1">
      <alignment horizontal="center" readingOrder="0" shrinkToFit="0" vertical="bottom" wrapText="1"/>
    </xf>
    <xf borderId="0" fillId="0" fontId="12" numFmtId="1" xfId="0" applyAlignment="1" applyFont="1" applyNumberFormat="1">
      <alignment horizontal="right" readingOrder="0" shrinkToFit="0" vertical="bottom" wrapText="1"/>
    </xf>
    <xf borderId="0" fillId="0" fontId="18" numFmtId="0" xfId="0" applyAlignment="1" applyFont="1">
      <alignment horizontal="left" readingOrder="0" shrinkToFit="0" vertical="bottom" wrapText="0"/>
    </xf>
    <xf borderId="0" fillId="0" fontId="11" numFmtId="1" xfId="0" applyAlignment="1" applyFont="1" applyNumberFormat="1">
      <alignment horizontal="right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7" fontId="19" numFmtId="3" xfId="0" applyAlignment="1" applyFill="1" applyFont="1" applyNumberFormat="1">
      <alignment horizontal="right" shrinkToFit="0" vertical="bottom" wrapText="1"/>
    </xf>
    <xf borderId="0" fillId="7" fontId="19" numFmtId="3" xfId="0" applyAlignment="1" applyFont="1" applyNumberFormat="1">
      <alignment horizontal="right" readingOrder="0" shrinkToFit="0" vertical="bottom" wrapText="1"/>
    </xf>
    <xf borderId="0" fillId="7" fontId="20" numFmtId="3" xfId="0" applyAlignment="1" applyFont="1" applyNumberFormat="1">
      <alignment horizontal="right" shrinkToFit="0" vertical="bottom" wrapText="0"/>
    </xf>
    <xf borderId="0" fillId="0" fontId="20" numFmtId="1" xfId="0" applyAlignment="1" applyFont="1" applyNumberFormat="1">
      <alignment horizontal="right" shrinkToFit="0" vertical="bottom" wrapText="0"/>
    </xf>
    <xf borderId="0" fillId="0" fontId="21" numFmtId="1" xfId="0" applyAlignment="1" applyFont="1" applyNumberFormat="1">
      <alignment horizontal="right" readingOrder="0" shrinkToFit="0" wrapText="0"/>
    </xf>
    <xf borderId="0" fillId="0" fontId="22" numFmtId="3" xfId="0" applyAlignment="1" applyFont="1" applyNumberFormat="1">
      <alignment horizontal="right" readingOrder="0" shrinkToFit="0" vertical="bottom" wrapText="0"/>
    </xf>
    <xf borderId="0" fillId="0" fontId="20" numFmtId="3" xfId="0" applyAlignment="1" applyFont="1" applyNumberFormat="1">
      <alignment horizontal="right" shrinkToFit="0" vertical="bottom" wrapText="0"/>
    </xf>
    <xf borderId="0" fillId="0" fontId="9" numFmtId="1" xfId="0" applyAlignment="1" applyFont="1" applyNumberFormat="1">
      <alignment horizontal="center" shrinkToFit="0" vertical="bottom" wrapText="0"/>
    </xf>
    <xf borderId="0" fillId="0" fontId="22" numFmtId="10" xfId="0" applyAlignment="1" applyFont="1" applyNumberFormat="1">
      <alignment horizontal="right" readingOrder="0" shrinkToFit="0" vertical="bottom" wrapText="0"/>
    </xf>
    <xf borderId="0" fillId="0" fontId="20" numFmtId="10" xfId="0" applyAlignment="1" applyFont="1" applyNumberFormat="1">
      <alignment horizontal="right" shrinkToFit="0" vertical="bottom" wrapText="0"/>
    </xf>
    <xf borderId="0" fillId="0" fontId="20" numFmtId="2" xfId="0" applyAlignment="1" applyFont="1" applyNumberFormat="1">
      <alignment horizontal="right" shrinkToFit="0" vertical="bottom" wrapText="0"/>
    </xf>
    <xf borderId="0" fillId="0" fontId="21" numFmtId="10" xfId="0" applyAlignment="1" applyFont="1" applyNumberFormat="1">
      <alignment horizontal="right" readingOrder="0" shrinkToFit="0" wrapText="0"/>
    </xf>
    <xf borderId="0" fillId="0" fontId="10" numFmtId="2" xfId="0" applyAlignment="1" applyFont="1" applyNumberFormat="1">
      <alignment horizontal="right" shrinkToFit="0" vertical="bottom" wrapText="0"/>
    </xf>
    <xf borderId="0" fillId="8" fontId="7" numFmtId="1" xfId="0" applyAlignment="1" applyFill="1" applyFont="1" applyNumberFormat="1">
      <alignment horizontal="center" shrinkToFit="0" vertical="bottom" wrapText="1"/>
    </xf>
    <xf borderId="0" fillId="7" fontId="19" numFmtId="4" xfId="0" applyAlignment="1" applyFont="1" applyNumberFormat="1">
      <alignment horizontal="right" shrinkToFit="0" vertical="bottom" wrapText="1"/>
    </xf>
    <xf borderId="0" fillId="7" fontId="19" numFmtId="4" xfId="0" applyAlignment="1" applyFont="1" applyNumberFormat="1">
      <alignment horizontal="right" readingOrder="0" shrinkToFit="0" vertical="bottom" wrapText="1"/>
    </xf>
    <xf borderId="0" fillId="0" fontId="7" numFmtId="2" xfId="0" applyAlignment="1" applyFont="1" applyNumberFormat="1">
      <alignment shrinkToFit="0" vertical="bottom" wrapText="1"/>
    </xf>
    <xf borderId="0" fillId="0" fontId="21" numFmtId="2" xfId="0" applyAlignment="1" applyFont="1" applyNumberFormat="1">
      <alignment horizontal="right" readingOrder="0" shrinkToFit="0" wrapText="0"/>
    </xf>
    <xf borderId="0" fillId="0" fontId="14" numFmtId="3" xfId="0" applyAlignment="1" applyFont="1" applyNumberFormat="1">
      <alignment horizontal="right" shrinkToFit="0" vertical="bottom" wrapText="1"/>
    </xf>
    <xf borderId="0" fillId="9" fontId="23" numFmtId="4" xfId="0" applyAlignment="1" applyFill="1" applyFont="1" applyNumberFormat="1">
      <alignment horizontal="right" shrinkToFit="0" vertical="bottom" wrapText="1"/>
    </xf>
    <xf borderId="0" fillId="9" fontId="19" numFmtId="4" xfId="0" applyAlignment="1" applyFont="1" applyNumberFormat="1">
      <alignment horizontal="right" shrinkToFit="0" vertical="bottom" wrapText="1"/>
    </xf>
    <xf borderId="0" fillId="0" fontId="14" numFmtId="1" xfId="0" applyAlignment="1" applyFont="1" applyNumberFormat="1">
      <alignment horizontal="right" shrinkToFit="0" vertical="bottom" wrapText="1"/>
    </xf>
    <xf borderId="0" fillId="0" fontId="23" numFmtId="10" xfId="0" applyAlignment="1" applyFont="1" applyNumberFormat="1">
      <alignment horizontal="right" shrinkToFit="0" vertical="bottom" wrapText="1"/>
    </xf>
    <xf borderId="0" fillId="0" fontId="19" numFmtId="10" xfId="0" applyAlignment="1" applyFont="1" applyNumberFormat="1">
      <alignment horizontal="right" shrinkToFit="0" vertical="bottom" wrapText="1"/>
    </xf>
    <xf borderId="0" fillId="0" fontId="24" numFmtId="2" xfId="0" applyAlignment="1" applyFont="1" applyNumberFormat="1">
      <alignment horizontal="right" shrinkToFit="0" vertical="bottom" wrapText="0"/>
    </xf>
    <xf borderId="0" fillId="0" fontId="22" numFmtId="2" xfId="0" applyAlignment="1" applyFont="1" applyNumberFormat="1">
      <alignment horizontal="right" shrinkToFit="0" vertical="bottom" wrapText="0"/>
    </xf>
    <xf borderId="0" fillId="2" fontId="7" numFmtId="0" xfId="0" applyAlignment="1" applyFont="1">
      <alignment shrinkToFit="0" vertical="bottom" wrapText="1"/>
    </xf>
    <xf borderId="0" fillId="3" fontId="7" numFmtId="166" xfId="0" applyAlignment="1" applyFont="1" applyNumberFormat="1">
      <alignment horizontal="center" readingOrder="0" shrinkToFit="0" vertical="bottom" wrapText="1"/>
    </xf>
    <xf borderId="0" fillId="0" fontId="14" numFmtId="2" xfId="0" applyAlignment="1" applyFont="1" applyNumberFormat="1">
      <alignment horizontal="right" shrinkToFit="0" vertical="bottom" wrapText="1"/>
    </xf>
    <xf borderId="0" fillId="10" fontId="16" numFmtId="167" xfId="0" applyAlignment="1" applyFill="1" applyFont="1" applyNumberFormat="1">
      <alignment horizontal="right" shrinkToFit="0" vertical="bottom" wrapText="1"/>
    </xf>
    <xf borderId="0" fillId="5" fontId="14" numFmtId="168" xfId="0" applyAlignment="1" applyFont="1" applyNumberFormat="1">
      <alignment horizontal="right" shrinkToFit="0" vertical="bottom" wrapText="1"/>
    </xf>
    <xf borderId="0" fillId="5" fontId="14" numFmtId="10" xfId="0" applyAlignment="1" applyFont="1" applyNumberForma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0" fontId="18" numFmtId="0" xfId="0" applyAlignment="1" applyFont="1">
      <alignment horizontal="right" readingOrder="0" shrinkToFit="0" vertical="bottom" wrapText="0"/>
    </xf>
    <xf borderId="0" fillId="0" fontId="9" numFmtId="166" xfId="0" applyAlignment="1" applyFont="1" applyNumberFormat="1">
      <alignment horizontal="center" readingOrder="0" shrinkToFit="0" vertical="bottom" wrapText="0"/>
    </xf>
    <xf borderId="0" fillId="0" fontId="14" numFmtId="2" xfId="0" applyAlignment="1" applyFont="1" applyNumberFormat="1">
      <alignment horizontal="right" readingOrder="0" shrinkToFit="0" vertical="bottom" wrapText="1"/>
    </xf>
    <xf borderId="0" fillId="0" fontId="10" numFmtId="2" xfId="0" applyAlignment="1" applyFont="1" applyNumberFormat="1">
      <alignment horizontal="right" readingOrder="0" shrinkToFit="0" vertical="bottom" wrapText="0"/>
    </xf>
    <xf borderId="0" fillId="0" fontId="18" numFmtId="0" xfId="0" applyAlignment="1" applyFont="1">
      <alignment horizontal="left" readingOrder="0" shrinkToFit="0" vertical="bottom" wrapText="0"/>
    </xf>
    <xf borderId="0" fillId="0" fontId="9" numFmtId="166" xfId="0" applyAlignment="1" applyFont="1" applyNumberFormat="1">
      <alignment horizontal="center" shrinkToFit="0" vertical="bottom" wrapText="0"/>
    </xf>
    <xf borderId="0" fillId="0" fontId="14" numFmtId="167" xfId="0" applyAlignment="1" applyFont="1" applyNumberFormat="1">
      <alignment horizontal="right" shrinkToFit="0" vertical="bottom" wrapText="1"/>
    </xf>
    <xf borderId="0" fillId="0" fontId="10" numFmtId="167" xfId="0" applyAlignment="1" applyFont="1" applyNumberFormat="1">
      <alignment horizontal="right" shrinkToFit="0" vertical="bottom" wrapText="0"/>
    </xf>
    <xf borderId="0" fillId="0" fontId="10" numFmtId="168" xfId="0" applyAlignment="1" applyFont="1" applyNumberFormat="1">
      <alignment shrinkToFit="0" wrapText="1"/>
    </xf>
    <xf borderId="0" fillId="0" fontId="10" numFmtId="10" xfId="0" applyAlignment="1" applyFont="1" applyNumberFormat="1">
      <alignment shrinkToFit="0" wrapText="1"/>
    </xf>
    <xf borderId="0" fillId="0" fontId="14" numFmtId="4" xfId="0" applyAlignment="1" applyFont="1" applyNumberFormat="1">
      <alignment horizontal="right" shrinkToFit="0" vertical="bottom" wrapText="1"/>
    </xf>
    <xf borderId="0" fillId="6" fontId="16" numFmtId="167" xfId="0" applyAlignment="1" applyFont="1" applyNumberFormat="1">
      <alignment horizontal="right" shrinkToFit="0" vertical="bottom" wrapText="1"/>
    </xf>
    <xf borderId="0" fillId="0" fontId="10" numFmtId="4" xfId="0" applyAlignment="1" applyFont="1" applyNumberFormat="1">
      <alignment shrinkToFit="0" wrapText="1"/>
    </xf>
    <xf borderId="0" fillId="0" fontId="7" numFmtId="166" xfId="0" applyAlignment="1" applyFont="1" applyNumberFormat="1">
      <alignment shrinkToFit="0" vertical="bottom" wrapText="1"/>
    </xf>
    <xf borderId="0" fillId="0" fontId="14" numFmtId="1" xfId="0" applyAlignment="1" applyFont="1" applyNumberFormat="1">
      <alignment horizontal="right" shrinkToFit="0" vertical="bottom" wrapText="1"/>
    </xf>
    <xf borderId="0" fillId="10" fontId="25" numFmtId="1" xfId="0" applyAlignment="1" applyFont="1" applyNumberFormat="1">
      <alignment horizontal="right" shrinkToFit="0" vertical="bottom" wrapText="1"/>
    </xf>
    <xf borderId="0" fillId="3" fontId="14" numFmtId="168" xfId="0" applyAlignment="1" applyFont="1" applyNumberFormat="1">
      <alignment horizontal="right" shrinkToFit="0" vertical="bottom" wrapText="1"/>
    </xf>
    <xf borderId="0" fillId="0" fontId="7" numFmtId="166" xfId="0" applyAlignment="1" applyFont="1" applyNumberFormat="1">
      <alignment horizontal="center" readingOrder="0" shrinkToFit="0" vertical="bottom" wrapText="1"/>
    </xf>
    <xf borderId="0" fillId="0" fontId="26" numFmtId="1" xfId="0" applyAlignment="1" applyFont="1" applyNumberFormat="1">
      <alignment horizontal="right" readingOrder="0" shrinkToFit="0" vertical="bottom" wrapText="0"/>
    </xf>
    <xf borderId="0" fillId="10" fontId="25" numFmtId="169" xfId="0" applyAlignment="1" applyFont="1" applyNumberFormat="1">
      <alignment horizontal="right" readingOrder="0" shrinkToFit="0" vertical="bottom" wrapText="1"/>
    </xf>
    <xf borderId="0" fillId="10" fontId="25" numFmtId="169" xfId="0" applyAlignment="1" applyFont="1" applyNumberFormat="1">
      <alignment horizontal="right" shrinkToFit="0" vertical="bottom" wrapText="1"/>
    </xf>
    <xf borderId="0" fillId="0" fontId="10" numFmtId="166" xfId="0" applyAlignment="1" applyFont="1" applyNumberFormat="1">
      <alignment horizontal="right" shrinkToFit="0" vertical="bottom" wrapText="0"/>
    </xf>
    <xf borderId="0" fillId="0" fontId="7" numFmtId="167" xfId="0" applyAlignment="1" applyFont="1" applyNumberFormat="1">
      <alignment shrinkToFit="0" vertical="bottom" wrapText="1"/>
    </xf>
    <xf borderId="0" fillId="0" fontId="7" numFmtId="164" xfId="0" applyAlignment="1" applyFont="1" applyNumberFormat="1">
      <alignment horizontal="right" shrinkToFit="0" vertical="bottom" wrapText="1"/>
    </xf>
    <xf borderId="0" fillId="5" fontId="7" numFmtId="166" xfId="0" applyAlignment="1" applyFont="1" applyNumberFormat="1">
      <alignment horizontal="center" shrinkToFit="0" vertical="bottom" wrapText="1"/>
    </xf>
    <xf borderId="0" fillId="0" fontId="18" numFmtId="3" xfId="0" applyAlignment="1" applyFont="1" applyNumberFormat="1">
      <alignment horizontal="right" readingOrder="0" shrinkToFit="0" vertical="bottom" wrapText="0"/>
    </xf>
    <xf borderId="0" fillId="0" fontId="7" numFmtId="3" xfId="0" applyAlignment="1" applyFont="1" applyNumberFormat="1">
      <alignment shrinkToFit="0" vertical="bottom" wrapText="1"/>
    </xf>
    <xf borderId="0" fillId="0" fontId="10" numFmtId="3" xfId="0" applyAlignment="1" applyFont="1" applyNumberFormat="1">
      <alignment shrinkToFit="0" wrapText="1"/>
    </xf>
    <xf borderId="0" fillId="2" fontId="6" numFmtId="3" xfId="0" applyAlignment="1" applyFont="1" applyNumberFormat="1">
      <alignment shrinkToFit="0" wrapText="1"/>
    </xf>
    <xf borderId="0" fillId="2" fontId="7" numFmtId="3" xfId="0" applyAlignment="1" applyFont="1" applyNumberFormat="1">
      <alignment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shrinkToFit="0" vertical="bottom" wrapText="1"/>
    </xf>
    <xf borderId="0" fillId="4" fontId="7" numFmtId="166" xfId="0" applyAlignment="1" applyFont="1" applyNumberFormat="1">
      <alignment horizontal="center" readingOrder="0" shrinkToFit="0" vertical="bottom" wrapText="1"/>
    </xf>
    <xf borderId="0" fillId="0" fontId="7" numFmtId="164" xfId="0" applyAlignment="1" applyFont="1" applyNumberFormat="1">
      <alignment readingOrder="0" shrinkToFit="0" vertical="bottom" wrapText="1"/>
    </xf>
    <xf borderId="0" fillId="0" fontId="17" numFmtId="1" xfId="0" applyAlignment="1" applyFont="1" applyNumberFormat="1">
      <alignment horizontal="right" shrinkToFit="0" vertical="bottom" wrapText="1"/>
    </xf>
    <xf borderId="0" fillId="0" fontId="7" numFmtId="164" xfId="0" applyAlignment="1" applyFont="1" applyNumberFormat="1">
      <alignment horizontal="right" readingOrder="0" shrinkToFit="0" vertical="bottom" wrapText="1"/>
    </xf>
    <xf borderId="0" fillId="3" fontId="7" numFmtId="166" xfId="0" applyAlignment="1" applyFont="1" applyNumberFormat="1">
      <alignment horizontal="center" shrinkToFit="0" vertical="bottom" wrapText="1"/>
    </xf>
    <xf borderId="0" fillId="0" fontId="7" numFmtId="1" xfId="0" applyAlignment="1" applyFont="1" applyNumberFormat="1">
      <alignment shrinkToFit="0" vertical="bottom" wrapText="1"/>
    </xf>
    <xf borderId="0" fillId="0" fontId="6" numFmtId="0" xfId="0" applyAlignment="1" applyFont="1">
      <alignment horizontal="right" shrinkToFit="0" wrapText="1"/>
    </xf>
    <xf borderId="0" fillId="0" fontId="22" numFmtId="3" xfId="0" applyAlignment="1" applyFont="1" applyNumberFormat="1">
      <alignment shrinkToFit="0" wrapText="1"/>
    </xf>
    <xf borderId="0" fillId="0" fontId="22" numFmtId="1" xfId="0" applyAlignment="1" applyFont="1" applyNumberFormat="1">
      <alignment shrinkToFit="0" wrapText="1"/>
    </xf>
    <xf borderId="0" fillId="0" fontId="7" numFmtId="164" xfId="0" applyAlignment="1" applyFont="1" applyNumberFormat="1">
      <alignment horizontal="right" shrinkToFit="0" vertical="bottom" wrapText="1"/>
    </xf>
    <xf borderId="0" fillId="0" fontId="18" numFmtId="168" xfId="0" applyAlignment="1" applyFont="1" applyNumberFormat="1">
      <alignment horizontal="right" readingOrder="0" shrinkToFit="0" vertical="bottom" wrapText="0"/>
    </xf>
    <xf borderId="0" fillId="0" fontId="22" numFmtId="168" xfId="0" applyAlignment="1" applyFont="1" applyNumberFormat="1">
      <alignment shrinkToFit="0" wrapText="1"/>
    </xf>
    <xf borderId="0" fillId="0" fontId="22" numFmtId="165" xfId="0" applyAlignment="1" applyFont="1" applyNumberFormat="1">
      <alignment shrinkToFit="0" wrapText="1"/>
    </xf>
    <xf borderId="0" fillId="0" fontId="18" numFmtId="166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wrapText="1"/>
    </xf>
    <xf borderId="0" fillId="0" fontId="7" numFmtId="1" xfId="0" applyAlignment="1" applyFont="1" applyNumberFormat="1">
      <alignment horizontal="center" readingOrder="0" shrinkToFit="0" vertical="bottom" wrapText="0"/>
    </xf>
    <xf borderId="0" fillId="0" fontId="7" numFmtId="1" xfId="0" applyAlignment="1" applyFont="1" applyNumberFormat="1">
      <alignment horizontal="left" shrinkToFit="0" vertical="bottom" wrapText="0"/>
    </xf>
    <xf borderId="0" fillId="0" fontId="7" numFmtId="1" xfId="0" applyAlignment="1" applyFont="1" applyNumberFormat="1">
      <alignment horizontal="right" readingOrder="0" shrinkToFit="0" vertical="bottom" wrapText="0"/>
    </xf>
    <xf borderId="0" fillId="0" fontId="7" numFmtId="167" xfId="0" applyAlignment="1" applyFont="1" applyNumberFormat="1">
      <alignment horizontal="right" readingOrder="0" shrinkToFit="0" vertical="bottom" wrapText="0"/>
    </xf>
    <xf borderId="0" fillId="0" fontId="7" numFmtId="3" xfId="0" applyAlignment="1" applyFont="1" applyNumberFormat="1">
      <alignment horizontal="right" readingOrder="0" shrinkToFit="0" vertical="bottom" wrapText="0"/>
    </xf>
    <xf borderId="0" fillId="0" fontId="6" numFmtId="3" xfId="0" applyAlignment="1" applyFont="1" applyNumberFormat="1">
      <alignment horizontal="right" readingOrder="0" shrinkToFit="0" wrapText="1"/>
    </xf>
    <xf borderId="0" fillId="0" fontId="18" numFmtId="170" xfId="0" applyAlignment="1" applyFont="1" applyNumberFormat="1">
      <alignment horizontal="right" readingOrder="0" shrinkToFit="0" vertical="bottom" wrapText="0"/>
    </xf>
    <xf borderId="0" fillId="0" fontId="18" numFmtId="171" xfId="0" applyAlignment="1" applyFont="1" applyNumberFormat="1">
      <alignment horizontal="right" readingOrder="0" shrinkToFit="0" vertical="bottom" wrapText="0"/>
    </xf>
    <xf borderId="0" fillId="0" fontId="7" numFmtId="172" xfId="0" applyAlignment="1" applyFont="1" applyNumberForma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1" xfId="0" applyAlignment="1" applyFont="1" applyNumberFormat="1">
      <alignment horizontal="right" shrinkToFit="0" vertical="bottom" wrapText="1"/>
    </xf>
    <xf borderId="0" fillId="0" fontId="7" numFmtId="1" xfId="0" applyAlignment="1" applyFont="1" applyNumberFormat="1">
      <alignment shrinkToFit="0" vertical="bottom" wrapText="1"/>
    </xf>
    <xf borderId="0" fillId="0" fontId="7" numFmtId="1" xfId="0" applyAlignment="1" applyFont="1" applyNumberFormat="1">
      <alignment horizontal="right" readingOrder="0" shrinkToFit="0" vertical="bottom" wrapText="1"/>
    </xf>
    <xf borderId="0" fillId="0" fontId="6" numFmtId="1" xfId="0" applyAlignment="1" applyFont="1" applyNumberFormat="1">
      <alignment shrinkToFit="0" wrapText="1"/>
    </xf>
    <xf borderId="0" fillId="0" fontId="6" numFmtId="173" xfId="0" applyAlignment="1" applyFont="1" applyNumberFormat="1">
      <alignment readingOrder="0" shrinkToFit="0" wrapText="1"/>
    </xf>
    <xf borderId="0" fillId="0" fontId="27" numFmtId="0" xfId="0" applyAlignment="1" applyFont="1">
      <alignment shrinkToFit="0" wrapText="1"/>
    </xf>
    <xf borderId="0" fillId="0" fontId="7" numFmtId="174" xfId="0" applyAlignment="1" applyFont="1" applyNumberFormat="1">
      <alignment horizontal="right" readingOrder="0" shrinkToFit="0" vertical="bottom" wrapText="1"/>
    </xf>
    <xf borderId="0" fillId="0" fontId="6" numFmtId="175" xfId="0" applyAlignment="1" applyFont="1" applyNumberFormat="1">
      <alignment readingOrder="0" shrinkToFit="0" wrapText="1"/>
    </xf>
    <xf borderId="0" fillId="0" fontId="7" numFmtId="175" xfId="0" applyAlignment="1" applyFont="1" applyNumberFormat="1">
      <alignment horizontal="right" shrinkToFit="0" vertical="bottom" wrapText="1"/>
    </xf>
    <xf borderId="0" fillId="0" fontId="7" numFmtId="175" xfId="0" applyAlignment="1" applyFont="1" applyNumberFormat="1">
      <alignment horizontal="right" readingOrder="0" shrinkToFit="0" vertical="bottom" wrapText="1"/>
    </xf>
    <xf borderId="0" fillId="0" fontId="7" numFmtId="175" xfId="0" applyAlignment="1" applyFont="1" applyNumberFormat="1">
      <alignment horizontal="right" shrinkToFit="0" vertical="bottom" wrapText="1"/>
    </xf>
    <xf borderId="0" fillId="0" fontId="7" numFmtId="175" xfId="0" applyAlignment="1" applyFont="1" applyNumberFormat="1">
      <alignment horizontal="right" readingOrder="0" shrinkToFit="0" vertical="bottom" wrapText="1"/>
    </xf>
    <xf borderId="0" fillId="0" fontId="7" numFmtId="172" xfId="0" applyAlignment="1" applyFont="1" applyNumberFormat="1">
      <alignment horizontal="right" readingOrder="0" shrinkToFit="0" vertical="bottom" wrapText="1"/>
    </xf>
    <xf borderId="0" fillId="0" fontId="7" numFmtId="1" xfId="0" applyAlignment="1" applyFont="1" applyNumberFormat="1">
      <alignment horizontal="right" readingOrder="0" shrinkToFit="0" vertical="bottom" wrapText="1"/>
    </xf>
    <xf borderId="0" fillId="0" fontId="6" numFmtId="1" xfId="0" applyAlignment="1" applyFont="1" applyNumberFormat="1">
      <alignment readingOrder="0" shrinkToFit="0" wrapText="1"/>
    </xf>
    <xf borderId="0" fillId="0" fontId="7" numFmtId="1" xfId="0" applyAlignment="1" applyFont="1" applyNumberFormat="1">
      <alignment horizontal="right" readingOrder="0" shrinkToFit="0" vertical="bottom" wrapText="1"/>
    </xf>
    <xf borderId="0" fillId="0" fontId="7" numFmtId="1" xfId="0" applyAlignment="1" applyFont="1" applyNumberFormat="1">
      <alignment horizontal="right" shrinkToFit="0" vertical="bottom" wrapText="1"/>
    </xf>
    <xf borderId="0" fillId="0" fontId="7" numFmtId="1" xfId="0" applyAlignment="1" applyFont="1" applyNumberFormat="1">
      <alignment horizontal="right" shrinkToFit="0" vertical="bottom" wrapText="1"/>
    </xf>
    <xf borderId="0" fillId="0" fontId="7" numFmtId="1" xfId="0" applyAlignment="1" applyFont="1" applyNumberFormat="1">
      <alignment readingOrder="0" shrinkToFit="0" vertical="bottom" wrapText="1"/>
    </xf>
    <xf borderId="0" fillId="0" fontId="7" numFmtId="1" xfId="0" applyAlignment="1" applyFont="1" applyNumberFormat="1">
      <alignment readingOrder="0" shrinkToFit="0" vertical="bottom" wrapText="1"/>
    </xf>
    <xf borderId="0" fillId="0" fontId="6" numFmtId="167" xfId="0" applyAlignment="1" applyFont="1" applyNumberFormat="1">
      <alignment shrinkToFit="0" wrapText="1"/>
    </xf>
    <xf borderId="0" fillId="0" fontId="28" numFmtId="0" xfId="0" applyAlignment="1" applyFont="1">
      <alignment readingOrder="0" shrinkToFit="0" vertical="bottom" wrapText="1"/>
    </xf>
    <xf borderId="0" fillId="0" fontId="7" numFmtId="176" xfId="0" applyAlignment="1" applyFont="1" applyNumberFormat="1">
      <alignment horizontal="right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3" xfId="0" applyAlignment="1" applyFont="1" applyNumberFormat="1">
      <alignment horizontal="right" shrinkToFit="0" vertical="bottom" wrapText="1"/>
    </xf>
    <xf borderId="0" fillId="0" fontId="7" numFmtId="176" xfId="0" applyAlignment="1" applyFont="1" applyNumberFormat="1">
      <alignment horizontal="right" shrinkToFit="0" vertical="bottom" wrapText="1"/>
    </xf>
    <xf borderId="0" fillId="0" fontId="7" numFmtId="3" xfId="0" applyAlignment="1" applyFont="1" applyNumberFormat="1">
      <alignment horizontal="right" shrinkToFit="0" vertical="bottom" wrapText="1"/>
    </xf>
    <xf borderId="0" fillId="0" fontId="7" numFmtId="176" xfId="0" applyAlignment="1" applyFont="1" applyNumberFormat="1">
      <alignment horizontal="right" readingOrder="0" shrinkToFit="0" vertical="bottom" wrapText="1"/>
    </xf>
    <xf borderId="0" fillId="0" fontId="7" numFmtId="176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shrinkToFit="0" wrapText="1"/>
    </xf>
    <xf borderId="0" fillId="0" fontId="6" numFmtId="176" xfId="0" applyAlignment="1" applyFont="1" applyNumberFormat="1">
      <alignment readingOrder="0" shrinkToFit="0" wrapText="1"/>
    </xf>
    <xf borderId="0" fillId="0" fontId="7" numFmtId="176" xfId="0" applyAlignment="1" applyFont="1" applyNumberFormat="1">
      <alignment horizontal="right" readingOrder="0" shrinkToFit="0" vertical="bottom" wrapText="1"/>
    </xf>
    <xf borderId="0" fillId="0" fontId="7" numFmtId="3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wrapText="0"/>
    </xf>
    <xf borderId="0" fillId="0" fontId="6" numFmtId="177" xfId="0" applyAlignment="1" applyFont="1" applyNumberFormat="1">
      <alignment readingOrder="0" shrinkToFit="0" wrapText="1"/>
    </xf>
    <xf borderId="0" fillId="0" fontId="7" numFmtId="177" xfId="0" applyAlignment="1" applyFont="1" applyNumberFormat="1">
      <alignment horizontal="right" shrinkToFit="0" vertical="bottom" wrapText="1"/>
    </xf>
    <xf borderId="0" fillId="0" fontId="7" numFmtId="3" xfId="0" applyAlignment="1" applyFont="1" applyNumberFormat="1">
      <alignment shrinkToFit="0" vertical="bottom" wrapText="1"/>
    </xf>
    <xf borderId="0" fillId="0" fontId="27" numFmtId="0" xfId="0" applyAlignment="1" applyFont="1">
      <alignment readingOrder="0" shrinkToFit="0" wrapText="1"/>
    </xf>
    <xf borderId="0" fillId="0" fontId="28" numFmtId="3" xfId="0" applyAlignment="1" applyFont="1" applyNumberFormat="1">
      <alignment horizontal="right" shrinkToFit="0" vertical="bottom" wrapText="1"/>
    </xf>
    <xf borderId="0" fillId="0" fontId="28" numFmtId="3" xfId="0" applyAlignment="1" applyFont="1" applyNumberFormat="1">
      <alignment horizontal="right" shrinkToFit="0" vertical="bottom" wrapText="1"/>
    </xf>
    <xf borderId="0" fillId="0" fontId="7" numFmtId="10" xfId="0" applyAlignment="1" applyFont="1" applyNumberFormat="1">
      <alignment horizontal="right" shrinkToFit="0" vertical="bottom" wrapText="1"/>
    </xf>
    <xf borderId="0" fillId="0" fontId="7" numFmtId="10" xfId="0" applyAlignment="1" applyFont="1" applyNumberForma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10" xfId="0" applyAlignment="1" applyFont="1" applyNumberFormat="1">
      <alignment shrinkToFit="0" vertical="bottom" wrapText="1"/>
    </xf>
    <xf borderId="0" fillId="0" fontId="7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shrinkToFit="0" wrapText="1"/>
    </xf>
    <xf borderId="0" fillId="0" fontId="6" numFmtId="178" xfId="0" applyAlignment="1" applyFont="1" applyNumberFormat="1">
      <alignment shrinkToFit="0" wrapText="1"/>
    </xf>
    <xf borderId="0" fillId="0" fontId="29" numFmtId="4" xfId="0" applyAlignment="1" applyFont="1" applyNumberFormat="1">
      <alignment readingOrder="0" shrinkToFit="0" vertical="bottom" wrapText="1"/>
    </xf>
    <xf borderId="0" fillId="0" fontId="12" numFmtId="164" xfId="0" applyAlignment="1" applyFont="1" applyNumberFormat="1">
      <alignment horizontal="right" shrinkToFit="0" vertical="bottom" wrapText="1"/>
    </xf>
    <xf borderId="0" fillId="0" fontId="12" numFmtId="164" xfId="0" applyAlignment="1" applyFont="1" applyNumberFormat="1">
      <alignment horizontal="right" shrinkToFit="0" vertical="bottom" wrapText="1"/>
    </xf>
    <xf borderId="0" fillId="0" fontId="7" numFmtId="164" xfId="0" applyAlignment="1" applyFont="1" applyNumberFormat="1">
      <alignment shrinkToFit="0" vertical="bottom" wrapText="1"/>
    </xf>
    <xf borderId="0" fillId="6" fontId="14" numFmtId="3" xfId="0" applyAlignment="1" applyFont="1" applyNumberFormat="1">
      <alignment horizontal="right" readingOrder="0" shrinkToFit="0" wrapText="1"/>
    </xf>
    <xf borderId="0" fillId="10" fontId="16" numFmtId="2" xfId="0" applyAlignment="1" applyFont="1" applyNumberFormat="1">
      <alignment horizontal="right" readingOrder="0" shrinkToFit="0" vertical="bottom" wrapText="1"/>
    </xf>
    <xf borderId="0" fillId="10" fontId="16" numFmtId="167" xfId="0" applyAlignment="1" applyFont="1" applyNumberFormat="1">
      <alignment horizontal="right" readingOrder="0" shrinkToFit="0" vertical="bottom" wrapText="1"/>
    </xf>
    <xf borderId="0" fillId="0" fontId="10" numFmtId="167" xfId="0" applyAlignment="1" applyFont="1" applyNumberFormat="1">
      <alignment horizontal="right" readingOrder="0" shrinkToFit="0" vertical="bottom" wrapText="0"/>
    </xf>
    <xf borderId="0" fillId="10" fontId="25" numFmtId="1" xfId="0" applyAlignment="1" applyFont="1" applyNumberFormat="1">
      <alignment horizontal="right" readingOrder="0" shrinkToFit="0" vertical="bottom" wrapText="1"/>
    </xf>
    <xf borderId="0" fillId="0" fontId="30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readingOrder="0" shrinkToFit="0" vertical="bottom" wrapText="1"/>
    </xf>
    <xf borderId="0" fillId="0" fontId="28" numFmtId="0" xfId="0" applyAlignment="1" applyFont="1">
      <alignment horizontal="right" shrinkToFit="0" vertical="bottom" wrapText="1"/>
    </xf>
    <xf borderId="0" fillId="0" fontId="28" numFmtId="1" xfId="0" applyAlignment="1" applyFont="1" applyNumberFormat="1">
      <alignment horizontal="right" shrinkToFit="0" vertical="bottom" wrapText="1"/>
    </xf>
    <xf borderId="0" fillId="0" fontId="28" numFmtId="0" xfId="0" applyAlignment="1" applyFont="1">
      <alignment horizontal="right" readingOrder="0" shrinkToFit="0" vertical="bottom" wrapText="1"/>
    </xf>
    <xf borderId="0" fillId="0" fontId="7" numFmtId="3" xfId="0" applyAlignment="1" applyFont="1" applyNumberFormat="1">
      <alignment horizontal="right" readingOrder="0" shrinkToFit="0" vertical="bottom" wrapText="1"/>
    </xf>
    <xf borderId="0" fillId="0" fontId="28" numFmtId="3" xfId="0" applyAlignment="1" applyFont="1" applyNumberFormat="1">
      <alignment horizontal="right" shrinkToFit="0" vertical="bottom" wrapText="1"/>
    </xf>
    <xf borderId="0" fillId="0" fontId="28" numFmtId="1" xfId="0" applyAlignment="1" applyFont="1" applyNumberFormat="1">
      <alignment horizontal="right" readingOrder="0" shrinkToFit="0" vertical="bottom" wrapText="1"/>
    </xf>
    <xf borderId="0" fillId="7" fontId="28" numFmtId="0" xfId="0" applyAlignment="1" applyFont="1">
      <alignment readingOrder="0" shrinkToFit="0" vertical="bottom" wrapText="1"/>
    </xf>
    <xf borderId="0" fillId="7" fontId="27" numFmtId="3" xfId="0" applyAlignment="1" applyFont="1" applyNumberFormat="1">
      <alignment shrinkToFit="0" wrapText="1"/>
    </xf>
    <xf borderId="0" fillId="0" fontId="7" numFmtId="168" xfId="0" applyAlignment="1" applyFont="1" applyNumberFormat="1">
      <alignment horizontal="right"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0" fontId="28" numFmtId="0" xfId="0" applyAlignment="1" applyFont="1">
      <alignment horizontal="left" readingOrder="0" shrinkToFit="0" vertical="bottom" wrapText="1"/>
    </xf>
    <xf borderId="0" fillId="0" fontId="7" numFmtId="1" xfId="0" applyAlignment="1" applyFont="1" applyNumberFormat="1">
      <alignment horizontal="left" shrinkToFit="0" vertical="bottom" wrapText="1"/>
    </xf>
    <xf borderId="0" fillId="0" fontId="7" numFmtId="179" xfId="0" applyAlignment="1" applyFont="1" applyNumberFormat="1">
      <alignment shrinkToFit="0" vertical="bottom" wrapText="0"/>
    </xf>
    <xf borderId="0" fillId="0" fontId="28" numFmtId="168" xfId="0" applyAlignment="1" applyFont="1" applyNumberFormat="1">
      <alignment horizontal="center" shrinkToFit="0" vertical="bottom" wrapText="1"/>
    </xf>
    <xf borderId="0" fillId="0" fontId="28" numFmtId="3" xfId="0" applyAlignment="1" applyFont="1" applyNumberFormat="1">
      <alignment horizontal="center" shrinkToFit="0" vertical="bottom" wrapText="1"/>
    </xf>
    <xf borderId="0" fillId="0" fontId="7" numFmtId="179" xfId="0" applyAlignment="1" applyFont="1" applyNumberFormat="1">
      <alignment shrinkToFit="0" vertical="bottom" wrapText="1"/>
    </xf>
    <xf borderId="0" fillId="2" fontId="28" numFmtId="0" xfId="0" applyAlignment="1" applyFont="1">
      <alignment shrinkToFit="0" vertical="bottom" wrapText="1"/>
    </xf>
    <xf borderId="0" fillId="2" fontId="28" numFmtId="179" xfId="0" applyAlignment="1" applyFont="1" applyNumberFormat="1">
      <alignment shrinkToFit="0" vertical="bottom" wrapText="0"/>
    </xf>
    <xf borderId="0" fillId="2" fontId="28" numFmtId="168" xfId="0" applyAlignment="1" applyFont="1" applyNumberFormat="1">
      <alignment shrinkToFit="0" vertical="bottom" wrapText="1"/>
    </xf>
    <xf borderId="0" fillId="2" fontId="28" numFmtId="3" xfId="0" applyAlignment="1" applyFont="1" applyNumberFormat="1">
      <alignment horizontal="center" shrinkToFit="0" vertical="bottom" wrapText="1"/>
    </xf>
    <xf borderId="0" fillId="2" fontId="28" numFmtId="3" xfId="0" applyAlignment="1" applyFont="1" applyNumberFormat="1">
      <alignment shrinkToFit="0" vertical="bottom" wrapText="1"/>
    </xf>
    <xf borderId="0" fillId="2" fontId="28" numFmtId="179" xfId="0" applyAlignment="1" applyFont="1" applyNumberFormat="1">
      <alignment shrinkToFit="0" vertical="bottom" wrapText="1"/>
    </xf>
    <xf borderId="0" fillId="2" fontId="28" numFmtId="0" xfId="0" applyAlignment="1" applyFont="1">
      <alignment horizontal="right" shrinkToFit="0" vertical="bottom" wrapText="1"/>
    </xf>
    <xf borderId="0" fillId="2" fontId="28" numFmtId="0" xfId="0" applyAlignment="1" applyFont="1">
      <alignment horizontal="center"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168" xfId="0" applyAlignment="1" applyFont="1" applyNumberFormat="1">
      <alignment shrinkToFit="0" vertical="bottom" wrapText="1"/>
    </xf>
    <xf borderId="0" fillId="0" fontId="7" numFmtId="168" xfId="0" applyAlignment="1" applyFont="1" applyNumberFormat="1">
      <alignment horizontal="right" shrinkToFit="0" vertical="bottom" wrapText="1"/>
    </xf>
    <xf borderId="0" fillId="0" fontId="7" numFmtId="3" xfId="0" applyAlignment="1" applyFont="1" applyNumberFormat="1">
      <alignment horizontal="right" shrinkToFit="0" vertical="bottom" wrapText="1"/>
    </xf>
    <xf borderId="0" fillId="11" fontId="7" numFmtId="3" xfId="0" applyAlignment="1" applyFill="1" applyFont="1" applyNumberFormat="1">
      <alignment horizontal="right" shrinkToFit="0" vertical="bottom" wrapText="1"/>
    </xf>
    <xf borderId="0" fillId="12" fontId="7" numFmtId="3" xfId="0" applyAlignment="1" applyFill="1" applyFont="1" applyNumberFormat="1">
      <alignment horizontal="right" shrinkToFit="0" vertical="bottom" wrapText="1"/>
    </xf>
    <xf borderId="0" fillId="7" fontId="7" numFmtId="168" xfId="0" applyAlignment="1" applyFont="1" applyNumberFormat="1">
      <alignment horizontal="right" shrinkToFit="0" vertical="bottom" wrapText="1"/>
    </xf>
    <xf borderId="0" fillId="7" fontId="7" numFmtId="3" xfId="0" applyAlignment="1" applyFont="1" applyNumberFormat="1">
      <alignment horizontal="right" readingOrder="0" shrinkToFit="0" vertical="bottom" wrapText="1"/>
    </xf>
    <xf borderId="0" fillId="7" fontId="7" numFmtId="3" xfId="0" applyAlignment="1" applyFont="1" applyNumberFormat="1">
      <alignment horizontal="right" shrinkToFit="0" vertical="bottom" wrapText="1"/>
    </xf>
    <xf borderId="0" fillId="0" fontId="28" numFmtId="0" xfId="0" applyAlignment="1" applyFont="1">
      <alignment shrinkToFit="0" vertical="bottom" wrapText="1"/>
    </xf>
    <xf borderId="0" fillId="0" fontId="28" numFmtId="168" xfId="0" applyAlignment="1" applyFont="1" applyNumberFormat="1">
      <alignment horizontal="right" shrinkToFit="0" vertical="bottom" wrapText="1"/>
    </xf>
    <xf borderId="0" fillId="12" fontId="28" numFmtId="3" xfId="0" applyAlignment="1" applyFont="1" applyNumberFormat="1">
      <alignment horizontal="right" shrinkToFit="0" vertical="bottom" wrapText="1"/>
    </xf>
    <xf borderId="0" fillId="0" fontId="28" numFmtId="179" xfId="0" applyAlignment="1" applyFont="1" applyNumberFormat="1">
      <alignment shrinkToFit="0" vertical="bottom" wrapText="0"/>
    </xf>
    <xf borderId="0" fillId="0" fontId="7" numFmtId="168" xfId="0" applyAlignment="1" applyFont="1" applyNumberFormat="1">
      <alignment horizontal="right" shrinkToFit="0" vertical="bottom" wrapText="1"/>
    </xf>
    <xf borderId="0" fillId="0" fontId="28" numFmtId="179" xfId="0" applyAlignment="1" applyFont="1" applyNumberFormat="1">
      <alignment readingOrder="0" shrinkToFit="0" vertical="bottom" wrapText="0"/>
    </xf>
    <xf borderId="0" fillId="7" fontId="7" numFmtId="168" xfId="0" applyAlignment="1" applyFont="1" applyNumberFormat="1">
      <alignment horizontal="right" readingOrder="0" shrinkToFit="0" vertical="bottom" wrapText="1"/>
    </xf>
    <xf borderId="0" fillId="0" fontId="28" numFmtId="3" xfId="0" applyAlignment="1" applyFont="1" applyNumberForma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0" fontId="28" numFmtId="179" xfId="0" applyAlignment="1" applyFont="1" applyNumberFormat="1">
      <alignment shrinkToFit="0" vertical="bottom" wrapText="0"/>
    </xf>
    <xf borderId="0" fillId="2" fontId="7" numFmtId="166" xfId="0" applyAlignment="1" applyFont="1" applyNumberFormat="1">
      <alignment shrinkToFit="0" vertical="bottom" wrapText="0"/>
    </xf>
    <xf borderId="0" fillId="2" fontId="7" numFmtId="168" xfId="0" applyAlignment="1" applyFont="1" applyNumberFormat="1">
      <alignment shrinkToFit="0" vertical="bottom" wrapText="1"/>
    </xf>
    <xf borderId="0" fillId="2" fontId="7" numFmtId="179" xfId="0" applyAlignment="1" applyFont="1" applyNumberFormat="1">
      <alignment shrinkToFit="0" vertical="bottom" wrapText="1"/>
    </xf>
    <xf borderId="0" fillId="0" fontId="7" numFmtId="166" xfId="0" applyAlignment="1" applyFont="1" applyNumberFormat="1">
      <alignment horizontal="right" shrinkToFit="0" vertical="bottom" wrapText="0"/>
    </xf>
    <xf borderId="0" fillId="0" fontId="31" numFmtId="0" xfId="0" applyAlignment="1" applyFont="1">
      <alignment readingOrder="0" shrinkToFit="0" vertical="bottom" wrapText="1"/>
    </xf>
    <xf borderId="0" fillId="7" fontId="7" numFmtId="165" xfId="0" applyAlignment="1" applyFont="1" applyNumberFormat="1">
      <alignment horizontal="right" readingOrder="0" shrinkToFit="0" vertical="bottom" wrapText="0"/>
    </xf>
    <xf borderId="0" fillId="7" fontId="7" numFmtId="3" xfId="0" applyAlignment="1" applyFont="1" applyNumberFormat="1">
      <alignment horizontal="right" readingOrder="0" shrinkToFit="0" vertical="bottom" wrapText="0"/>
    </xf>
    <xf borderId="0" fillId="7" fontId="6" numFmtId="9" xfId="0" applyAlignment="1" applyFont="1" applyNumberFormat="1">
      <alignment horizontal="right" readingOrder="0" shrinkToFit="0" wrapText="0"/>
    </xf>
    <xf borderId="0" fillId="7" fontId="7" numFmtId="9" xfId="0" applyAlignment="1" applyFont="1" applyNumberFormat="1">
      <alignment horizontal="right" readingOrder="0" shrinkToFit="0" vertical="bottom" wrapText="0"/>
    </xf>
    <xf borderId="0" fillId="0" fontId="6" numFmtId="179" xfId="0" applyAlignment="1" applyFont="1" applyNumberFormat="1">
      <alignment horizontal="left" shrinkToFit="0" wrapText="0"/>
    </xf>
    <xf borderId="0" fillId="0" fontId="6" numFmtId="168" xfId="0" applyAlignment="1" applyFont="1" applyNumberFormat="1">
      <alignment shrinkToFit="0" wrapText="1"/>
    </xf>
    <xf borderId="0" fillId="0" fontId="6" numFmtId="3" xfId="0" applyAlignment="1" applyFont="1" applyNumberFormat="1">
      <alignment shrinkToFit="0" wrapText="1"/>
    </xf>
    <xf borderId="0" fillId="0" fontId="6" numFmtId="179" xfId="0" applyAlignment="1" applyFont="1" applyNumberFormat="1">
      <alignment shrinkToFit="0" wrapText="1"/>
    </xf>
    <xf borderId="0" fillId="0" fontId="6" numFmtId="3" xfId="0" applyAlignment="1" applyFont="1" applyNumberFormat="1">
      <alignment readingOrder="0" shrinkToFit="0" wrapText="1"/>
    </xf>
    <xf borderId="0" fillId="0" fontId="6" numFmtId="2" xfId="0" applyAlignment="1" applyFont="1" applyNumberFormat="1">
      <alignment readingOrder="0" shrinkToFit="0" wrapText="1"/>
    </xf>
    <xf borderId="0" fillId="0" fontId="6" numFmtId="4" xfId="0" applyAlignment="1" applyFont="1" applyNumberFormat="1">
      <alignment shrinkToFit="0" wrapText="1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Income!$A$95:$A$105</c:f>
            </c:strRef>
          </c:cat>
          <c:val>
            <c:numRef>
              <c:f>Income!$A$95:$A$105</c:f>
              <c:numCache/>
            </c:numRef>
          </c:val>
        </c:ser>
        <c:axId val="1302633924"/>
        <c:axId val="1262277064"/>
      </c:barChart>
      <c:catAx>
        <c:axId val="1302633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62277064"/>
      </c:catAx>
      <c:valAx>
        <c:axId val="126227706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026339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percentStacked"/>
        <c:ser>
          <c:idx val="0"/>
          <c:order val="0"/>
          <c:tx>
            <c:strRef>
              <c:f>Expenses!$A$2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Expenses!$B$1:$CF$1</c:f>
            </c:strRef>
          </c:cat>
          <c:val>
            <c:numRef>
              <c:f>Expenses!$B$2:$CF$2</c:f>
              <c:numCache/>
            </c:numRef>
          </c:val>
        </c:ser>
        <c:ser>
          <c:idx val="1"/>
          <c:order val="1"/>
          <c:tx>
            <c:strRef>
              <c:f>Expenses!$A$3</c:f>
            </c:strRef>
          </c:tx>
          <c:spPr>
            <a:solidFill>
              <a:srgbClr val="DB4437">
                <a:alpha val="30000"/>
              </a:srgbClr>
            </a:solidFill>
            <a:ln cmpd="sng">
              <a:solidFill>
                <a:srgbClr val="DB4437"/>
              </a:solidFill>
            </a:ln>
          </c:spPr>
          <c:cat>
            <c:strRef>
              <c:f>Expenses!$B$1:$CF$1</c:f>
            </c:strRef>
          </c:cat>
          <c:val>
            <c:numRef>
              <c:f>Expenses!$B$3:$CF$3</c:f>
              <c:numCache/>
            </c:numRef>
          </c:val>
        </c:ser>
        <c:ser>
          <c:idx val="2"/>
          <c:order val="2"/>
          <c:tx>
            <c:strRef>
              <c:f>Expenses!$A$4</c:f>
            </c:strRef>
          </c:tx>
          <c:spPr>
            <a:solidFill>
              <a:srgbClr val="F4B400">
                <a:alpha val="30000"/>
              </a:srgbClr>
            </a:solidFill>
            <a:ln cmpd="sng">
              <a:solidFill>
                <a:srgbClr val="F4B400"/>
              </a:solidFill>
            </a:ln>
          </c:spPr>
          <c:cat>
            <c:strRef>
              <c:f>Expenses!$B$1:$CF$1</c:f>
            </c:strRef>
          </c:cat>
          <c:val>
            <c:numRef>
              <c:f>Expenses!$B$4:$CF$4</c:f>
              <c:numCache/>
            </c:numRef>
          </c:val>
        </c:ser>
        <c:ser>
          <c:idx val="3"/>
          <c:order val="3"/>
          <c:tx>
            <c:strRef>
              <c:f>Expenses!$A$5</c:f>
            </c:strRef>
          </c:tx>
          <c:spPr>
            <a:solidFill>
              <a:srgbClr val="0F9D58">
                <a:alpha val="30000"/>
              </a:srgbClr>
            </a:solidFill>
            <a:ln cmpd="sng">
              <a:solidFill>
                <a:srgbClr val="0F9D58"/>
              </a:solidFill>
            </a:ln>
          </c:spPr>
          <c:cat>
            <c:strRef>
              <c:f>Expenses!$B$1:$CF$1</c:f>
            </c:strRef>
          </c:cat>
          <c:val>
            <c:numRef>
              <c:f>Expenses!$B$5:$CF$5</c:f>
              <c:numCache/>
            </c:numRef>
          </c:val>
        </c:ser>
        <c:ser>
          <c:idx val="4"/>
          <c:order val="4"/>
          <c:tx>
            <c:strRef>
              <c:f>Expenses!$A$6</c:f>
            </c:strRef>
          </c:tx>
          <c:spPr>
            <a:solidFill>
              <a:srgbClr val="FF6D00">
                <a:alpha val="30000"/>
              </a:srgbClr>
            </a:solidFill>
            <a:ln cmpd="sng">
              <a:solidFill>
                <a:srgbClr val="FF6D00"/>
              </a:solidFill>
            </a:ln>
          </c:spPr>
          <c:cat>
            <c:strRef>
              <c:f>Expenses!$B$1:$CF$1</c:f>
            </c:strRef>
          </c:cat>
          <c:val>
            <c:numRef>
              <c:f>Expenses!$B$6:$CF$6</c:f>
              <c:numCache/>
            </c:numRef>
          </c:val>
        </c:ser>
        <c:ser>
          <c:idx val="5"/>
          <c:order val="5"/>
          <c:tx>
            <c:strRef>
              <c:f>Expenses!$A$7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Expenses!$B$1:$CF$1</c:f>
            </c:strRef>
          </c:cat>
          <c:val>
            <c:numRef>
              <c:f>Expenses!$B$7:$CF$7</c:f>
              <c:numCache/>
            </c:numRef>
          </c:val>
        </c:ser>
        <c:ser>
          <c:idx val="6"/>
          <c:order val="6"/>
          <c:tx>
            <c:strRef>
              <c:f>Expenses!$A$8</c:f>
            </c:strRef>
          </c:tx>
          <c:spPr>
            <a:solidFill>
              <a:srgbClr val="AB30C4">
                <a:alpha val="30000"/>
              </a:srgbClr>
            </a:solidFill>
            <a:ln cmpd="sng">
              <a:solidFill>
                <a:srgbClr val="AB30C4"/>
              </a:solidFill>
            </a:ln>
          </c:spPr>
          <c:cat>
            <c:strRef>
              <c:f>Expenses!$B$1:$CF$1</c:f>
            </c:strRef>
          </c:cat>
          <c:val>
            <c:numRef>
              <c:f>Expenses!$B$8:$CF$8</c:f>
              <c:numCache/>
            </c:numRef>
          </c:val>
        </c:ser>
        <c:ser>
          <c:idx val="7"/>
          <c:order val="7"/>
          <c:tx>
            <c:strRef>
              <c:f>Expenses!$A$9</c:f>
            </c:strRef>
          </c:tx>
          <c:spPr>
            <a:solidFill>
              <a:srgbClr val="C1BC1F">
                <a:alpha val="30000"/>
              </a:srgbClr>
            </a:solidFill>
            <a:ln cmpd="sng">
              <a:solidFill>
                <a:srgbClr val="C1BC1F"/>
              </a:solidFill>
            </a:ln>
          </c:spPr>
          <c:cat>
            <c:strRef>
              <c:f>Expenses!$B$1:$CF$1</c:f>
            </c:strRef>
          </c:cat>
          <c:val>
            <c:numRef>
              <c:f>Expenses!$B$9:$CF$9</c:f>
              <c:numCache/>
            </c:numRef>
          </c:val>
        </c:ser>
        <c:ser>
          <c:idx val="8"/>
          <c:order val="8"/>
          <c:tx>
            <c:strRef>
              <c:f>Expenses!$A$10</c:f>
            </c:strRef>
          </c:tx>
          <c:spPr>
            <a:solidFill>
              <a:srgbClr val="3949AB">
                <a:alpha val="30000"/>
              </a:srgbClr>
            </a:solidFill>
            <a:ln cmpd="sng">
              <a:solidFill>
                <a:srgbClr val="3949AB"/>
              </a:solidFill>
            </a:ln>
          </c:spPr>
          <c:cat>
            <c:strRef>
              <c:f>Expenses!$B$1:$CF$1</c:f>
            </c:strRef>
          </c:cat>
          <c:val>
            <c:numRef>
              <c:f>Expenses!$B$10:$CF$10</c:f>
              <c:numCache/>
            </c:numRef>
          </c:val>
        </c:ser>
        <c:ser>
          <c:idx val="9"/>
          <c:order val="9"/>
          <c:tx>
            <c:strRef>
              <c:f>Expenses!$A$11</c:f>
            </c:strRef>
          </c:tx>
          <c:spPr>
            <a:solidFill>
              <a:srgbClr val="F975A8">
                <a:alpha val="30000"/>
              </a:srgbClr>
            </a:solidFill>
            <a:ln cmpd="sng">
              <a:solidFill>
                <a:srgbClr val="F975A8"/>
              </a:solidFill>
            </a:ln>
          </c:spPr>
          <c:cat>
            <c:strRef>
              <c:f>Expenses!$B$1:$CF$1</c:f>
            </c:strRef>
          </c:cat>
          <c:val>
            <c:numRef>
              <c:f>Expenses!$B$11:$CF$11</c:f>
              <c:numCache/>
            </c:numRef>
          </c:val>
        </c:ser>
        <c:ser>
          <c:idx val="10"/>
          <c:order val="10"/>
          <c:tx>
            <c:strRef>
              <c:f>Expenses!$A$12</c:f>
            </c:strRef>
          </c:tx>
          <c:spPr>
            <a:solidFill>
              <a:srgbClr val="00695C">
                <a:alpha val="30000"/>
              </a:srgbClr>
            </a:solidFill>
            <a:ln cmpd="sng">
              <a:solidFill>
                <a:srgbClr val="00695C"/>
              </a:solidFill>
            </a:ln>
          </c:spPr>
          <c:cat>
            <c:strRef>
              <c:f>Expenses!$B$1:$CF$1</c:f>
            </c:strRef>
          </c:cat>
          <c:val>
            <c:numRef>
              <c:f>Expenses!$B$12:$CF$12</c:f>
              <c:numCache/>
            </c:numRef>
          </c:val>
        </c:ser>
        <c:ser>
          <c:idx val="11"/>
          <c:order val="11"/>
          <c:tx>
            <c:strRef>
              <c:f>Expenses!$A$13</c:f>
            </c:strRef>
          </c:tx>
          <c:spPr>
            <a:solidFill>
              <a:srgbClr val="C2185B">
                <a:alpha val="30000"/>
              </a:srgbClr>
            </a:solidFill>
            <a:ln cmpd="sng">
              <a:solidFill>
                <a:srgbClr val="C2185B"/>
              </a:solidFill>
            </a:ln>
          </c:spPr>
          <c:cat>
            <c:strRef>
              <c:f>Expenses!$B$1:$CF$1</c:f>
            </c:strRef>
          </c:cat>
          <c:val>
            <c:numRef>
              <c:f>Expenses!$B$13:$CF$13</c:f>
              <c:numCache/>
            </c:numRef>
          </c:val>
        </c:ser>
        <c:axId val="3789474"/>
        <c:axId val="2113519895"/>
      </c:areaChart>
      <c:catAx>
        <c:axId val="3789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3519895"/>
      </c:catAx>
      <c:valAx>
        <c:axId val="21135198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894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Expenses by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Expenses!$A$100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Expenses!$B$99:$CF$99</c:f>
            </c:strRef>
          </c:cat>
          <c:val>
            <c:numRef>
              <c:f>Expenses!$B$100:$CF$100</c:f>
              <c:numCache/>
            </c:numRef>
          </c:val>
          <c:smooth val="0"/>
        </c:ser>
        <c:ser>
          <c:idx val="1"/>
          <c:order val="1"/>
          <c:tx>
            <c:strRef>
              <c:f>Expenses!$A$101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circl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cat>
            <c:strRef>
              <c:f>Expenses!$B$99:$CF$99</c:f>
            </c:strRef>
          </c:cat>
          <c:val>
            <c:numRef>
              <c:f>Expenses!$B$101:$CF$101</c:f>
              <c:numCache/>
            </c:numRef>
          </c:val>
          <c:smooth val="0"/>
        </c:ser>
        <c:ser>
          <c:idx val="2"/>
          <c:order val="2"/>
          <c:tx>
            <c:strRef>
              <c:f>Expenses!$A$102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circle"/>
            <c:size val="7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cat>
            <c:strRef>
              <c:f>Expenses!$B$99:$CF$99</c:f>
            </c:strRef>
          </c:cat>
          <c:val>
            <c:numRef>
              <c:f>Expenses!$B$102:$CF$102</c:f>
              <c:numCache/>
            </c:numRef>
          </c:val>
          <c:smooth val="0"/>
        </c:ser>
        <c:axId val="945963116"/>
        <c:axId val="2128825527"/>
      </c:lineChart>
      <c:catAx>
        <c:axId val="9459631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28825527"/>
      </c:catAx>
      <c:valAx>
        <c:axId val="21288255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59631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Net Worth</a:t>
            </a:r>
          </a:p>
        </c:rich>
      </c:tx>
      <c:overlay val="0"/>
    </c:title>
    <c:plotArea>
      <c:layout>
        <c:manualLayout>
          <c:xMode val="edge"/>
          <c:yMode val="edge"/>
          <c:x val="0.08355886332882273"/>
          <c:y val="0.09258988378395332"/>
          <c:w val="0.9044811366711774"/>
          <c:h val="0.847700116216047"/>
        </c:manualLayout>
      </c:layout>
      <c:lineChart>
        <c:ser>
          <c:idx val="0"/>
          <c:order val="0"/>
          <c:tx>
            <c:strRef>
              <c:f>'Historical NW'!$B$1</c:f>
            </c:strRef>
          </c:tx>
          <c:spPr>
            <a:ln cmpd="sng" w="19050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'Historical NW'!$A$2:$A$389</c:f>
            </c:strRef>
          </c:cat>
          <c:val>
            <c:numRef>
              <c:f>'Historical NW'!$B$2:$B$389</c:f>
              <c:numCache/>
            </c:numRef>
          </c:val>
          <c:smooth val="0"/>
        </c:ser>
        <c:ser>
          <c:idx val="1"/>
          <c:order val="1"/>
          <c:tx>
            <c:strRef>
              <c:f>'Historical NW'!$C$1</c:f>
            </c:strRef>
          </c:tx>
          <c:spPr>
            <a:ln cmpd="sng">
              <a:solidFill>
                <a:srgbClr val="38761D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38761D">
                  <a:alpha val="100000"/>
                </a:srgbClr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marker>
          <c:cat>
            <c:strRef>
              <c:f>'Historical NW'!$A$2:$A$389</c:f>
            </c:strRef>
          </c:cat>
          <c:val>
            <c:numRef>
              <c:f>'Historical NW'!$C$2:$C$389</c:f>
              <c:numCache/>
            </c:numRef>
          </c:val>
          <c:smooth val="0"/>
        </c:ser>
        <c:axId val="1370202837"/>
        <c:axId val="643752768"/>
      </c:lineChart>
      <c:catAx>
        <c:axId val="1370202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43752768"/>
      </c:catAx>
      <c:valAx>
        <c:axId val="643752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>net worth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370202837"/>
      </c:valAx>
    </c:plotArea>
    <c:legend>
      <c:legendPos val="t"/>
      <c:overlay val="0"/>
      <c:txPr>
        <a:bodyPr/>
        <a:lstStyle/>
        <a:p>
          <a:pPr lvl="0">
            <a:defRPr b="1" i="0" sz="12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'Net Worth By Asset Class'!$A$2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Class'!$B$2:$Q$2</c:f>
              <c:numCache/>
            </c:numRef>
          </c:val>
          <c:smooth val="0"/>
        </c:ser>
        <c:ser>
          <c:idx val="1"/>
          <c:order val="1"/>
          <c:tx>
            <c:strRef>
              <c:f>'Net Worth By Asset Class'!$A$3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Class'!$B$3:$Q$3</c:f>
              <c:numCache/>
            </c:numRef>
          </c:val>
          <c:smooth val="0"/>
        </c:ser>
        <c:ser>
          <c:idx val="2"/>
          <c:order val="2"/>
          <c:tx>
            <c:strRef>
              <c:f>'Net Worth By Asset Class'!$A$4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Class'!$B$4:$Q$4</c:f>
              <c:numCache/>
            </c:numRef>
          </c:val>
          <c:smooth val="0"/>
        </c:ser>
        <c:ser>
          <c:idx val="3"/>
          <c:order val="3"/>
          <c:tx>
            <c:strRef>
              <c:f>'Net Worth By Asset Class'!$A$5</c:f>
            </c:strRef>
          </c:tx>
          <c:spPr>
            <a:ln cmpd="sng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Class'!$B$5:$Q$5</c:f>
              <c:numCache/>
            </c:numRef>
          </c:val>
          <c:smooth val="0"/>
        </c:ser>
        <c:ser>
          <c:idx val="4"/>
          <c:order val="4"/>
          <c:tx>
            <c:strRef>
              <c:f>'Net Worth By Asset Class'!$A$6</c:f>
            </c:strRef>
          </c:tx>
          <c:spPr>
            <a:ln cmpd="sng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Class'!$B$6:$Q$6</c:f>
              <c:numCache/>
            </c:numRef>
          </c:val>
          <c:smooth val="0"/>
        </c:ser>
        <c:ser>
          <c:idx val="5"/>
          <c:order val="5"/>
          <c:tx>
            <c:strRef>
              <c:f>'Net Worth By Asset Class'!$A$7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Class'!$B$7:$Q$7</c:f>
              <c:numCache/>
            </c:numRef>
          </c:val>
          <c:smooth val="0"/>
        </c:ser>
        <c:axId val="1091177747"/>
        <c:axId val="296021918"/>
      </c:lineChart>
      <c:catAx>
        <c:axId val="1091177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96021918"/>
      </c:catAx>
      <c:valAx>
        <c:axId val="2960219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91177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'Net Worth By Asset Class'!$A$2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Class'!$B$2:$Q$2</c:f>
              <c:numCache/>
            </c:numRef>
          </c:val>
        </c:ser>
        <c:ser>
          <c:idx val="1"/>
          <c:order val="1"/>
          <c:tx>
            <c:strRef>
              <c:f>'Net Worth By Asset Class'!$A$3</c:f>
            </c:strRef>
          </c:tx>
          <c:spPr>
            <a:solidFill>
              <a:srgbClr val="DB4437">
                <a:alpha val="30000"/>
              </a:srgbClr>
            </a:solidFill>
            <a:ln cmpd="sng">
              <a:solidFill>
                <a:srgbClr val="DB4437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Class'!$B$3:$Q$3</c:f>
              <c:numCache/>
            </c:numRef>
          </c:val>
        </c:ser>
        <c:ser>
          <c:idx val="2"/>
          <c:order val="2"/>
          <c:tx>
            <c:strRef>
              <c:f>'Net Worth By Asset Class'!$A$4</c:f>
            </c:strRef>
          </c:tx>
          <c:spPr>
            <a:solidFill>
              <a:srgbClr val="F4B400">
                <a:alpha val="30000"/>
              </a:srgbClr>
            </a:solidFill>
            <a:ln cmpd="sng">
              <a:solidFill>
                <a:srgbClr val="F4B400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Class'!$B$4:$Q$4</c:f>
              <c:numCache/>
            </c:numRef>
          </c:val>
        </c:ser>
        <c:ser>
          <c:idx val="3"/>
          <c:order val="3"/>
          <c:tx>
            <c:strRef>
              <c:f>'Net Worth By Asset Class'!$A$5</c:f>
            </c:strRef>
          </c:tx>
          <c:spPr>
            <a:solidFill>
              <a:srgbClr val="0F9D58">
                <a:alpha val="30000"/>
              </a:srgbClr>
            </a:solidFill>
            <a:ln cmpd="sng">
              <a:solidFill>
                <a:srgbClr val="0F9D58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Class'!$B$5:$Q$5</c:f>
              <c:numCache/>
            </c:numRef>
          </c:val>
        </c:ser>
        <c:ser>
          <c:idx val="4"/>
          <c:order val="4"/>
          <c:tx>
            <c:strRef>
              <c:f>'Net Worth By Asset Class'!$A$6</c:f>
            </c:strRef>
          </c:tx>
          <c:spPr>
            <a:solidFill>
              <a:srgbClr val="FF6D00">
                <a:alpha val="30000"/>
              </a:srgbClr>
            </a:solidFill>
            <a:ln cmpd="sng">
              <a:solidFill>
                <a:srgbClr val="FF6D00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Class'!$B$6:$Q$6</c:f>
              <c:numCache/>
            </c:numRef>
          </c:val>
        </c:ser>
        <c:axId val="787298257"/>
        <c:axId val="2144936476"/>
      </c:areaChart>
      <c:catAx>
        <c:axId val="787298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4936476"/>
      </c:catAx>
      <c:valAx>
        <c:axId val="2144936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72982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'Net Worth By Asset Class'!$A$2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Class'!$B$2:$Q$2</c:f>
              <c:numCache/>
            </c:numRef>
          </c:val>
        </c:ser>
        <c:ser>
          <c:idx val="1"/>
          <c:order val="1"/>
          <c:tx>
            <c:strRef>
              <c:f>'Net Worth By Asset Class'!$A$8</c:f>
            </c:strRef>
          </c:tx>
          <c:spPr>
            <a:solidFill>
              <a:srgbClr val="DB4437">
                <a:alpha val="30000"/>
              </a:srgbClr>
            </a:solidFill>
            <a:ln cmpd="sng">
              <a:solidFill>
                <a:srgbClr val="DB4437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Class'!$B$8:$Q$8</c:f>
              <c:numCache/>
            </c:numRef>
          </c:val>
        </c:ser>
        <c:ser>
          <c:idx val="2"/>
          <c:order val="2"/>
          <c:tx>
            <c:strRef>
              <c:f>'Net Worth By Asset Class'!$A$10</c:f>
            </c:strRef>
          </c:tx>
          <c:spPr>
            <a:solidFill>
              <a:srgbClr val="F4B400">
                <a:alpha val="30000"/>
              </a:srgbClr>
            </a:solidFill>
            <a:ln cmpd="sng">
              <a:solidFill>
                <a:srgbClr val="F4B400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Class'!$B$10:$Q$10</c:f>
              <c:numCache/>
            </c:numRef>
          </c:val>
        </c:ser>
        <c:ser>
          <c:idx val="3"/>
          <c:order val="3"/>
          <c:tx>
            <c:strRef>
              <c:f>'Net Worth By Asset Class'!$A$11</c:f>
            </c:strRef>
          </c:tx>
          <c:spPr>
            <a:solidFill>
              <a:srgbClr val="0F9D58">
                <a:alpha val="30000"/>
              </a:srgbClr>
            </a:solidFill>
            <a:ln cmpd="sng">
              <a:solidFill>
                <a:srgbClr val="0F9D58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Class'!$B$11:$Q$11</c:f>
              <c:numCache/>
            </c:numRef>
          </c:val>
        </c:ser>
        <c:ser>
          <c:idx val="4"/>
          <c:order val="4"/>
          <c:tx>
            <c:strRef>
              <c:f>'Net Worth By Asset Class'!$A$12</c:f>
            </c:strRef>
          </c:tx>
          <c:spPr>
            <a:solidFill>
              <a:srgbClr val="FF6D00">
                <a:alpha val="30000"/>
              </a:srgbClr>
            </a:solidFill>
            <a:ln cmpd="sng">
              <a:solidFill>
                <a:srgbClr val="FF6D00"/>
              </a:solidFill>
            </a:ln>
          </c:spPr>
          <c:cat>
            <c:strRef>
              <c:f>'Net Worth By Asset Class'!$B$1:$Q$1</c:f>
            </c:strRef>
          </c:cat>
          <c:val>
            <c:numRef>
              <c:f>'Net Worth By Asset Class'!$B$12:$Q$12</c:f>
              <c:numCache/>
            </c:numRef>
          </c:val>
        </c:ser>
        <c:axId val="1895653002"/>
        <c:axId val="658273564"/>
      </c:areaChart>
      <c:catAx>
        <c:axId val="18956530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8273564"/>
      </c:catAx>
      <c:valAx>
        <c:axId val="658273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956530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'Net Worth By Asset Class'!$A$2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Class'!$B$2:$Q$2</c:f>
              <c:numCache/>
            </c:numRef>
          </c:val>
          <c:smooth val="0"/>
        </c:ser>
        <c:ser>
          <c:idx val="1"/>
          <c:order val="1"/>
          <c:tx>
            <c:strRef>
              <c:f>'Net Worth By Asset Class'!$A$8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Class'!$B$8:$Q$8</c:f>
              <c:numCache/>
            </c:numRef>
          </c:val>
          <c:smooth val="0"/>
        </c:ser>
        <c:ser>
          <c:idx val="2"/>
          <c:order val="2"/>
          <c:tx>
            <c:strRef>
              <c:f>'Net Worth By Asset Class'!$A$10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Class'!$B$10:$Q$10</c:f>
              <c:numCache/>
            </c:numRef>
          </c:val>
          <c:smooth val="0"/>
        </c:ser>
        <c:ser>
          <c:idx val="3"/>
          <c:order val="3"/>
          <c:tx>
            <c:strRef>
              <c:f>'Net Worth By Asset Class'!$A$11</c:f>
            </c:strRef>
          </c:tx>
          <c:spPr>
            <a:ln cmpd="sng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Class'!$B$11:$Q$11</c:f>
              <c:numCache/>
            </c:numRef>
          </c:val>
          <c:smooth val="0"/>
        </c:ser>
        <c:ser>
          <c:idx val="4"/>
          <c:order val="4"/>
          <c:tx>
            <c:strRef>
              <c:f>'Net Worth By Asset Class'!$A$12</c:f>
            </c:strRef>
          </c:tx>
          <c:spPr>
            <a:ln cmpd="sng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'Net Worth By Asset Class'!$B$1:$Q$1</c:f>
            </c:strRef>
          </c:cat>
          <c:val>
            <c:numRef>
              <c:f>'Net Worth By Asset Class'!$B$12:$Q$12</c:f>
              <c:numCache/>
            </c:numRef>
          </c:val>
          <c:smooth val="0"/>
        </c:ser>
        <c:axId val="912796003"/>
        <c:axId val="803760805"/>
      </c:lineChart>
      <c:catAx>
        <c:axId val="912796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3760805"/>
      </c:catAx>
      <c:valAx>
        <c:axId val="803760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27960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Expenses and Passive Income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'Income And Expenses'!$A$5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'Income And Expenses'!$B$1:$R$1</c:f>
            </c:strRef>
          </c:cat>
          <c:val>
            <c:numRef>
              <c:f>'Income And Expenses'!$B$5:$R$5</c:f>
              <c:numCache/>
            </c:numRef>
          </c:val>
          <c:smooth val="0"/>
        </c:ser>
        <c:ser>
          <c:idx val="1"/>
          <c:order val="1"/>
          <c:tx>
            <c:strRef>
              <c:f>'Income And Expenses'!$A$6</c:f>
            </c:strRef>
          </c:tx>
          <c:spPr>
            <a:ln cmpd="sng">
              <a:solidFill>
                <a:srgbClr val="00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'Income And Expenses'!$B$1:$R$1</c:f>
            </c:strRef>
          </c:cat>
          <c:val>
            <c:numRef>
              <c:f>'Income And Expenses'!$B$6:$R$6</c:f>
              <c:numCache/>
            </c:numRef>
          </c:val>
          <c:smooth val="0"/>
        </c:ser>
        <c:ser>
          <c:idx val="2"/>
          <c:order val="2"/>
          <c:tx>
            <c:strRef>
              <c:f>'Income And Expenses'!$A$7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'Income And Expenses'!$B$1:$R$1</c:f>
            </c:strRef>
          </c:cat>
          <c:val>
            <c:numRef>
              <c:f>'Income And Expenses'!$B$7:$R$7</c:f>
              <c:numCache/>
            </c:numRef>
          </c:val>
          <c:smooth val="0"/>
        </c:ser>
        <c:axId val="1345191504"/>
        <c:axId val="2143173916"/>
      </c:lineChart>
      <c:catAx>
        <c:axId val="134519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3173916"/>
      </c:catAx>
      <c:valAx>
        <c:axId val="21431739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5191504"/>
        <c:majorUnit val="5000.0"/>
        <c:minorUnit val="100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Compare Months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'2022 Exp - Deprecated'!$A$24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'2022 Exp - Deprecated'!$B$23:$M$23</c:f>
            </c:strRef>
          </c:cat>
          <c:val>
            <c:numRef>
              <c:f>'2022 Exp - Deprecated'!$B$24:$M$24</c:f>
              <c:numCache/>
            </c:numRef>
          </c:val>
        </c:ser>
        <c:axId val="1890686337"/>
        <c:axId val="1797701438"/>
      </c:barChart>
      <c:catAx>
        <c:axId val="1890686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Pick a 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7701438"/>
      </c:catAx>
      <c:valAx>
        <c:axId val="17977014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906863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'2022 Exp - Deprecated'!$O$23</c:f>
            </c:strRef>
          </c:cat>
          <c:val>
            <c:numRef>
              <c:f>'2022 Exp - Deprecated'!$O$24</c:f>
              <c:numCache/>
            </c:numRef>
          </c:val>
        </c:ser>
        <c:axId val="302905109"/>
        <c:axId val="1509506742"/>
      </c:barChart>
      <c:catAx>
        <c:axId val="3029051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Pick a 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09506742"/>
      </c:catAx>
      <c:valAx>
        <c:axId val="150950674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029051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Expenses by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'2022 Exp - Deprecated'!$A$79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'2022 Exp - Deprecated'!$B$78:$M$78</c:f>
            </c:strRef>
          </c:cat>
          <c:val>
            <c:numRef>
              <c:f>'2022 Exp - Deprecated'!$B$79:$M$79</c:f>
              <c:numCache/>
            </c:numRef>
          </c:val>
          <c:smooth val="0"/>
        </c:ser>
        <c:ser>
          <c:idx val="1"/>
          <c:order val="1"/>
          <c:tx>
            <c:strRef>
              <c:f>'2022 Exp - Deprecated'!$A$80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circl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cat>
            <c:strRef>
              <c:f>'2022 Exp - Deprecated'!$B$78:$M$78</c:f>
            </c:strRef>
          </c:cat>
          <c:val>
            <c:numRef>
              <c:f>'2022 Exp - Deprecated'!$B$80:$M$80</c:f>
              <c:numCache/>
            </c:numRef>
          </c:val>
          <c:smooth val="0"/>
        </c:ser>
        <c:ser>
          <c:idx val="2"/>
          <c:order val="2"/>
          <c:tx>
            <c:strRef>
              <c:f>'2022 Exp - Deprecated'!$A$81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circle"/>
            <c:size val="7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cat>
            <c:strRef>
              <c:f>'2022 Exp - Deprecated'!$B$78:$M$78</c:f>
            </c:strRef>
          </c:cat>
          <c:val>
            <c:numRef>
              <c:f>'2022 Exp - Deprecated'!$B$81:$M$81</c:f>
              <c:numCache/>
            </c:numRef>
          </c:val>
          <c:smooth val="0"/>
        </c:ser>
        <c:axId val="169506261"/>
        <c:axId val="1953432226"/>
      </c:lineChart>
      <c:catAx>
        <c:axId val="1695062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53432226"/>
      </c:catAx>
      <c:valAx>
        <c:axId val="1953432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5062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'2022 Exp - Deprecated'!$O$78</c:f>
            </c:strRef>
          </c:cat>
          <c:val>
            <c:numRef>
              <c:f>'2022 Exp - Deprecated'!$O$79</c:f>
              <c:numCache/>
            </c:numRef>
          </c:val>
        </c:ser>
        <c:ser>
          <c:idx val="1"/>
          <c:order val="1"/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'2022 Exp - Deprecated'!$O$78</c:f>
            </c:strRef>
          </c:cat>
          <c:val>
            <c:numRef>
              <c:f>'2022 Exp - Deprecated'!$O$80</c:f>
              <c:numCache/>
            </c:numRef>
          </c:val>
        </c:ser>
        <c:ser>
          <c:idx val="2"/>
          <c:order val="2"/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'2022 Exp - Deprecated'!$O$78</c:f>
            </c:strRef>
          </c:cat>
          <c:val>
            <c:numRef>
              <c:f>'2022 Exp - Deprecated'!$O$81</c:f>
              <c:numCache/>
            </c:numRef>
          </c:val>
        </c:ser>
        <c:axId val="203933710"/>
        <c:axId val="1114300040"/>
      </c:barChart>
      <c:catAx>
        <c:axId val="203933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4300040"/>
      </c:catAx>
      <c:valAx>
        <c:axId val="111430004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9337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Expenses Pie Chart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'2022 Exp - Deprecated'!$A$24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'2022 Exp - Deprecated'!$B$23:$M$23</c:f>
            </c:strRef>
          </c:cat>
          <c:val>
            <c:numRef>
              <c:f>'2022 Exp - Deprecated'!$B$24:$M$24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Expenses with Savings</a:t>
            </a:r>
          </a:p>
        </c:rich>
      </c:tx>
      <c:overlay val="0"/>
    </c:title>
    <c:plotArea>
      <c:layout>
        <c:manualLayout>
          <c:xMode val="edge"/>
          <c:yMode val="edge"/>
          <c:x val="0.038230088495575264"/>
          <c:y val="0.13025911005960875"/>
          <c:w val="0.9219469026548672"/>
          <c:h val="0.8197408899403912"/>
        </c:manualLayout>
      </c:layout>
      <c:pieChart>
        <c:varyColors val="1"/>
        <c:ser>
          <c:idx val="0"/>
          <c:order val="0"/>
          <c:tx>
            <c:strRef>
              <c:f>'2022 Exp - Deprecated'!$A$24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('2022 Exp - Deprecated'!$B$23:$M$23,'2022 Exp - Deprecated'!$P$23)</c:f>
            </c:strRef>
          </c:cat>
          <c:val>
            <c:numRef>
              <c:f>('2022 Exp - Deprecated'!$B$24:$M$24,'2022 Exp - Deprecated'!$P$24)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Expenses and SWR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'2022 Exp - Deprecated'!$A$17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'2022 Exp - Deprecated'!$B$2:$M$2</c:f>
            </c:strRef>
          </c:cat>
          <c:val>
            <c:numRef>
              <c:f>'2022 Exp - Deprecated'!$B$17:$M$17</c:f>
              <c:numCache/>
            </c:numRef>
          </c:val>
        </c:ser>
        <c:axId val="1361448372"/>
        <c:axId val="1780273763"/>
      </c:areaChart>
      <c:catAx>
        <c:axId val="13614483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80273763"/>
      </c:catAx>
      <c:valAx>
        <c:axId val="178027376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614483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Income and Expenses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'2022 Exp - Deprecated'!$A$17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'2022 Exp - Deprecated'!$B$2:$M$2</c:f>
            </c:strRef>
          </c:cat>
          <c:val>
            <c:numRef>
              <c:f>'2022 Exp - Deprecated'!$B$17:$M$17</c:f>
              <c:numCache/>
            </c:numRef>
          </c:val>
        </c:ser>
        <c:ser>
          <c:idx val="1"/>
          <c:order val="1"/>
          <c:tx>
            <c:strRef>
              <c:f>'2022 Exp - Deprecated'!$A$18</c:f>
            </c:strRef>
          </c:tx>
          <c:spPr>
            <a:solidFill>
              <a:srgbClr val="DB4437">
                <a:alpha val="30000"/>
              </a:srgbClr>
            </a:solidFill>
            <a:ln cmpd="sng">
              <a:solidFill>
                <a:srgbClr val="DB4437"/>
              </a:solidFill>
            </a:ln>
          </c:spPr>
          <c:cat>
            <c:strRef>
              <c:f>'2022 Exp - Deprecated'!$B$2:$M$2</c:f>
            </c:strRef>
          </c:cat>
          <c:val>
            <c:numRef>
              <c:f>'2022 Exp - Deprecated'!$B$18:$M$18</c:f>
              <c:numCache/>
            </c:numRef>
          </c:val>
        </c:ser>
        <c:axId val="523890897"/>
        <c:axId val="1371242990"/>
      </c:areaChart>
      <c:catAx>
        <c:axId val="523890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1242990"/>
      </c:catAx>
      <c:valAx>
        <c:axId val="1371242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23890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Stocks% vs. All Country World CAPE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'Asset Allocation'!$E$159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2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'Asset Allocation'!$D$160:$D$164</c:f>
            </c:strRef>
          </c:cat>
          <c:val>
            <c:numRef>
              <c:f>'Asset Allocation'!$E$160:$E$164</c:f>
              <c:numCache/>
            </c:numRef>
          </c:val>
          <c:smooth val="0"/>
        </c:ser>
        <c:axId val="338415614"/>
        <c:axId val="319533307"/>
      </c:lineChart>
      <c:catAx>
        <c:axId val="338415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CAPE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19533307"/>
      </c:catAx>
      <c:valAx>
        <c:axId val="319533307"/>
        <c:scaling>
          <c:orientation val="minMax"/>
          <c:max val="1.2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Stocks%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8415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Relationship Id="rId7" Type="http://schemas.openxmlformats.org/officeDocument/2006/relationships/chart" Target="../charts/chart16.xml"/><Relationship Id="rId8" Type="http://schemas.openxmlformats.org/officeDocument/2006/relationships/chart" Target="../charts/chart17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90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57</xdr:row>
      <xdr:rowOff>19050</xdr:rowOff>
    </xdr:from>
    <xdr:ext cx="13287375" cy="6324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47625</xdr:colOff>
      <xdr:row>106</xdr:row>
      <xdr:rowOff>47625</xdr:rowOff>
    </xdr:from>
    <xdr:ext cx="10125075" cy="53340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95250</xdr:rowOff>
    </xdr:from>
    <xdr:ext cx="14077950" cy="70199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16</xdr:row>
      <xdr:rowOff>28575</xdr:rowOff>
    </xdr:from>
    <xdr:ext cx="8001000" cy="49434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133350</xdr:colOff>
      <xdr:row>16</xdr:row>
      <xdr:rowOff>28575</xdr:rowOff>
    </xdr:from>
    <xdr:ext cx="8001000" cy="49434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142875</xdr:colOff>
      <xdr:row>48</xdr:row>
      <xdr:rowOff>28575</xdr:rowOff>
    </xdr:from>
    <xdr:ext cx="8001000" cy="49434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28575</xdr:colOff>
      <xdr:row>48</xdr:row>
      <xdr:rowOff>38100</xdr:rowOff>
    </xdr:from>
    <xdr:ext cx="8001000" cy="49434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42</xdr:row>
      <xdr:rowOff>57150</xdr:rowOff>
    </xdr:from>
    <xdr:ext cx="8953500" cy="30194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25</xdr:row>
      <xdr:rowOff>28575</xdr:rowOff>
    </xdr:from>
    <xdr:ext cx="7810500" cy="41148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28575</xdr:colOff>
      <xdr:row>25</xdr:row>
      <xdr:rowOff>28575</xdr:rowOff>
    </xdr:from>
    <xdr:ext cx="3800475" cy="41148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47625</xdr:colOff>
      <xdr:row>81</xdr:row>
      <xdr:rowOff>47625</xdr:rowOff>
    </xdr:from>
    <xdr:ext cx="7877175" cy="41529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47625</xdr:colOff>
      <xdr:row>81</xdr:row>
      <xdr:rowOff>47625</xdr:rowOff>
    </xdr:from>
    <xdr:ext cx="3000375" cy="415290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76200</xdr:colOff>
      <xdr:row>50</xdr:row>
      <xdr:rowOff>38100</xdr:rowOff>
    </xdr:from>
    <xdr:ext cx="5381625" cy="41148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333375</xdr:colOff>
      <xdr:row>51</xdr:row>
      <xdr:rowOff>19050</xdr:rowOff>
    </xdr:from>
    <xdr:ext cx="5372100" cy="41148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47625</xdr:colOff>
      <xdr:row>135</xdr:row>
      <xdr:rowOff>47625</xdr:rowOff>
    </xdr:from>
    <xdr:ext cx="7877175" cy="415290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47625</xdr:colOff>
      <xdr:row>108</xdr:row>
      <xdr:rowOff>28575</xdr:rowOff>
    </xdr:from>
    <xdr:ext cx="7877175" cy="415290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33</xdr:row>
      <xdr:rowOff>47625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0/d/1_2flpAtyRfEW4twQHSSimK3gmjvEhqdd9Rr5cU8leQo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0/d/1_2flpAtyRfEW4twQHSSimK3gmjvEhqdd9Rr5cU8leQo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ocs.google.com/spreadsheets/u/0/d/14QNjEHU4GmPWCLJMMLbF2OEBGXX6iHnMLzuU5Hm4UOQ/edit" TargetMode="Externa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docs.google.com/spreadsheets/u/0/d/14QNjEHU4GmPWCLJMMLbF2OEBGXX6iHnMLzuU5Hm4UOQ/edit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QNjEHU4GmPWCLJMMLbF2OEBGXX6iHnMLzuU5Hm4UOQ/edit?usp=sharing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interactive.researchaffiliates.com/asset-allocation" TargetMode="External"/><Relationship Id="rId3" Type="http://schemas.openxmlformats.org/officeDocument/2006/relationships/drawing" Target="../drawings/drawing11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21.38"/>
    <col customWidth="1" min="2" max="2" width="4.63"/>
    <col customWidth="1" min="3" max="16" width="8.25"/>
    <col customWidth="1" min="17" max="17" width="8.0"/>
    <col customWidth="1" min="18" max="18" width="6.75"/>
    <col customWidth="1" min="19" max="19" width="7.5"/>
  </cols>
  <sheetData>
    <row r="1" ht="17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</row>
    <row r="2">
      <c r="A2" s="8" t="s">
        <v>19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1"/>
    </row>
    <row r="3">
      <c r="A3" s="12" t="s">
        <v>20</v>
      </c>
      <c r="B3" s="13"/>
      <c r="C3" s="14"/>
      <c r="D3" s="15"/>
      <c r="E3" s="15"/>
      <c r="F3" s="15"/>
      <c r="G3" s="15"/>
      <c r="H3" s="15"/>
      <c r="I3" s="16"/>
      <c r="J3" s="16"/>
      <c r="K3" s="16"/>
      <c r="L3" s="16"/>
      <c r="M3" s="16"/>
      <c r="N3" s="16"/>
      <c r="O3" s="16"/>
      <c r="P3" s="14"/>
      <c r="Q3" s="14"/>
      <c r="R3" s="17"/>
      <c r="S3" s="17"/>
    </row>
    <row r="4">
      <c r="A4" s="18" t="s">
        <v>21</v>
      </c>
      <c r="B4" s="19" t="s">
        <v>22</v>
      </c>
      <c r="C4" s="20">
        <f>'2023'!P4</f>
        <v>1558.7</v>
      </c>
      <c r="D4" s="21">
        <f>D51*10</f>
        <v>1211.2</v>
      </c>
      <c r="E4" s="21">
        <v>0.0</v>
      </c>
      <c r="F4" s="21">
        <v>0.0</v>
      </c>
      <c r="G4" s="21">
        <v>0.0</v>
      </c>
      <c r="H4" s="21">
        <v>0.0</v>
      </c>
      <c r="I4" s="21">
        <v>0.0</v>
      </c>
      <c r="J4" s="21">
        <v>0.0</v>
      </c>
      <c r="K4" s="21">
        <v>0.0</v>
      </c>
      <c r="L4" s="21">
        <v>0.0</v>
      </c>
      <c r="M4" s="21">
        <v>0.0</v>
      </c>
      <c r="N4" s="21">
        <v>0.0</v>
      </c>
      <c r="O4" s="21">
        <f>O51*28</f>
        <v>4364.36</v>
      </c>
      <c r="P4" s="22">
        <f t="shared" ref="P4:P5" si="1">index(D4:O4,1,counta(D4:O4))</f>
        <v>4364.36</v>
      </c>
      <c r="Q4" s="14"/>
      <c r="R4" s="17"/>
      <c r="S4" s="17"/>
    </row>
    <row r="5">
      <c r="A5" s="18" t="s">
        <v>23</v>
      </c>
      <c r="B5" s="19" t="s">
        <v>22</v>
      </c>
      <c r="C5" s="20">
        <f>'2023'!P5</f>
        <v>64.08</v>
      </c>
      <c r="D5" s="21">
        <f>D52*8</f>
        <v>65.28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1">
        <v>0.0</v>
      </c>
      <c r="O5" s="21">
        <f>O52*8</f>
        <v>64.08</v>
      </c>
      <c r="P5" s="22">
        <f t="shared" si="1"/>
        <v>64.08</v>
      </c>
      <c r="Q5" s="22"/>
      <c r="R5" s="17"/>
      <c r="S5" s="17"/>
    </row>
    <row r="6">
      <c r="A6" s="23" t="s">
        <v>24</v>
      </c>
      <c r="B6" s="24"/>
      <c r="C6" s="20" t="str">
        <f>'2023'!P6</f>
        <v/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2"/>
      <c r="Q6" s="26"/>
      <c r="R6" s="17"/>
      <c r="S6" s="17"/>
    </row>
    <row r="7">
      <c r="A7" s="27" t="s">
        <v>25</v>
      </c>
      <c r="B7" s="28" t="s">
        <v>26</v>
      </c>
      <c r="C7" s="20">
        <f>'2023'!P7</f>
        <v>1332</v>
      </c>
      <c r="D7" s="25">
        <f>C7+222</f>
        <v>1554</v>
      </c>
      <c r="E7" s="25">
        <f>D7+407</f>
        <v>1961</v>
      </c>
      <c r="F7" s="25">
        <f t="shared" ref="F7:K7" si="2">E7+242</f>
        <v>2203</v>
      </c>
      <c r="G7" s="25">
        <f t="shared" si="2"/>
        <v>2445</v>
      </c>
      <c r="H7" s="25">
        <f t="shared" si="2"/>
        <v>2687</v>
      </c>
      <c r="I7" s="25">
        <f t="shared" si="2"/>
        <v>2929</v>
      </c>
      <c r="J7" s="25">
        <f t="shared" si="2"/>
        <v>3171</v>
      </c>
      <c r="K7" s="25">
        <f t="shared" si="2"/>
        <v>3413</v>
      </c>
      <c r="L7" s="25">
        <f t="shared" ref="L7:N7" si="3">K7+256</f>
        <v>3669</v>
      </c>
      <c r="M7" s="25">
        <f t="shared" si="3"/>
        <v>3925</v>
      </c>
      <c r="N7" s="25">
        <f t="shared" si="3"/>
        <v>4181</v>
      </c>
      <c r="O7" s="25">
        <f>N7+256+266</f>
        <v>4703</v>
      </c>
      <c r="P7" s="22">
        <f t="array" ref="P7">index(D7:O7,1,counta(D7:O7))</f>
        <v>4703</v>
      </c>
      <c r="Q7" s="26"/>
      <c r="R7" s="17"/>
      <c r="S7" s="17"/>
    </row>
    <row r="8">
      <c r="A8" s="23" t="s">
        <v>27</v>
      </c>
      <c r="B8" s="24"/>
      <c r="C8" s="20" t="str">
        <f>'2023'!P8</f>
        <v/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2"/>
      <c r="Q8" s="14"/>
      <c r="R8" s="17"/>
      <c r="S8" s="17"/>
    </row>
    <row r="9">
      <c r="A9" s="27" t="s">
        <v>28</v>
      </c>
      <c r="B9" s="28" t="s">
        <v>26</v>
      </c>
      <c r="C9" s="20">
        <f>'2023'!P9</f>
        <v>0</v>
      </c>
      <c r="D9" s="25">
        <v>0.0</v>
      </c>
      <c r="E9" s="29">
        <v>0.0</v>
      </c>
      <c r="F9" s="25">
        <v>1500.0</v>
      </c>
      <c r="G9" s="25">
        <v>1500.0</v>
      </c>
      <c r="H9" s="25">
        <v>1500.0</v>
      </c>
      <c r="I9" s="25">
        <v>1500.0</v>
      </c>
      <c r="J9" s="25">
        <v>1500.0</v>
      </c>
      <c r="K9" s="25">
        <v>1500.0</v>
      </c>
      <c r="L9" s="25">
        <v>1500.0</v>
      </c>
      <c r="M9" s="25">
        <v>1500.0</v>
      </c>
      <c r="N9" s="25">
        <v>1500.0</v>
      </c>
      <c r="O9" s="25">
        <v>1500.0</v>
      </c>
      <c r="P9" s="22">
        <f t="array" ref="P9">index(D9:O9,1,counta(D9:O9))</f>
        <v>1500</v>
      </c>
      <c r="Q9" s="14"/>
      <c r="R9" s="17"/>
      <c r="S9" s="17"/>
    </row>
    <row r="10">
      <c r="A10" s="23" t="s">
        <v>29</v>
      </c>
      <c r="B10" s="24"/>
      <c r="C10" s="20" t="str">
        <f>'2023'!P10</f>
        <v/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24"/>
      <c r="Q10" s="24"/>
      <c r="R10" s="24"/>
      <c r="S10" s="24"/>
    </row>
    <row r="11">
      <c r="A11" s="27" t="s">
        <v>30</v>
      </c>
      <c r="B11" s="19" t="s">
        <v>26</v>
      </c>
      <c r="C11" s="20">
        <f>'2023'!P11</f>
        <v>0</v>
      </c>
      <c r="D11" s="31">
        <f>D59*293.58</f>
        <v>0</v>
      </c>
      <c r="E11" s="31">
        <v>0.0</v>
      </c>
      <c r="F11" s="31">
        <v>0.0</v>
      </c>
      <c r="G11" s="31">
        <v>0.0</v>
      </c>
      <c r="H11" s="31">
        <v>0.0</v>
      </c>
      <c r="I11" s="31">
        <v>0.0</v>
      </c>
      <c r="J11" s="31">
        <v>0.0</v>
      </c>
      <c r="K11" s="31">
        <v>0.0</v>
      </c>
      <c r="L11" s="31">
        <v>0.0</v>
      </c>
      <c r="M11" s="31">
        <v>0.0</v>
      </c>
      <c r="N11" s="31">
        <v>0.0</v>
      </c>
      <c r="O11" s="31">
        <v>0.0</v>
      </c>
      <c r="P11" s="32">
        <v>0.0</v>
      </c>
      <c r="Q11" s="24"/>
      <c r="R11" s="24"/>
      <c r="S11" s="24"/>
    </row>
    <row r="12">
      <c r="A12" s="27" t="s">
        <v>31</v>
      </c>
      <c r="B12" s="19" t="s">
        <v>26</v>
      </c>
      <c r="C12" s="20">
        <f>'2023'!P12</f>
        <v>453.8194901</v>
      </c>
      <c r="D12" s="31">
        <f>0.00464*D60</f>
        <v>207.897773</v>
      </c>
      <c r="E12" s="31">
        <v>0.0</v>
      </c>
      <c r="F12" s="31">
        <v>0.0</v>
      </c>
      <c r="G12" s="31">
        <v>0.0</v>
      </c>
      <c r="H12" s="31">
        <v>0.0</v>
      </c>
      <c r="I12" s="31">
        <v>0.0</v>
      </c>
      <c r="J12" s="31">
        <v>0.0</v>
      </c>
      <c r="K12" s="31">
        <v>0.0</v>
      </c>
      <c r="L12" s="31">
        <v>0.0</v>
      </c>
      <c r="M12" s="31">
        <v>0.0</v>
      </c>
      <c r="N12" s="31">
        <v>0.0</v>
      </c>
      <c r="O12" s="31">
        <v>0.0</v>
      </c>
      <c r="P12" s="32">
        <v>0.0</v>
      </c>
      <c r="Q12" s="33"/>
      <c r="R12" s="24"/>
      <c r="S12" s="24"/>
    </row>
    <row r="13">
      <c r="A13" s="23" t="s">
        <v>32</v>
      </c>
      <c r="B13" s="24"/>
      <c r="C13" s="20" t="str">
        <f>'2023'!P13</f>
        <v/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2"/>
      <c r="Q13" s="14"/>
      <c r="R13" s="17"/>
      <c r="S13" s="34"/>
    </row>
    <row r="14" ht="1.5" customHeight="1">
      <c r="A14" s="27" t="s">
        <v>33</v>
      </c>
      <c r="B14" s="35" t="s">
        <v>26</v>
      </c>
      <c r="C14" s="20">
        <f>'2023'!P14</f>
        <v>3999.44</v>
      </c>
      <c r="D14" s="25">
        <f>3519.25+480.19</f>
        <v>3999.44</v>
      </c>
      <c r="E14" s="25">
        <v>0.0</v>
      </c>
      <c r="F14" s="25">
        <v>0.0</v>
      </c>
      <c r="G14" s="25">
        <v>0.0</v>
      </c>
      <c r="H14" s="25">
        <v>0.0</v>
      </c>
      <c r="I14" s="25">
        <v>0.0</v>
      </c>
      <c r="J14" s="25">
        <v>0.0</v>
      </c>
      <c r="K14" s="25">
        <v>0.0</v>
      </c>
      <c r="L14" s="25">
        <v>0.0</v>
      </c>
      <c r="M14" s="25">
        <v>0.0</v>
      </c>
      <c r="N14" s="25">
        <v>0.0</v>
      </c>
      <c r="O14" s="25">
        <f>2888.25+389</f>
        <v>3277.25</v>
      </c>
      <c r="P14" s="22">
        <f t="shared" ref="P14:P17" si="4">index(D14:O14,1,counta(D14:O14))</f>
        <v>3277.25</v>
      </c>
      <c r="Q14" s="14"/>
      <c r="R14" s="36"/>
      <c r="S14" s="36"/>
    </row>
    <row r="15">
      <c r="A15" s="27" t="s">
        <v>34</v>
      </c>
      <c r="B15" s="35" t="s">
        <v>26</v>
      </c>
      <c r="C15" s="20">
        <f>'2023'!P15</f>
        <v>130.43</v>
      </c>
      <c r="D15" s="37">
        <v>130.43</v>
      </c>
      <c r="E15" s="25">
        <v>0.0</v>
      </c>
      <c r="F15" s="37">
        <v>0.0</v>
      </c>
      <c r="G15" s="37">
        <v>0.0</v>
      </c>
      <c r="H15" s="37">
        <v>0.0</v>
      </c>
      <c r="I15" s="37">
        <v>0.0</v>
      </c>
      <c r="J15" s="37">
        <v>0.0</v>
      </c>
      <c r="K15" s="37">
        <v>0.0</v>
      </c>
      <c r="L15" s="37">
        <v>0.0</v>
      </c>
      <c r="M15" s="37">
        <v>0.0</v>
      </c>
      <c r="N15" s="37">
        <v>0.0</v>
      </c>
      <c r="O15" s="37">
        <v>0.0</v>
      </c>
      <c r="P15" s="22">
        <f t="shared" si="4"/>
        <v>0</v>
      </c>
      <c r="Q15" s="14"/>
      <c r="R15" s="38"/>
      <c r="S15" s="34"/>
    </row>
    <row r="16">
      <c r="A16" s="39" t="s">
        <v>35</v>
      </c>
      <c r="B16" s="35" t="s">
        <v>26</v>
      </c>
      <c r="C16" s="20">
        <f>'2023'!P16</f>
        <v>4</v>
      </c>
      <c r="D16" s="25">
        <v>4.0</v>
      </c>
      <c r="E16" s="25">
        <v>0.0</v>
      </c>
      <c r="F16" s="25">
        <v>0.0</v>
      </c>
      <c r="G16" s="25">
        <v>0.0</v>
      </c>
      <c r="H16" s="25">
        <v>0.0</v>
      </c>
      <c r="I16" s="25">
        <v>0.0</v>
      </c>
      <c r="J16" s="25">
        <v>0.0</v>
      </c>
      <c r="K16" s="25">
        <v>0.0</v>
      </c>
      <c r="L16" s="25">
        <v>0.0</v>
      </c>
      <c r="M16" s="25">
        <v>0.0</v>
      </c>
      <c r="N16" s="25">
        <v>0.0</v>
      </c>
      <c r="O16" s="25">
        <v>0.0</v>
      </c>
      <c r="P16" s="40">
        <f t="shared" si="4"/>
        <v>0</v>
      </c>
      <c r="Q16" s="40"/>
      <c r="R16" s="41"/>
      <c r="S16" s="41"/>
    </row>
    <row r="17">
      <c r="A17" s="27" t="s">
        <v>36</v>
      </c>
      <c r="B17" s="35" t="s">
        <v>26</v>
      </c>
      <c r="C17" s="20">
        <f>'2023'!P17</f>
        <v>0</v>
      </c>
      <c r="D17" s="25">
        <v>0.0</v>
      </c>
      <c r="E17" s="25">
        <v>0.0</v>
      </c>
      <c r="F17" s="25">
        <v>0.0</v>
      </c>
      <c r="G17" s="25">
        <v>0.0</v>
      </c>
      <c r="H17" s="25">
        <v>0.0</v>
      </c>
      <c r="I17" s="25">
        <v>0.0</v>
      </c>
      <c r="J17" s="25">
        <v>0.0</v>
      </c>
      <c r="K17" s="25">
        <v>0.0</v>
      </c>
      <c r="L17" s="25">
        <v>0.0</v>
      </c>
      <c r="M17" s="25">
        <v>0.0</v>
      </c>
      <c r="N17" s="25">
        <v>0.0</v>
      </c>
      <c r="O17" s="25">
        <v>118.91</v>
      </c>
      <c r="P17" s="22">
        <f t="shared" si="4"/>
        <v>118.91</v>
      </c>
      <c r="Q17" s="26"/>
      <c r="R17" s="42"/>
      <c r="S17" s="42"/>
    </row>
    <row r="18">
      <c r="A18" s="27" t="s">
        <v>37</v>
      </c>
      <c r="B18" s="43" t="s">
        <v>26</v>
      </c>
      <c r="C18" s="20">
        <f>'2023'!P18</f>
        <v>100</v>
      </c>
      <c r="D18" s="25">
        <v>100.0</v>
      </c>
      <c r="E18" s="25">
        <v>0.0</v>
      </c>
      <c r="F18" s="25">
        <v>0.0</v>
      </c>
      <c r="G18" s="25">
        <v>0.0</v>
      </c>
      <c r="H18" s="25">
        <v>0.0</v>
      </c>
      <c r="I18" s="25">
        <v>0.0</v>
      </c>
      <c r="J18" s="25">
        <v>0.0</v>
      </c>
      <c r="K18" s="25">
        <v>0.0</v>
      </c>
      <c r="L18" s="25">
        <v>0.0</v>
      </c>
      <c r="M18" s="25">
        <v>0.0</v>
      </c>
      <c r="N18" s="25">
        <v>0.0</v>
      </c>
      <c r="O18" s="25">
        <v>0.0</v>
      </c>
      <c r="P18" s="32">
        <v>0.0</v>
      </c>
      <c r="Q18" s="26"/>
      <c r="R18" s="42"/>
      <c r="S18" s="42"/>
    </row>
    <row r="19">
      <c r="A19" s="27" t="s">
        <v>38</v>
      </c>
      <c r="B19" s="28" t="s">
        <v>26</v>
      </c>
      <c r="C19" s="20">
        <f>'2023'!P19</f>
        <v>204.34</v>
      </c>
      <c r="D19" s="25">
        <v>204.34</v>
      </c>
      <c r="E19" s="25">
        <v>0.0</v>
      </c>
      <c r="F19" s="25">
        <v>0.0</v>
      </c>
      <c r="G19" s="25">
        <v>0.0</v>
      </c>
      <c r="H19" s="25">
        <v>0.0</v>
      </c>
      <c r="I19" s="25">
        <v>0.0</v>
      </c>
      <c r="J19" s="25">
        <v>0.0</v>
      </c>
      <c r="K19" s="25">
        <v>0.0</v>
      </c>
      <c r="L19" s="25">
        <v>0.0</v>
      </c>
      <c r="M19" s="25">
        <v>0.0</v>
      </c>
      <c r="N19" s="25">
        <v>0.0</v>
      </c>
      <c r="O19" s="25">
        <v>0.0</v>
      </c>
      <c r="P19" s="44">
        <f t="array" ref="P19">index(D19:O19,1,counta(D19:O19))</f>
        <v>0</v>
      </c>
      <c r="Q19" s="24"/>
      <c r="R19" s="45"/>
      <c r="S19" s="45"/>
    </row>
    <row r="20">
      <c r="A20" s="27" t="s">
        <v>39</v>
      </c>
      <c r="B20" s="28" t="s">
        <v>26</v>
      </c>
      <c r="C20" s="20">
        <f>'2023'!P20</f>
        <v>0</v>
      </c>
      <c r="D20" s="25">
        <v>0.0</v>
      </c>
      <c r="E20" s="25">
        <v>0.0</v>
      </c>
      <c r="F20" s="25">
        <v>0.0</v>
      </c>
      <c r="G20" s="25">
        <v>0.0</v>
      </c>
      <c r="H20" s="25">
        <v>0.0</v>
      </c>
      <c r="I20" s="25">
        <v>0.0</v>
      </c>
      <c r="J20" s="25">
        <v>0.0</v>
      </c>
      <c r="K20" s="25">
        <v>0.0</v>
      </c>
      <c r="L20" s="25">
        <v>0.0</v>
      </c>
      <c r="M20" s="25">
        <v>0.0</v>
      </c>
      <c r="N20" s="25">
        <v>0.0</v>
      </c>
      <c r="O20" s="25">
        <v>0.0</v>
      </c>
      <c r="P20" s="20">
        <v>0.0</v>
      </c>
      <c r="Q20" s="24"/>
      <c r="R20" s="45"/>
      <c r="S20" s="45"/>
    </row>
    <row r="21">
      <c r="A21" s="27" t="s">
        <v>40</v>
      </c>
      <c r="B21" s="28" t="s">
        <v>26</v>
      </c>
      <c r="C21" s="20">
        <f>'2023'!P21</f>
        <v>441</v>
      </c>
      <c r="D21" s="25">
        <f>49*8+7*7</f>
        <v>441</v>
      </c>
      <c r="E21" s="25">
        <v>0.0</v>
      </c>
      <c r="F21" s="25">
        <v>0.0</v>
      </c>
      <c r="G21" s="25">
        <v>0.0</v>
      </c>
      <c r="H21" s="25">
        <v>0.0</v>
      </c>
      <c r="I21" s="25">
        <v>0.0</v>
      </c>
      <c r="J21" s="25">
        <v>0.0</v>
      </c>
      <c r="K21" s="25">
        <v>0.0</v>
      </c>
      <c r="L21" s="25">
        <v>0.0</v>
      </c>
      <c r="M21" s="25">
        <v>0.0</v>
      </c>
      <c r="N21" s="25">
        <v>0.0</v>
      </c>
      <c r="O21" s="25">
        <f>33*8</f>
        <v>264</v>
      </c>
      <c r="P21" s="20">
        <v>0.0</v>
      </c>
      <c r="Q21" s="24"/>
      <c r="R21" s="45"/>
      <c r="S21" s="45"/>
    </row>
    <row r="22">
      <c r="A22" s="27" t="s">
        <v>41</v>
      </c>
      <c r="B22" s="28" t="s">
        <v>42</v>
      </c>
      <c r="C22" s="20">
        <f>'2023'!P22</f>
        <v>0</v>
      </c>
      <c r="D22" s="25">
        <v>0.0</v>
      </c>
      <c r="E22" s="25">
        <v>0.0</v>
      </c>
      <c r="F22" s="25">
        <v>0.0</v>
      </c>
      <c r="G22" s="25">
        <v>0.0</v>
      </c>
      <c r="H22" s="25">
        <v>0.0</v>
      </c>
      <c r="I22" s="25">
        <v>0.0</v>
      </c>
      <c r="J22" s="25">
        <v>0.0</v>
      </c>
      <c r="K22" s="25">
        <v>0.0</v>
      </c>
      <c r="L22" s="25">
        <v>0.0</v>
      </c>
      <c r="M22" s="25">
        <v>0.0</v>
      </c>
      <c r="N22" s="25">
        <v>0.0</v>
      </c>
      <c r="O22" s="25">
        <v>0.0</v>
      </c>
      <c r="P22" s="44">
        <f t="shared" ref="P22:P28" si="5">index(D22:O22,1,counta(D22:O22))</f>
        <v>0</v>
      </c>
      <c r="Q22" s="24"/>
      <c r="R22" s="45"/>
      <c r="S22" s="45"/>
    </row>
    <row r="23">
      <c r="A23" s="27" t="s">
        <v>43</v>
      </c>
      <c r="B23" s="28" t="s">
        <v>26</v>
      </c>
      <c r="C23" s="20">
        <f>'2023'!P23</f>
        <v>320</v>
      </c>
      <c r="D23" s="25">
        <v>320.0</v>
      </c>
      <c r="E23" s="25">
        <v>0.0</v>
      </c>
      <c r="F23" s="25">
        <v>0.0</v>
      </c>
      <c r="G23" s="25">
        <v>0.0</v>
      </c>
      <c r="H23" s="25">
        <v>0.0</v>
      </c>
      <c r="I23" s="25">
        <v>0.0</v>
      </c>
      <c r="J23" s="25">
        <v>0.0</v>
      </c>
      <c r="K23" s="25">
        <v>0.0</v>
      </c>
      <c r="L23" s="25">
        <v>0.0</v>
      </c>
      <c r="M23" s="25">
        <v>0.0</v>
      </c>
      <c r="N23" s="25">
        <v>0.0</v>
      </c>
      <c r="O23" s="25">
        <v>700.0</v>
      </c>
      <c r="P23" s="22">
        <f t="shared" si="5"/>
        <v>700</v>
      </c>
      <c r="Q23" s="26"/>
      <c r="R23" s="46"/>
      <c r="S23" s="46"/>
    </row>
    <row r="24">
      <c r="A24" s="27" t="s">
        <v>44</v>
      </c>
      <c r="B24" s="28" t="s">
        <v>42</v>
      </c>
      <c r="C24" s="20">
        <f>'2023'!P24</f>
        <v>0</v>
      </c>
      <c r="D24" s="25">
        <v>0.0</v>
      </c>
      <c r="E24" s="25">
        <v>0.0</v>
      </c>
      <c r="F24" s="25">
        <v>0.0</v>
      </c>
      <c r="G24" s="25">
        <v>0.0</v>
      </c>
      <c r="H24" s="25">
        <v>0.0</v>
      </c>
      <c r="I24" s="25">
        <v>0.0</v>
      </c>
      <c r="J24" s="25">
        <v>0.0</v>
      </c>
      <c r="K24" s="25">
        <v>0.0</v>
      </c>
      <c r="L24" s="25">
        <v>0.0</v>
      </c>
      <c r="M24" s="25">
        <v>0.0</v>
      </c>
      <c r="N24" s="25">
        <v>0.0</v>
      </c>
      <c r="O24" s="25">
        <v>0.0</v>
      </c>
      <c r="P24" s="22">
        <f t="shared" si="5"/>
        <v>0</v>
      </c>
      <c r="Q24" s="14"/>
      <c r="R24" s="36"/>
      <c r="S24" s="36"/>
    </row>
    <row r="25">
      <c r="A25" s="47" t="s">
        <v>45</v>
      </c>
      <c r="B25" s="48" t="s">
        <v>22</v>
      </c>
      <c r="C25" s="20">
        <f>'2023'!P25</f>
        <v>0</v>
      </c>
      <c r="D25" s="25">
        <v>0.0</v>
      </c>
      <c r="E25" s="25">
        <v>0.0</v>
      </c>
      <c r="F25" s="25">
        <v>0.0</v>
      </c>
      <c r="G25" s="25">
        <v>0.0</v>
      </c>
      <c r="H25" s="25">
        <v>0.0</v>
      </c>
      <c r="I25" s="25">
        <v>0.0</v>
      </c>
      <c r="J25" s="25">
        <v>0.0</v>
      </c>
      <c r="K25" s="25">
        <v>0.0</v>
      </c>
      <c r="L25" s="25">
        <v>0.0</v>
      </c>
      <c r="M25" s="25">
        <v>0.0</v>
      </c>
      <c r="N25" s="25">
        <v>0.0</v>
      </c>
      <c r="O25" s="25">
        <v>0.0</v>
      </c>
      <c r="P25" s="22">
        <f t="shared" si="5"/>
        <v>0</v>
      </c>
      <c r="Q25" s="14"/>
      <c r="R25" s="36"/>
      <c r="S25" s="36"/>
    </row>
    <row r="26">
      <c r="A26" s="47" t="s">
        <v>46</v>
      </c>
      <c r="B26" s="48" t="s">
        <v>47</v>
      </c>
      <c r="C26" s="20">
        <f>'2023'!P26</f>
        <v>200</v>
      </c>
      <c r="D26" s="25">
        <v>200.0</v>
      </c>
      <c r="E26" s="25">
        <v>0.0</v>
      </c>
      <c r="F26" s="25">
        <v>0.0</v>
      </c>
      <c r="G26" s="25">
        <v>0.0</v>
      </c>
      <c r="H26" s="25">
        <v>0.0</v>
      </c>
      <c r="I26" s="25">
        <v>0.0</v>
      </c>
      <c r="J26" s="25">
        <v>0.0</v>
      </c>
      <c r="K26" s="25">
        <v>0.0</v>
      </c>
      <c r="L26" s="25">
        <v>0.0</v>
      </c>
      <c r="M26" s="25">
        <v>0.0</v>
      </c>
      <c r="N26" s="25">
        <v>0.0</v>
      </c>
      <c r="O26" s="25">
        <v>0.0</v>
      </c>
      <c r="P26" s="22">
        <f t="shared" si="5"/>
        <v>0</v>
      </c>
      <c r="Q26" s="14"/>
      <c r="R26" s="36"/>
      <c r="S26" s="36"/>
    </row>
    <row r="27">
      <c r="A27" s="47" t="s">
        <v>48</v>
      </c>
      <c r="B27" s="48" t="s">
        <v>26</v>
      </c>
      <c r="C27" s="20">
        <f>'2023'!P27</f>
        <v>0</v>
      </c>
      <c r="D27" s="25">
        <v>0.0</v>
      </c>
      <c r="E27" s="25">
        <v>0.0</v>
      </c>
      <c r="F27" s="25">
        <v>0.0</v>
      </c>
      <c r="G27" s="25">
        <v>0.0</v>
      </c>
      <c r="H27" s="25">
        <v>0.0</v>
      </c>
      <c r="I27" s="25">
        <v>0.0</v>
      </c>
      <c r="J27" s="25">
        <v>0.0</v>
      </c>
      <c r="K27" s="25">
        <v>0.0</v>
      </c>
      <c r="L27" s="25">
        <v>0.0</v>
      </c>
      <c r="M27" s="25">
        <v>0.0</v>
      </c>
      <c r="N27" s="25">
        <v>0.0</v>
      </c>
      <c r="O27" s="25">
        <v>0.0</v>
      </c>
      <c r="P27" s="22">
        <f t="shared" si="5"/>
        <v>0</v>
      </c>
      <c r="Q27" s="14"/>
      <c r="R27" s="36"/>
      <c r="S27" s="36"/>
    </row>
    <row r="28">
      <c r="A28" s="47" t="s">
        <v>49</v>
      </c>
      <c r="B28" s="48" t="s">
        <v>26</v>
      </c>
      <c r="C28" s="20">
        <f>'2023'!P28</f>
        <v>0</v>
      </c>
      <c r="D28" s="25">
        <v>0.0</v>
      </c>
      <c r="E28" s="25">
        <v>0.0</v>
      </c>
      <c r="F28" s="25">
        <v>0.0</v>
      </c>
      <c r="G28" s="25">
        <v>0.0</v>
      </c>
      <c r="H28" s="25">
        <v>0.0</v>
      </c>
      <c r="I28" s="25">
        <v>0.0</v>
      </c>
      <c r="J28" s="25">
        <v>0.0</v>
      </c>
      <c r="K28" s="25">
        <v>0.0</v>
      </c>
      <c r="L28" s="25">
        <v>0.0</v>
      </c>
      <c r="M28" s="25">
        <v>0.0</v>
      </c>
      <c r="N28" s="25">
        <v>0.0</v>
      </c>
      <c r="O28" s="25">
        <v>0.0</v>
      </c>
      <c r="P28" s="22">
        <f t="shared" si="5"/>
        <v>0</v>
      </c>
      <c r="Q28" s="14"/>
      <c r="R28" s="36"/>
      <c r="S28" s="36"/>
    </row>
    <row r="29" ht="12.75" customHeight="1">
      <c r="A29" s="23" t="s">
        <v>50</v>
      </c>
      <c r="B29" s="24"/>
      <c r="C29" s="20" t="str">
        <f>'2023'!P29</f>
        <v/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2"/>
      <c r="Q29" s="26"/>
      <c r="R29" s="17"/>
      <c r="S29" s="17"/>
    </row>
    <row r="30">
      <c r="A30" s="27" t="s">
        <v>51</v>
      </c>
      <c r="B30" s="19" t="s">
        <v>47</v>
      </c>
      <c r="C30" s="20">
        <f>'2023'!P30</f>
        <v>-387.62</v>
      </c>
      <c r="D30" s="25">
        <v>0.0</v>
      </c>
      <c r="E30" s="25">
        <v>0.0</v>
      </c>
      <c r="F30" s="25">
        <v>0.0</v>
      </c>
      <c r="G30" s="25">
        <v>0.0</v>
      </c>
      <c r="H30" s="25">
        <v>0.0</v>
      </c>
      <c r="I30" s="25">
        <v>0.0</v>
      </c>
      <c r="J30" s="25">
        <v>0.0</v>
      </c>
      <c r="K30" s="25">
        <v>0.0</v>
      </c>
      <c r="L30" s="25">
        <v>0.0</v>
      </c>
      <c r="M30" s="25">
        <v>0.0</v>
      </c>
      <c r="N30" s="25">
        <v>0.0</v>
      </c>
      <c r="O30" s="25">
        <v>0.0</v>
      </c>
      <c r="P30" s="22">
        <f t="array" ref="P30">index(D30:O30,1,counta(D30:O30))</f>
        <v>0</v>
      </c>
      <c r="Q30" s="14"/>
      <c r="R30" s="17"/>
      <c r="S30" s="17"/>
    </row>
    <row r="31">
      <c r="A31" s="23" t="s">
        <v>52</v>
      </c>
      <c r="B31" s="24"/>
      <c r="C31" s="20" t="str">
        <f>'2023'!P31</f>
        <v/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2"/>
      <c r="Q31" s="14"/>
      <c r="R31" s="49"/>
      <c r="S31" s="49"/>
    </row>
    <row r="32">
      <c r="A32" s="27" t="s">
        <v>53</v>
      </c>
      <c r="B32" s="43" t="s">
        <v>26</v>
      </c>
      <c r="C32" s="20">
        <f>'2023'!P32</f>
        <v>-328.73</v>
      </c>
      <c r="D32" s="21">
        <f>-264-64.73</f>
        <v>-328.73</v>
      </c>
      <c r="E32" s="21">
        <v>0.0</v>
      </c>
      <c r="F32" s="21">
        <v>0.0</v>
      </c>
      <c r="G32" s="21">
        <v>0.0</v>
      </c>
      <c r="H32" s="21">
        <v>0.0</v>
      </c>
      <c r="I32" s="21">
        <v>0.0</v>
      </c>
      <c r="J32" s="21">
        <v>0.0</v>
      </c>
      <c r="K32" s="21">
        <v>0.0</v>
      </c>
      <c r="L32" s="21">
        <v>0.0</v>
      </c>
      <c r="M32" s="21">
        <v>0.0</v>
      </c>
      <c r="N32" s="21">
        <v>0.0</v>
      </c>
      <c r="O32" s="21">
        <f>-340-683</f>
        <v>-1023</v>
      </c>
      <c r="P32" s="22">
        <f t="shared" ref="P32:P33" si="6">index(D32:O32,1,counta(D32:O32))</f>
        <v>-1023</v>
      </c>
      <c r="Q32" s="26"/>
      <c r="R32" s="42"/>
      <c r="S32" s="42"/>
    </row>
    <row r="33">
      <c r="A33" s="27" t="s">
        <v>54</v>
      </c>
      <c r="B33" s="43" t="s">
        <v>26</v>
      </c>
      <c r="C33" s="20">
        <f>'2023'!P33</f>
        <v>0</v>
      </c>
      <c r="D33" s="21">
        <v>0.0</v>
      </c>
      <c r="E33" s="21">
        <v>0.0</v>
      </c>
      <c r="F33" s="21">
        <v>0.0</v>
      </c>
      <c r="G33" s="21">
        <v>0.0</v>
      </c>
      <c r="H33" s="21">
        <v>0.0</v>
      </c>
      <c r="I33" s="21">
        <v>0.0</v>
      </c>
      <c r="J33" s="21">
        <v>0.0</v>
      </c>
      <c r="K33" s="21">
        <v>0.0</v>
      </c>
      <c r="L33" s="21">
        <v>0.0</v>
      </c>
      <c r="M33" s="21">
        <v>0.0</v>
      </c>
      <c r="N33" s="21">
        <v>0.0</v>
      </c>
      <c r="O33" s="21">
        <v>0.0</v>
      </c>
      <c r="P33" s="22">
        <f t="shared" si="6"/>
        <v>0</v>
      </c>
      <c r="Q33" s="26"/>
      <c r="R33" s="42"/>
      <c r="S33" s="42"/>
    </row>
    <row r="34">
      <c r="A34" s="50" t="s">
        <v>55</v>
      </c>
      <c r="B34" s="24"/>
      <c r="C34" s="20" t="str">
        <f>'2023'!P34</f>
        <v/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>
      <c r="A35" s="51" t="s">
        <v>56</v>
      </c>
      <c r="B35" s="52" t="s">
        <v>26</v>
      </c>
      <c r="C35" s="20">
        <f>'2023'!P35</f>
        <v>0</v>
      </c>
      <c r="D35" s="53">
        <v>0.0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44">
        <f t="array" ref="P35">index(D35:O35,1,counta(D35:O35))</f>
        <v>0</v>
      </c>
      <c r="Q35" s="24"/>
      <c r="R35" s="24"/>
      <c r="S35" s="24"/>
    </row>
    <row r="36">
      <c r="A36" s="54"/>
      <c r="B36" s="13"/>
      <c r="C36" s="26"/>
      <c r="D36" s="55"/>
      <c r="E36" s="55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14" t="str">
        <f>H36</f>
        <v/>
      </c>
      <c r="Q36" s="14"/>
      <c r="R36" s="17"/>
      <c r="S36" s="17"/>
    </row>
    <row r="37">
      <c r="A37" s="56" t="s">
        <v>57</v>
      </c>
      <c r="B37" s="13" t="s">
        <v>26</v>
      </c>
      <c r="C37" s="57">
        <f t="shared" ref="C37:E37" si="7">SUMIF($B3:$B36, "=M",C3:C36)/C54 + SUMIF($B3:$B36, "=E",C3:C36) + SUMIF($B3:$B36, "=D",C3:C36)/C55</f>
        <v>8138.628789</v>
      </c>
      <c r="D37" s="57">
        <f t="shared" si="7"/>
        <v>7816.062786</v>
      </c>
      <c r="E37" s="57">
        <f t="shared" si="7"/>
        <v>1961</v>
      </c>
      <c r="F37" s="58">
        <v>0.0</v>
      </c>
      <c r="G37" s="58">
        <v>0.0</v>
      </c>
      <c r="H37" s="58">
        <v>0.0</v>
      </c>
      <c r="I37" s="58">
        <v>0.0</v>
      </c>
      <c r="J37" s="58">
        <v>0.0</v>
      </c>
      <c r="K37" s="58">
        <v>0.0</v>
      </c>
      <c r="L37" s="58">
        <v>0.0</v>
      </c>
      <c r="M37" s="58">
        <v>0.0</v>
      </c>
      <c r="N37" s="58">
        <v>0.0</v>
      </c>
      <c r="O37" s="57">
        <f>SUMIF($B3:$B36, "=M",O3:O36)/O54 + SUMIF($B3:$B36, "=E",O3:O36) + SUMIF($B3:$B36, "=D",O3:O36)/O55</f>
        <v>13359.91093</v>
      </c>
      <c r="P37" s="59">
        <f t="array" ref="P37">index(D37:O37,1,counta(D37:O37))</f>
        <v>13359.91093</v>
      </c>
      <c r="Q37" s="60"/>
      <c r="R37" s="61"/>
      <c r="S37" s="61">
        <f>C37+S38</f>
        <v>13359.91093</v>
      </c>
    </row>
    <row r="38">
      <c r="A38" s="39" t="s">
        <v>58</v>
      </c>
      <c r="B38" s="13"/>
      <c r="C38" s="32" t="s">
        <v>59</v>
      </c>
      <c r="D38" s="62">
        <f t="shared" ref="D38:O38" si="8">(D37-C37)</f>
        <v>-322.5660026</v>
      </c>
      <c r="E38" s="62">
        <f t="shared" si="8"/>
        <v>-5855.062786</v>
      </c>
      <c r="F38" s="62">
        <f t="shared" si="8"/>
        <v>-1961</v>
      </c>
      <c r="G38" s="62">
        <f t="shared" si="8"/>
        <v>0</v>
      </c>
      <c r="H38" s="62">
        <f t="shared" si="8"/>
        <v>0</v>
      </c>
      <c r="I38" s="62">
        <f t="shared" si="8"/>
        <v>0</v>
      </c>
      <c r="J38" s="62">
        <f t="shared" si="8"/>
        <v>0</v>
      </c>
      <c r="K38" s="62">
        <f t="shared" si="8"/>
        <v>0</v>
      </c>
      <c r="L38" s="62">
        <f t="shared" si="8"/>
        <v>0</v>
      </c>
      <c r="M38" s="62">
        <f t="shared" si="8"/>
        <v>0</v>
      </c>
      <c r="N38" s="62">
        <f t="shared" si="8"/>
        <v>0</v>
      </c>
      <c r="O38" s="62">
        <f t="shared" si="8"/>
        <v>13359.91093</v>
      </c>
      <c r="P38" s="63">
        <f>P37-C37</f>
        <v>5221.282136</v>
      </c>
      <c r="Q38" s="60"/>
      <c r="R38" s="61">
        <f>P38/count(D38:O38)</f>
        <v>435.1068447</v>
      </c>
      <c r="S38" s="61">
        <f t="shared" ref="S38:S39" si="10">R38*12</f>
        <v>5221.282136</v>
      </c>
    </row>
    <row r="39">
      <c r="A39" s="51" t="s">
        <v>60</v>
      </c>
      <c r="B39" s="64"/>
      <c r="C39" s="26" t="s">
        <v>59</v>
      </c>
      <c r="D39" s="65">
        <f t="shared" ref="D39:O39" si="9">D38/C37</f>
        <v>-0.03963394953</v>
      </c>
      <c r="E39" s="65">
        <f t="shared" si="9"/>
        <v>-0.7491064167</v>
      </c>
      <c r="F39" s="65">
        <f t="shared" si="9"/>
        <v>-1</v>
      </c>
      <c r="G39" s="65" t="str">
        <f t="shared" si="9"/>
        <v>#DIV/0!</v>
      </c>
      <c r="H39" s="65" t="str">
        <f t="shared" si="9"/>
        <v>#DIV/0!</v>
      </c>
      <c r="I39" s="65" t="str">
        <f t="shared" si="9"/>
        <v>#DIV/0!</v>
      </c>
      <c r="J39" s="65" t="str">
        <f t="shared" si="9"/>
        <v>#DIV/0!</v>
      </c>
      <c r="K39" s="65" t="str">
        <f t="shared" si="9"/>
        <v>#DIV/0!</v>
      </c>
      <c r="L39" s="65" t="str">
        <f t="shared" si="9"/>
        <v>#DIV/0!</v>
      </c>
      <c r="M39" s="65" t="str">
        <f t="shared" si="9"/>
        <v>#DIV/0!</v>
      </c>
      <c r="N39" s="65" t="str">
        <f t="shared" si="9"/>
        <v>#DIV/0!</v>
      </c>
      <c r="O39" s="65" t="str">
        <f t="shared" si="9"/>
        <v>#DIV/0!</v>
      </c>
      <c r="P39" s="66">
        <f>P38/C37</f>
        <v>0.641543222</v>
      </c>
      <c r="Q39" s="67"/>
      <c r="R39" s="68">
        <f>pow(1+P39, 1/count(D39:O39))-1</f>
        <v>0.1796434866</v>
      </c>
      <c r="S39" s="68">
        <f t="shared" si="10"/>
        <v>2.155721839</v>
      </c>
    </row>
    <row r="40">
      <c r="A40" s="56" t="s">
        <v>61</v>
      </c>
      <c r="B40" s="13" t="s">
        <v>42</v>
      </c>
      <c r="C40" s="57">
        <f>SUMIF($B3:$B36, "=m",C3:C36) + SUMIF($B3:$B36, "=E",C3:C36)*C54 + SUMIF($B3:$B36, "=D",C3:C36)*C56</f>
        <v>88099.74511</v>
      </c>
      <c r="D40" s="57">
        <f t="shared" ref="D40:O40" si="11">SUMIF($B3:$B36, "=M",D3:D36) + SUMIF($B3:$B36, "=E",D3:D36)*D54 + SUMIF($B3:$B36, "=D",D3:D36)*D56</f>
        <v>84436.54573</v>
      </c>
      <c r="E40" s="57">
        <f t="shared" si="11"/>
        <v>20493.8227</v>
      </c>
      <c r="F40" s="57">
        <f t="shared" si="11"/>
        <v>0</v>
      </c>
      <c r="G40" s="57">
        <f t="shared" si="11"/>
        <v>0</v>
      </c>
      <c r="H40" s="57">
        <f t="shared" si="11"/>
        <v>0</v>
      </c>
      <c r="I40" s="57">
        <f t="shared" si="11"/>
        <v>0</v>
      </c>
      <c r="J40" s="57">
        <f t="shared" si="11"/>
        <v>0</v>
      </c>
      <c r="K40" s="57">
        <f t="shared" si="11"/>
        <v>0</v>
      </c>
      <c r="L40" s="57">
        <f t="shared" si="11"/>
        <v>0</v>
      </c>
      <c r="M40" s="57">
        <f t="shared" si="11"/>
        <v>0</v>
      </c>
      <c r="N40" s="57">
        <f t="shared" si="11"/>
        <v>0</v>
      </c>
      <c r="O40" s="57">
        <f t="shared" si="11"/>
        <v>139940.3702</v>
      </c>
      <c r="P40" s="59">
        <f t="array" ref="P40">index(D40:O40,1,counta(D40:O40))</f>
        <v>139940.3702</v>
      </c>
      <c r="Q40" s="69"/>
      <c r="R40" s="61"/>
      <c r="S40" s="61">
        <f>C40+S41</f>
        <v>139940.3702</v>
      </c>
    </row>
    <row r="41">
      <c r="A41" s="39" t="s">
        <v>58</v>
      </c>
      <c r="B41" s="13"/>
      <c r="C41" s="32" t="s">
        <v>59</v>
      </c>
      <c r="D41" s="62">
        <f t="shared" ref="D41:O41" si="12">(D40-C40)</f>
        <v>-3663.199386</v>
      </c>
      <c r="E41" s="62">
        <f t="shared" si="12"/>
        <v>-63942.72303</v>
      </c>
      <c r="F41" s="62">
        <f t="shared" si="12"/>
        <v>-20493.8227</v>
      </c>
      <c r="G41" s="62">
        <f t="shared" si="12"/>
        <v>0</v>
      </c>
      <c r="H41" s="62">
        <f t="shared" si="12"/>
        <v>0</v>
      </c>
      <c r="I41" s="62">
        <f t="shared" si="12"/>
        <v>0</v>
      </c>
      <c r="J41" s="62">
        <f t="shared" si="12"/>
        <v>0</v>
      </c>
      <c r="K41" s="62">
        <f t="shared" si="12"/>
        <v>0</v>
      </c>
      <c r="L41" s="62">
        <f t="shared" si="12"/>
        <v>0</v>
      </c>
      <c r="M41" s="62">
        <f t="shared" si="12"/>
        <v>0</v>
      </c>
      <c r="N41" s="62">
        <f t="shared" si="12"/>
        <v>0</v>
      </c>
      <c r="O41" s="62">
        <f t="shared" si="12"/>
        <v>139940.3702</v>
      </c>
      <c r="P41" s="63">
        <f>P40-C40</f>
        <v>51840.62506</v>
      </c>
      <c r="Q41" s="60"/>
      <c r="R41" s="61">
        <f>P41/count(D41:O41)</f>
        <v>4320.052088</v>
      </c>
      <c r="S41" s="61">
        <f t="shared" ref="S41:S42" si="14">R41*12</f>
        <v>51840.62506</v>
      </c>
    </row>
    <row r="42">
      <c r="A42" s="51" t="s">
        <v>60</v>
      </c>
      <c r="B42" s="64"/>
      <c r="C42" s="26" t="s">
        <v>59</v>
      </c>
      <c r="D42" s="65">
        <f t="shared" ref="D42:O42" si="13">D41/C40</f>
        <v>-0.04158013603</v>
      </c>
      <c r="E42" s="65">
        <f t="shared" si="13"/>
        <v>-0.7572872916</v>
      </c>
      <c r="F42" s="65">
        <f t="shared" si="13"/>
        <v>-1</v>
      </c>
      <c r="G42" s="65" t="str">
        <f t="shared" si="13"/>
        <v>#DIV/0!</v>
      </c>
      <c r="H42" s="65" t="str">
        <f t="shared" si="13"/>
        <v>#DIV/0!</v>
      </c>
      <c r="I42" s="65" t="str">
        <f t="shared" si="13"/>
        <v>#DIV/0!</v>
      </c>
      <c r="J42" s="65" t="str">
        <f t="shared" si="13"/>
        <v>#DIV/0!</v>
      </c>
      <c r="K42" s="65" t="str">
        <f t="shared" si="13"/>
        <v>#DIV/0!</v>
      </c>
      <c r="L42" s="65" t="str">
        <f t="shared" si="13"/>
        <v>#DIV/0!</v>
      </c>
      <c r="M42" s="65" t="str">
        <f t="shared" si="13"/>
        <v>#DIV/0!</v>
      </c>
      <c r="N42" s="65" t="str">
        <f t="shared" si="13"/>
        <v>#DIV/0!</v>
      </c>
      <c r="O42" s="65" t="str">
        <f t="shared" si="13"/>
        <v>#DIV/0!</v>
      </c>
      <c r="P42" s="66">
        <f>P41/C40</f>
        <v>0.5884310447</v>
      </c>
      <c r="Q42" s="67"/>
      <c r="R42" s="68">
        <f>pow(1+P42, 1/count(D42:O42))-1</f>
        <v>0.1667812877</v>
      </c>
      <c r="S42" s="68">
        <f t="shared" si="14"/>
        <v>2.001375452</v>
      </c>
    </row>
    <row r="43">
      <c r="A43" s="56" t="s">
        <v>62</v>
      </c>
      <c r="B43" s="13" t="s">
        <v>22</v>
      </c>
      <c r="C43" s="57">
        <f>SUMIF($B3:$B36, "=F",C3:C36)/C56 + SUMIF($B3:$B36, "=E",C3:C36)*C55 + SUMIF($B3:$B36, "=D",C3:C36)</f>
        <v>8909.763867</v>
      </c>
      <c r="D43" s="57">
        <f t="shared" ref="D43:E43" si="15">SUMIF($B3:$B36, "=M",D3:D36)/D56 + SUMIF($B3:$B36, "=E",D3:D36)*D55 + SUMIF($B3:$B36, "=D",D3:D36)</f>
        <v>8428.803028</v>
      </c>
      <c r="E43" s="57">
        <f t="shared" si="15"/>
        <v>2273.49139</v>
      </c>
      <c r="F43" s="58">
        <v>0.0</v>
      </c>
      <c r="G43" s="58">
        <v>0.0</v>
      </c>
      <c r="H43" s="58">
        <v>0.0</v>
      </c>
      <c r="I43" s="58">
        <v>0.0</v>
      </c>
      <c r="J43" s="58">
        <v>0.0</v>
      </c>
      <c r="K43" s="58">
        <v>0.0</v>
      </c>
      <c r="L43" s="58">
        <v>0.0</v>
      </c>
      <c r="M43" s="58">
        <v>0.0</v>
      </c>
      <c r="N43" s="58">
        <v>0.0</v>
      </c>
      <c r="O43" s="57">
        <f>SUMIF($B3:$B36, "=M",O3:O36)/O56 + SUMIF($B3:$B36, "=E",O3:O36)*O55 + SUMIF($B3:$B36, "=D",O3:O36)</f>
        <v>15488.85388</v>
      </c>
      <c r="P43" s="59">
        <f t="array" ref="P43">index(D43:O43,1,counta(D43:O43))</f>
        <v>15488.85388</v>
      </c>
      <c r="Q43" s="69"/>
      <c r="R43" s="61"/>
      <c r="S43" s="61">
        <f>C43+S44</f>
        <v>15488.85388</v>
      </c>
    </row>
    <row r="44">
      <c r="A44" s="39" t="s">
        <v>58</v>
      </c>
      <c r="B44" s="13"/>
      <c r="C44" s="32" t="s">
        <v>59</v>
      </c>
      <c r="D44" s="62">
        <f t="shared" ref="D44:O44" si="16">(D43-C43)</f>
        <v>-480.9608382</v>
      </c>
      <c r="E44" s="62">
        <f t="shared" si="16"/>
        <v>-6155.311639</v>
      </c>
      <c r="F44" s="62">
        <f t="shared" si="16"/>
        <v>-2273.49139</v>
      </c>
      <c r="G44" s="62">
        <f t="shared" si="16"/>
        <v>0</v>
      </c>
      <c r="H44" s="62">
        <f t="shared" si="16"/>
        <v>0</v>
      </c>
      <c r="I44" s="62">
        <f t="shared" si="16"/>
        <v>0</v>
      </c>
      <c r="J44" s="62">
        <f t="shared" si="16"/>
        <v>0</v>
      </c>
      <c r="K44" s="62">
        <f t="shared" si="16"/>
        <v>0</v>
      </c>
      <c r="L44" s="62">
        <f t="shared" si="16"/>
        <v>0</v>
      </c>
      <c r="M44" s="62">
        <f t="shared" si="16"/>
        <v>0</v>
      </c>
      <c r="N44" s="62">
        <f t="shared" si="16"/>
        <v>0</v>
      </c>
      <c r="O44" s="62">
        <f t="shared" si="16"/>
        <v>15488.85388</v>
      </c>
      <c r="P44" s="63">
        <f>P43-C43</f>
        <v>6579.090013</v>
      </c>
      <c r="Q44" s="60"/>
      <c r="R44" s="61">
        <f>P44/count(D44:O44)</f>
        <v>548.2575011</v>
      </c>
      <c r="S44" s="61">
        <f t="shared" ref="S44:S45" si="18">R44*12</f>
        <v>6579.090013</v>
      </c>
    </row>
    <row r="45">
      <c r="A45" s="51" t="s">
        <v>60</v>
      </c>
      <c r="B45" s="64"/>
      <c r="C45" s="26" t="s">
        <v>59</v>
      </c>
      <c r="D45" s="65">
        <f t="shared" ref="D45:O45" si="17">D44/C43</f>
        <v>-0.05398132268</v>
      </c>
      <c r="E45" s="65">
        <f t="shared" si="17"/>
        <v>-0.730271145</v>
      </c>
      <c r="F45" s="65">
        <f t="shared" si="17"/>
        <v>-1</v>
      </c>
      <c r="G45" s="65" t="str">
        <f t="shared" si="17"/>
        <v>#DIV/0!</v>
      </c>
      <c r="H45" s="65" t="str">
        <f t="shared" si="17"/>
        <v>#DIV/0!</v>
      </c>
      <c r="I45" s="65" t="str">
        <f t="shared" si="17"/>
        <v>#DIV/0!</v>
      </c>
      <c r="J45" s="65" t="str">
        <f t="shared" si="17"/>
        <v>#DIV/0!</v>
      </c>
      <c r="K45" s="65" t="str">
        <f t="shared" si="17"/>
        <v>#DIV/0!</v>
      </c>
      <c r="L45" s="65" t="str">
        <f t="shared" si="17"/>
        <v>#DIV/0!</v>
      </c>
      <c r="M45" s="65" t="str">
        <f t="shared" si="17"/>
        <v>#DIV/0!</v>
      </c>
      <c r="N45" s="65" t="str">
        <f t="shared" si="17"/>
        <v>#DIV/0!</v>
      </c>
      <c r="O45" s="65" t="str">
        <f t="shared" si="17"/>
        <v>#DIV/0!</v>
      </c>
      <c r="P45" s="66">
        <f>P44/C43</f>
        <v>0.7384135103</v>
      </c>
      <c r="Q45" s="67"/>
      <c r="R45" s="68">
        <f>pow(1+P45, 1/count(D45:O45))-1</f>
        <v>0.2024057087</v>
      </c>
      <c r="S45" s="68">
        <f t="shared" si="18"/>
        <v>2.428868505</v>
      </c>
    </row>
    <row r="46">
      <c r="A46" s="50" t="s">
        <v>63</v>
      </c>
      <c r="B46" s="70" t="s">
        <v>64</v>
      </c>
      <c r="C46" s="71">
        <f t="shared" ref="C46:E46" si="19">C43/C58</f>
        <v>0.19859982</v>
      </c>
      <c r="D46" s="71">
        <f t="shared" si="19"/>
        <v>0.1744338998</v>
      </c>
      <c r="E46" s="71">
        <f t="shared" si="19"/>
        <v>0.01999587847</v>
      </c>
      <c r="F46" s="72">
        <v>0.0</v>
      </c>
      <c r="G46" s="72">
        <v>0.0</v>
      </c>
      <c r="H46" s="72">
        <v>0.0</v>
      </c>
      <c r="I46" s="72">
        <v>0.0</v>
      </c>
      <c r="J46" s="72">
        <v>0.0</v>
      </c>
      <c r="K46" s="72">
        <v>0.0</v>
      </c>
      <c r="L46" s="72">
        <v>0.0</v>
      </c>
      <c r="M46" s="72">
        <v>0.0</v>
      </c>
      <c r="N46" s="72">
        <v>0.0</v>
      </c>
      <c r="O46" s="71">
        <f>O43/O58</f>
        <v>0.1362280241</v>
      </c>
      <c r="P46" s="71">
        <f t="array" ref="P46">index(D46:O46,1,counta(D46:O46))</f>
        <v>0.1362280241</v>
      </c>
      <c r="Q46" s="73"/>
      <c r="R46" s="74"/>
      <c r="S46" s="74">
        <f>C46+S47</f>
        <v>0.1362280241</v>
      </c>
    </row>
    <row r="47">
      <c r="A47" s="51" t="s">
        <v>58</v>
      </c>
      <c r="B47" s="24"/>
      <c r="C47" s="75" t="s">
        <v>59</v>
      </c>
      <c r="D47" s="76">
        <f t="shared" ref="D47:O47" si="20">(D46-C46)</f>
        <v>-0.02416592025</v>
      </c>
      <c r="E47" s="76">
        <f t="shared" si="20"/>
        <v>-0.1544380213</v>
      </c>
      <c r="F47" s="76">
        <f t="shared" si="20"/>
        <v>-0.01999587847</v>
      </c>
      <c r="G47" s="76">
        <f t="shared" si="20"/>
        <v>0</v>
      </c>
      <c r="H47" s="76">
        <f t="shared" si="20"/>
        <v>0</v>
      </c>
      <c r="I47" s="76">
        <f t="shared" si="20"/>
        <v>0</v>
      </c>
      <c r="J47" s="76">
        <f t="shared" si="20"/>
        <v>0</v>
      </c>
      <c r="K47" s="76">
        <f t="shared" si="20"/>
        <v>0</v>
      </c>
      <c r="L47" s="76">
        <f t="shared" si="20"/>
        <v>0</v>
      </c>
      <c r="M47" s="76">
        <f t="shared" si="20"/>
        <v>0</v>
      </c>
      <c r="N47" s="76">
        <f t="shared" si="20"/>
        <v>0</v>
      </c>
      <c r="O47" s="76">
        <f t="shared" si="20"/>
        <v>0.1362280241</v>
      </c>
      <c r="P47" s="77">
        <f>P46-C46</f>
        <v>-0.06237179598</v>
      </c>
      <c r="Q47" s="24"/>
      <c r="R47" s="74">
        <f>P47/count(D47:O47)</f>
        <v>-0.005197649665</v>
      </c>
      <c r="S47" s="74">
        <f t="shared" ref="S47:S48" si="22">R47*12</f>
        <v>-0.06237179598</v>
      </c>
    </row>
    <row r="48">
      <c r="A48" s="51" t="s">
        <v>60</v>
      </c>
      <c r="B48" s="24"/>
      <c r="C48" s="78" t="s">
        <v>59</v>
      </c>
      <c r="D48" s="79">
        <f t="shared" ref="D48:O48" si="21">D47/C46</f>
        <v>-0.1216814811</v>
      </c>
      <c r="E48" s="79">
        <f t="shared" si="21"/>
        <v>-0.8853670159</v>
      </c>
      <c r="F48" s="79">
        <f t="shared" si="21"/>
        <v>-1</v>
      </c>
      <c r="G48" s="79" t="str">
        <f t="shared" si="21"/>
        <v>#DIV/0!</v>
      </c>
      <c r="H48" s="79" t="str">
        <f t="shared" si="21"/>
        <v>#DIV/0!</v>
      </c>
      <c r="I48" s="79" t="str">
        <f t="shared" si="21"/>
        <v>#DIV/0!</v>
      </c>
      <c r="J48" s="79" t="str">
        <f t="shared" si="21"/>
        <v>#DIV/0!</v>
      </c>
      <c r="K48" s="79" t="str">
        <f t="shared" si="21"/>
        <v>#DIV/0!</v>
      </c>
      <c r="L48" s="79" t="str">
        <f t="shared" si="21"/>
        <v>#DIV/0!</v>
      </c>
      <c r="M48" s="79" t="str">
        <f t="shared" si="21"/>
        <v>#DIV/0!</v>
      </c>
      <c r="N48" s="79" t="str">
        <f t="shared" si="21"/>
        <v>#DIV/0!</v>
      </c>
      <c r="O48" s="79" t="str">
        <f t="shared" si="21"/>
        <v>#DIV/0!</v>
      </c>
      <c r="P48" s="80">
        <f>P47/C46</f>
        <v>-0.3140576662</v>
      </c>
      <c r="Q48" s="41"/>
      <c r="R48" s="68">
        <f>pow(1+P48, 1/count(D48:O48))-1</f>
        <v>-0.1180799783</v>
      </c>
      <c r="S48" s="68">
        <f t="shared" si="22"/>
        <v>-1.416959739</v>
      </c>
    </row>
    <row r="49">
      <c r="A49" s="54"/>
      <c r="B49" s="13"/>
      <c r="C49" s="26"/>
      <c r="D49" s="8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82"/>
      <c r="Q49" s="82"/>
      <c r="R49" s="17"/>
      <c r="S49" s="17"/>
    </row>
    <row r="50">
      <c r="A50" s="8" t="s">
        <v>65</v>
      </c>
      <c r="B50" s="9"/>
      <c r="C50" s="10"/>
      <c r="D50" s="10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10"/>
      <c r="Q50" s="8" t="s">
        <v>66</v>
      </c>
      <c r="R50" s="8" t="s">
        <v>67</v>
      </c>
      <c r="S50" s="10"/>
    </row>
    <row r="51">
      <c r="A51" s="27" t="s">
        <v>68</v>
      </c>
      <c r="B51" s="84" t="s">
        <v>22</v>
      </c>
      <c r="C51" s="85">
        <v>118.12</v>
      </c>
      <c r="D51" s="86">
        <v>121.12</v>
      </c>
      <c r="E51" s="86">
        <f>IFERROR(__xludf.DUMMYFUNCTION("GoogleFinance($A51)"),155.87)</f>
        <v>155.87</v>
      </c>
      <c r="F51" s="86"/>
      <c r="G51" s="86"/>
      <c r="H51" s="86"/>
      <c r="I51" s="86"/>
      <c r="J51" s="86"/>
      <c r="K51" s="86"/>
      <c r="L51" s="86"/>
      <c r="M51" s="86"/>
      <c r="N51" s="86"/>
      <c r="O51" s="86">
        <f>IFERROR(__xludf.DUMMYFUNCTION("GoogleFinance($A51)"),155.87)</f>
        <v>155.87</v>
      </c>
      <c r="P51" s="85" t="str">
        <f t="shared" ref="P51:P52" si="23">index(D51:O51,1,counta(D51:O51))</f>
        <v/>
      </c>
      <c r="Q51" s="87">
        <f t="shared" ref="Q51:Q52" si="24">(P51-C51)/C51</f>
        <v>-1</v>
      </c>
      <c r="R51" s="88">
        <f t="shared" ref="R51:R52" si="25">(index(C51:O51,1,counta(C51:O51)) - index(C51:O51,1,counta(C51:O51)-1))/index(C51:O51,1,counta(C51:O51)-1)</f>
        <v>-1</v>
      </c>
      <c r="S51" s="89"/>
    </row>
    <row r="52">
      <c r="A52" s="27" t="s">
        <v>69</v>
      </c>
      <c r="B52" s="84" t="s">
        <v>22</v>
      </c>
      <c r="C52" s="85">
        <v>9.0</v>
      </c>
      <c r="D52" s="86">
        <v>8.16</v>
      </c>
      <c r="E52" s="86">
        <f>IFERROR(__xludf.DUMMYFUNCTION("GoogleFinance($A52)"),8.01)</f>
        <v>8.01</v>
      </c>
      <c r="F52" s="86"/>
      <c r="G52" s="86"/>
      <c r="H52" s="86"/>
      <c r="I52" s="86"/>
      <c r="J52" s="86"/>
      <c r="K52" s="86"/>
      <c r="L52" s="86"/>
      <c r="M52" s="86"/>
      <c r="N52" s="86"/>
      <c r="O52" s="86">
        <f>IFERROR(__xludf.DUMMYFUNCTION("GoogleFinance($A52)"),8.01)</f>
        <v>8.01</v>
      </c>
      <c r="P52" s="85" t="str">
        <f t="shared" si="23"/>
        <v/>
      </c>
      <c r="Q52" s="87">
        <f t="shared" si="24"/>
        <v>-1</v>
      </c>
      <c r="R52" s="88">
        <f t="shared" si="25"/>
        <v>-1</v>
      </c>
      <c r="S52" s="89"/>
    </row>
    <row r="53">
      <c r="A53" s="90"/>
      <c r="B53" s="91"/>
      <c r="C53" s="92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>
      <c r="A54" s="94" t="s">
        <v>70</v>
      </c>
      <c r="B54" s="95"/>
      <c r="C54" s="96">
        <v>10.824888</v>
      </c>
      <c r="D54" s="86">
        <v>10.802951310000001</v>
      </c>
      <c r="E54" s="86">
        <f>IFERROR(__xludf.DUMMYFUNCTION("GoogleFinance($A54)"),10.450700000000001)</f>
        <v>10.4507</v>
      </c>
      <c r="F54" s="86"/>
      <c r="G54" s="86"/>
      <c r="H54" s="86"/>
      <c r="I54" s="86"/>
      <c r="J54" s="86"/>
      <c r="K54" s="86"/>
      <c r="L54" s="86"/>
      <c r="M54" s="86"/>
      <c r="N54" s="86"/>
      <c r="O54" s="86">
        <f>IFERROR(__xludf.DUMMYFUNCTION("GoogleFinance($A54)"),10.450700000000001)</f>
        <v>10.4507</v>
      </c>
      <c r="P54" s="97" t="str">
        <f t="shared" ref="P54:P56" si="26">index(D54:O54,1,counta(D54:O54))</f>
        <v/>
      </c>
      <c r="Q54" s="98">
        <f t="shared" ref="Q54:Q56" si="27">(P54-C54)/C54</f>
        <v>-1</v>
      </c>
      <c r="R54" s="99">
        <f t="shared" ref="R54:R56" si="28">(index(C54:O54,1,counta(C54:O54)) - index(C54:O54,1,counta(C54:O54)-1))/index(C54:O54,1,counta(C54:O54)-1)</f>
        <v>-1</v>
      </c>
      <c r="S54" s="46"/>
    </row>
    <row r="55">
      <c r="A55" s="94" t="s">
        <v>71</v>
      </c>
      <c r="B55" s="95"/>
      <c r="C55" s="96">
        <v>1.09475</v>
      </c>
      <c r="D55" s="86">
        <v>1.078395</v>
      </c>
      <c r="E55" s="86">
        <f>IFERROR(__xludf.DUMMYFUNCTION("GoogleFinance($A55)"),1.15935308)</f>
        <v>1.15935308</v>
      </c>
      <c r="F55" s="86"/>
      <c r="G55" s="86"/>
      <c r="H55" s="86"/>
      <c r="I55" s="86"/>
      <c r="J55" s="86"/>
      <c r="K55" s="86"/>
      <c r="L55" s="86"/>
      <c r="M55" s="86"/>
      <c r="N55" s="86"/>
      <c r="O55" s="86">
        <f>IFERROR(__xludf.DUMMYFUNCTION("GoogleFinance($A55)"),1.15935308)</f>
        <v>1.15935308</v>
      </c>
      <c r="P55" s="97" t="str">
        <f t="shared" si="26"/>
        <v/>
      </c>
      <c r="Q55" s="98">
        <f t="shared" si="27"/>
        <v>-1</v>
      </c>
      <c r="R55" s="99">
        <f t="shared" si="28"/>
        <v>-1</v>
      </c>
      <c r="S55" s="46"/>
    </row>
    <row r="56">
      <c r="A56" s="94" t="s">
        <v>72</v>
      </c>
      <c r="B56" s="95"/>
      <c r="C56" s="96">
        <v>9.888</v>
      </c>
      <c r="D56" s="86">
        <v>10.01762</v>
      </c>
      <c r="E56" s="86">
        <f>IFERROR(__xludf.DUMMYFUNCTION("GoogleFinance($A56)"),9.0865)</f>
        <v>9.0865</v>
      </c>
      <c r="F56" s="86"/>
      <c r="G56" s="86"/>
      <c r="H56" s="86"/>
      <c r="I56" s="86"/>
      <c r="J56" s="86"/>
      <c r="K56" s="86"/>
      <c r="L56" s="86"/>
      <c r="M56" s="86"/>
      <c r="N56" s="86"/>
      <c r="O56" s="86">
        <f>IFERROR(__xludf.DUMMYFUNCTION("GoogleFinance($A56)"),9.0865)</f>
        <v>9.0865</v>
      </c>
      <c r="P56" s="97" t="str">
        <f t="shared" si="26"/>
        <v/>
      </c>
      <c r="Q56" s="98">
        <f t="shared" si="27"/>
        <v>-1</v>
      </c>
      <c r="R56" s="99">
        <f t="shared" si="28"/>
        <v>-1</v>
      </c>
    </row>
    <row r="57">
      <c r="A57" s="94"/>
      <c r="B57" s="95"/>
      <c r="C57" s="100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/>
      <c r="Q57" s="102"/>
      <c r="R57" s="46"/>
      <c r="S57" s="46"/>
    </row>
    <row r="58">
      <c r="A58" s="27" t="s">
        <v>73</v>
      </c>
      <c r="B58" s="103"/>
      <c r="C58" s="104">
        <v>44862.9</v>
      </c>
      <c r="D58" s="105">
        <v>48320.9</v>
      </c>
      <c r="E58" s="105">
        <f>IFERROR(__xludf.DUMMYFUNCTION("GoogleFinance($A58)"),113698.0)</f>
        <v>113698</v>
      </c>
      <c r="F58" s="105"/>
      <c r="G58" s="105"/>
      <c r="H58" s="105"/>
      <c r="I58" s="105"/>
      <c r="J58" s="105"/>
      <c r="K58" s="105"/>
      <c r="L58" s="105"/>
      <c r="M58" s="105"/>
      <c r="N58" s="105"/>
      <c r="O58" s="105">
        <f>IFERROR(__xludf.DUMMYFUNCTION("GoogleFinance($A58)"),113698.0)</f>
        <v>113698</v>
      </c>
      <c r="P58" s="104" t="str">
        <f t="array" ref="P58">index(D58:O58,1,counta(D58:O58))</f>
        <v/>
      </c>
      <c r="Q58" s="98">
        <f>(P58-C58)/C58</f>
        <v>-1</v>
      </c>
      <c r="R58" s="106">
        <f t="array" ref="R58">(index(C58:O58,1,counta(C58:O58)) - index(C58:O58,1,counta(C58:O58)-1))/index(C58:O58,1,counta(C58:O58)-1)</f>
        <v>-1</v>
      </c>
      <c r="S58" s="45"/>
    </row>
    <row r="59">
      <c r="A59" s="27" t="s">
        <v>74</v>
      </c>
      <c r="B59" s="107" t="s">
        <v>26</v>
      </c>
      <c r="C59" s="108"/>
      <c r="D59" s="109">
        <v>0.0</v>
      </c>
      <c r="E59" s="109">
        <v>0.0</v>
      </c>
      <c r="F59" s="109"/>
      <c r="G59" s="109"/>
      <c r="H59" s="109"/>
      <c r="I59" s="109"/>
      <c r="J59" s="109"/>
      <c r="K59" s="109"/>
      <c r="L59" s="109"/>
      <c r="M59" s="109"/>
      <c r="N59" s="109"/>
      <c r="O59" s="109">
        <v>0.0</v>
      </c>
      <c r="P59" s="104"/>
      <c r="Q59" s="98"/>
      <c r="R59" s="106"/>
      <c r="S59" s="45"/>
    </row>
    <row r="60">
      <c r="A60" s="27" t="s">
        <v>75</v>
      </c>
      <c r="B60" s="107" t="s">
        <v>26</v>
      </c>
      <c r="C60" s="108"/>
      <c r="D60" s="110">
        <v>44805.554520000005</v>
      </c>
      <c r="E60" s="110">
        <f>IFERROR(__xludf.DUMMYFUNCTION("GoogleFinance($A60)"),97805.92458)</f>
        <v>97805.92458</v>
      </c>
      <c r="F60" s="110"/>
      <c r="G60" s="110"/>
      <c r="H60" s="110"/>
      <c r="I60" s="110"/>
      <c r="J60" s="110"/>
      <c r="K60" s="110"/>
      <c r="L60" s="110"/>
      <c r="M60" s="110"/>
      <c r="N60" s="110"/>
      <c r="O60" s="110">
        <f>IFERROR(__xludf.DUMMYFUNCTION("GoogleFinance($A60)"),97805.92458)</f>
        <v>97805.92458</v>
      </c>
      <c r="P60" s="104"/>
      <c r="Q60" s="98"/>
      <c r="R60" s="106"/>
      <c r="S60" s="45"/>
    </row>
    <row r="61">
      <c r="A61" s="54"/>
      <c r="B61" s="95"/>
      <c r="C61" s="111"/>
      <c r="E61" s="112"/>
      <c r="F61" s="112"/>
      <c r="G61" s="112"/>
      <c r="H61" s="112"/>
      <c r="I61" s="112"/>
      <c r="J61" s="112"/>
      <c r="K61" s="89"/>
      <c r="L61" s="89"/>
      <c r="M61" s="89"/>
      <c r="N61" s="89"/>
      <c r="O61" s="89"/>
      <c r="P61" s="102"/>
      <c r="Q61" s="102"/>
      <c r="R61" s="46"/>
      <c r="S61" s="46"/>
    </row>
    <row r="62">
      <c r="A62" s="8" t="s">
        <v>76</v>
      </c>
      <c r="B62" s="9"/>
      <c r="C62" s="10"/>
      <c r="D62" s="10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10"/>
      <c r="Q62" s="8" t="s">
        <v>66</v>
      </c>
      <c r="R62" s="8" t="s">
        <v>67</v>
      </c>
      <c r="S62" s="10"/>
    </row>
    <row r="63">
      <c r="A63" s="94" t="s">
        <v>77</v>
      </c>
      <c r="B63" s="91" t="s">
        <v>26</v>
      </c>
      <c r="C63" s="22">
        <f>(SUMIF($B$3:$B$6, "=F",C3:C6) +sum(B8)*0.8)/C54 + SUMIF($B$3:$B$6, "=E",C3:C6) + SUMIF($B$3:$B$6, "=D",C3:C6)/C55</f>
        <v>1482.329299</v>
      </c>
      <c r="D63" s="113">
        <f>(SUMIF($B$3:$B$6, "=M",D3:D6)/D54 + SUMIF($B$3:$B$6, "=E",D3:D6) + SUMIF($B$3:$B$6, "=D",D3:D6)/D55)</f>
        <v>1183.685013</v>
      </c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22">
        <f t="shared" ref="P63:P69" si="29">index(D63:O63,1,counta(D63:O63))</f>
        <v>1183.685013</v>
      </c>
      <c r="Q63" s="87">
        <f t="shared" ref="Q63:Q68" si="30">(P63-C63)/C63</f>
        <v>-0.2014695964</v>
      </c>
      <c r="R63" s="88">
        <f t="shared" ref="R63:R68" si="31">(index(C63:O63,1,counta(C63:O63)) - index(C63:O63,1,counta(C63:O63)-1))/index(C63:O63,1,counta(C63:O63)-1)</f>
        <v>-0.2014695964</v>
      </c>
      <c r="S63" s="36"/>
    </row>
    <row r="64">
      <c r="A64" s="94" t="s">
        <v>27</v>
      </c>
      <c r="B64" s="91" t="s">
        <v>26</v>
      </c>
      <c r="C64" s="22">
        <f>(SUMIF($B$8:$B$13, "=F",C8:C13) +sum(C8)*0.2)/C54 + SUMIF($B$8:$B$13, "=E",C8:C13) + SUMIF($B$8:$B$13, "=D",C8:C13)/C55</f>
        <v>453.8194901</v>
      </c>
      <c r="D64" s="113">
        <f>(SUMIF($B$8:$B$10, "=M",D8:D10) +SUM(D8)*0.2)/D54 + SUMIF($B$8:$B$10, "=E",D8:D10) + SUMIF($B$8:$B$10, "=D",D8:D10)/D55</f>
        <v>0</v>
      </c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22">
        <f t="shared" si="29"/>
        <v>0</v>
      </c>
      <c r="Q64" s="87">
        <f t="shared" si="30"/>
        <v>-1</v>
      </c>
      <c r="R64" s="88">
        <f t="shared" si="31"/>
        <v>-1</v>
      </c>
      <c r="S64" s="36"/>
    </row>
    <row r="65">
      <c r="A65" s="39" t="s">
        <v>29</v>
      </c>
      <c r="B65" s="114" t="s">
        <v>26</v>
      </c>
      <c r="C65" s="40">
        <f>SUMIF($B$10:$B$13, "=F",C10:C13)/C$54 + SUMIF($B$10:$B$13, "=E",C10:C13) + SUMIF($B$10:$B$13, "=D",C10:C13)/C$55</f>
        <v>453.8194901</v>
      </c>
      <c r="D65" s="113">
        <f>SUMIF($B$10:$B$11, "=M",D$10:D$11)/D$54 + SUMIF($B$10:$B$11, "=E",D$10:D$11) + SUMIF($B$10:$B$11, "=D",D$10:D$11)/D$55</f>
        <v>0</v>
      </c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04">
        <f t="shared" si="29"/>
        <v>0</v>
      </c>
      <c r="Q65" s="87">
        <f t="shared" si="30"/>
        <v>-1</v>
      </c>
      <c r="R65" s="88">
        <f t="shared" si="31"/>
        <v>-1</v>
      </c>
      <c r="S65" s="36"/>
    </row>
    <row r="66">
      <c r="A66" s="94" t="s">
        <v>78</v>
      </c>
      <c r="B66" s="91" t="s">
        <v>26</v>
      </c>
      <c r="C66" s="22">
        <f>SUMIF($B$13:$B$29, "=F",C13:C29)/C54 + SUMIF($B$13:$B$29, "=E",C13:C29) + SUMIF($B$13:$B$29, "=D",C13:C29)/C55</f>
        <v>5199.21</v>
      </c>
      <c r="D66" s="113">
        <f>SUMIF($B$13:$B$29, "=M",D13:D29)/D54 + SUMIF($B$13:$B$29, "=E",D13:D29) + SUMIF($B$13:$B$29, "=D",D13:D29)/D55</f>
        <v>5199.21</v>
      </c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22">
        <f t="shared" si="29"/>
        <v>5199.21</v>
      </c>
      <c r="Q66" s="98">
        <f t="shared" si="30"/>
        <v>0</v>
      </c>
      <c r="R66" s="99">
        <f t="shared" si="31"/>
        <v>0</v>
      </c>
      <c r="S66" s="36"/>
    </row>
    <row r="67">
      <c r="A67" s="94" t="s">
        <v>50</v>
      </c>
      <c r="B67" s="91" t="s">
        <v>26</v>
      </c>
      <c r="C67" s="22">
        <f>SUMIF($B$29:$B$31, "=F",C29:C31)/C54 + SUMIF($B$29:$B$31, "=E",C29:C31) + SUMIF($B$29:$B$31, "=D",C29:C31)/C55</f>
        <v>0</v>
      </c>
      <c r="D67" s="113">
        <f>SUMIF($B$29:$B$31, "=M",D29:D31)/D54 + SUMIF($B$29:$B$31, "=E",D29:D31) + SUMIF($B$29:$B$31, "=D",D29:D31)/D55</f>
        <v>0</v>
      </c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22">
        <f t="shared" si="29"/>
        <v>0</v>
      </c>
      <c r="Q67" s="98" t="str">
        <f t="shared" si="30"/>
        <v>#DIV/0!</v>
      </c>
      <c r="R67" s="99" t="str">
        <f t="shared" si="31"/>
        <v>#DIV/0!</v>
      </c>
      <c r="S67" s="36"/>
    </row>
    <row r="68">
      <c r="A68" s="94" t="s">
        <v>52</v>
      </c>
      <c r="B68" s="91" t="s">
        <v>26</v>
      </c>
      <c r="C68" s="22">
        <f>SUMIF($B$31:$B$34, "=F",C31:C34)/C54 + SUMIF($B$31:$B$34, "=E",C31:C34) + SUMIF($B$31:$B$34, "=D",C31:C34)/C55</f>
        <v>-328.73</v>
      </c>
      <c r="D68" s="113">
        <f>SUMIF($B$31:$B$34, "=M",D31:D34)/D54 + SUMIF($B$31:$B$34, "=E",D31:D34) + SUMIF($B$31:$B$34, "=D",D31:D34)/D55</f>
        <v>-328.73</v>
      </c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22">
        <f t="shared" si="29"/>
        <v>-328.73</v>
      </c>
      <c r="Q68" s="98">
        <f t="shared" si="30"/>
        <v>0</v>
      </c>
      <c r="R68" s="99">
        <f t="shared" si="31"/>
        <v>0</v>
      </c>
      <c r="S68" s="36"/>
    </row>
    <row r="69">
      <c r="A69" s="94" t="s">
        <v>55</v>
      </c>
      <c r="B69" s="91" t="s">
        <v>26</v>
      </c>
      <c r="C69" s="22">
        <f>SUMIF($B$34:$B$36, "=F",C34:C36)/C54 + SUMIF($B$34:$B$36, "=E",C34:C36) + SUMIF($B$34:$B$36, "=D",C34:C36)/C55</f>
        <v>0</v>
      </c>
      <c r="D69" s="113">
        <f>SUMIF($B$34:$B$36, "=M",D34:D36)/D54 + SUMIF($B$34:$B$36, "=E",D34:D36) + SUMIF($B$34:$B$36, "=D",D34:D36)/D55</f>
        <v>0</v>
      </c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22">
        <f t="shared" si="29"/>
        <v>0</v>
      </c>
      <c r="Q69" s="102"/>
      <c r="R69" s="46"/>
      <c r="S69" s="36"/>
    </row>
    <row r="70">
      <c r="A70" s="54"/>
      <c r="B70" s="95"/>
      <c r="C70" s="22"/>
      <c r="D70" s="115"/>
      <c r="E70" s="116"/>
      <c r="F70" s="116"/>
      <c r="G70" s="116"/>
      <c r="H70" s="116"/>
      <c r="I70" s="103"/>
      <c r="J70" s="103"/>
      <c r="K70" s="103"/>
      <c r="L70" s="103"/>
      <c r="M70" s="103"/>
      <c r="N70" s="103"/>
      <c r="O70" s="103"/>
      <c r="P70" s="117"/>
      <c r="Q70" s="98"/>
      <c r="R70" s="106"/>
      <c r="S70" s="36"/>
    </row>
    <row r="71">
      <c r="A71" s="8" t="s">
        <v>79</v>
      </c>
      <c r="B71" s="9"/>
      <c r="C71" s="118"/>
      <c r="D71" s="118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8"/>
      <c r="Q71" s="10"/>
      <c r="R71" s="10"/>
      <c r="S71" s="10"/>
    </row>
    <row r="72">
      <c r="A72" s="120" t="s">
        <v>80</v>
      </c>
      <c r="B72" s="103"/>
      <c r="C72" s="103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17"/>
      <c r="R72" s="61"/>
      <c r="S72" s="36"/>
    </row>
    <row r="73">
      <c r="A73" s="39" t="s">
        <v>81</v>
      </c>
      <c r="B73" s="122" t="s">
        <v>26</v>
      </c>
      <c r="C73" s="10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>
        <f>2909.89+2313.07</f>
        <v>5222.96</v>
      </c>
      <c r="P73" s="117">
        <f>sum(D73:O73)</f>
        <v>5222.96</v>
      </c>
      <c r="R73" s="61">
        <f>P73/count(D73:O73)</f>
        <v>5222.96</v>
      </c>
      <c r="S73" s="36"/>
    </row>
    <row r="74">
      <c r="A74" s="23" t="s">
        <v>82</v>
      </c>
      <c r="B74" s="103"/>
      <c r="C74" s="103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17"/>
      <c r="R74" s="61"/>
    </row>
    <row r="75">
      <c r="A75" s="27" t="s">
        <v>83</v>
      </c>
      <c r="B75" s="122" t="s">
        <v>26</v>
      </c>
      <c r="C75" s="10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7">
        <f t="shared" ref="P75:P79" si="32">sum(D75:O75)</f>
        <v>0</v>
      </c>
      <c r="R75" s="61" t="str">
        <f>P75/count(D75:O75)</f>
        <v>#DIV/0!</v>
      </c>
    </row>
    <row r="76">
      <c r="A76" s="39" t="s">
        <v>84</v>
      </c>
      <c r="B76" s="122" t="s">
        <v>26</v>
      </c>
      <c r="C76" s="10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17">
        <f t="shared" si="32"/>
        <v>0</v>
      </c>
      <c r="Q76" s="89"/>
      <c r="R76" s="124"/>
      <c r="S76" s="89"/>
    </row>
    <row r="77">
      <c r="A77" s="39" t="s">
        <v>85</v>
      </c>
      <c r="B77" s="122" t="s">
        <v>26</v>
      </c>
      <c r="C77" s="10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17">
        <f t="shared" si="32"/>
        <v>0</v>
      </c>
      <c r="Q77" s="89"/>
      <c r="R77" s="124"/>
      <c r="S77" s="89"/>
    </row>
    <row r="78">
      <c r="A78" s="27" t="s">
        <v>86</v>
      </c>
      <c r="B78" s="122" t="s">
        <v>26</v>
      </c>
      <c r="C78" s="10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7">
        <f t="shared" si="32"/>
        <v>0</v>
      </c>
      <c r="Q78" s="89"/>
      <c r="R78" s="124"/>
      <c r="S78" s="89"/>
    </row>
    <row r="79" ht="13.5" customHeight="1">
      <c r="A79" s="27" t="s">
        <v>52</v>
      </c>
      <c r="B79" s="122" t="s">
        <v>26</v>
      </c>
      <c r="C79" s="103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17">
        <f t="shared" si="32"/>
        <v>0</v>
      </c>
      <c r="Q79" s="89"/>
      <c r="R79" s="124"/>
      <c r="S79" s="89"/>
    </row>
    <row r="80">
      <c r="A80" s="23" t="s">
        <v>87</v>
      </c>
      <c r="B80" s="103"/>
      <c r="C80" s="103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17"/>
      <c r="R80" s="61"/>
    </row>
    <row r="81">
      <c r="A81" s="39" t="s">
        <v>88</v>
      </c>
      <c r="B81" s="126" t="s">
        <v>22</v>
      </c>
      <c r="C81" s="103"/>
      <c r="D81" s="121">
        <v>0.0</v>
      </c>
      <c r="E81" s="121"/>
      <c r="F81" s="121"/>
      <c r="G81" s="121"/>
      <c r="H81" s="121"/>
      <c r="I81" s="121"/>
      <c r="J81" s="121"/>
      <c r="K81" s="121"/>
      <c r="L81" s="121"/>
      <c r="M81" s="121"/>
      <c r="N81" s="123"/>
      <c r="O81" s="121"/>
      <c r="P81" s="117">
        <f>sum(D81:O81)</f>
        <v>0</v>
      </c>
      <c r="R81" s="61">
        <f>P81/count(D81:O81)</f>
        <v>0</v>
      </c>
    </row>
    <row r="82">
      <c r="A82" s="27" t="s">
        <v>89</v>
      </c>
      <c r="B82" s="84" t="s">
        <v>26</v>
      </c>
      <c r="C82" s="103"/>
      <c r="D82" s="123">
        <v>0.0</v>
      </c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17"/>
      <c r="R82" s="61"/>
    </row>
    <row r="83">
      <c r="A83" s="39"/>
      <c r="B83" s="103"/>
      <c r="C83" s="103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02"/>
      <c r="R83" s="128"/>
      <c r="S83" s="128"/>
    </row>
    <row r="84">
      <c r="A84" s="39" t="s">
        <v>90</v>
      </c>
      <c r="B84" s="122" t="s">
        <v>26</v>
      </c>
      <c r="C84" s="89"/>
      <c r="D84" s="121">
        <f t="shared" ref="D84:O84" si="33">(SUMIF($B$73:$B$83, "=E",D73:D83)) +SUMIF($B$73:$B$83, "=M",D73:D83)*D54 +SUMIF($B$73:$B$83, "=D",D73:D83)*D55</f>
        <v>0</v>
      </c>
      <c r="E84" s="121">
        <f t="shared" si="33"/>
        <v>0</v>
      </c>
      <c r="F84" s="121">
        <f t="shared" si="33"/>
        <v>0</v>
      </c>
      <c r="G84" s="121">
        <f t="shared" si="33"/>
        <v>0</v>
      </c>
      <c r="H84" s="121">
        <f t="shared" si="33"/>
        <v>0</v>
      </c>
      <c r="I84" s="121">
        <f t="shared" si="33"/>
        <v>0</v>
      </c>
      <c r="J84" s="121">
        <f t="shared" si="33"/>
        <v>0</v>
      </c>
      <c r="K84" s="121">
        <f t="shared" si="33"/>
        <v>0</v>
      </c>
      <c r="L84" s="121">
        <f t="shared" si="33"/>
        <v>0</v>
      </c>
      <c r="M84" s="121">
        <f t="shared" si="33"/>
        <v>0</v>
      </c>
      <c r="N84" s="121">
        <f t="shared" si="33"/>
        <v>0</v>
      </c>
      <c r="O84" s="121">
        <f t="shared" si="33"/>
        <v>5222.96</v>
      </c>
      <c r="P84" s="129">
        <f t="shared" ref="P84:P85" si="34">sum(D84:O84)</f>
        <v>5222.96</v>
      </c>
      <c r="Q84" s="130"/>
      <c r="R84" s="61">
        <f t="shared" ref="R84:R86" si="35">P84/count(D84:O84)</f>
        <v>435.2466667</v>
      </c>
      <c r="S84" s="61">
        <f t="shared" ref="S84:S86" si="36">12*R84</f>
        <v>5222.96</v>
      </c>
    </row>
    <row r="85">
      <c r="A85" s="94" t="s">
        <v>91</v>
      </c>
      <c r="B85" s="122" t="s">
        <v>26</v>
      </c>
      <c r="C85" s="111"/>
      <c r="D85" s="131">
        <f>IFERROR(__xludf.DUMMYFUNCTION("IMPORTRANGE(""https://docs.google.com/spreadsheets/d/1_2flpAtyRfEW4twQHSSimK3gmjvEhqdd9Rr5cU8leQo/edit?usp=sharing"", D1&amp;""!H2"")"),0.0)</f>
        <v>0</v>
      </c>
      <c r="E85" s="131">
        <f>IFERROR(__xludf.DUMMYFUNCTION("IMPORTRANGE(""https://docs.google.com/spreadsheets/d/1_2flpAtyRfEW4twQHSSimK3gmjvEhqdd9Rr5cU8leQo/edit?usp=sharing"", E1&amp;""!H2"")"),0.0)</f>
        <v>0</v>
      </c>
      <c r="F85" s="131">
        <f>IFERROR(__xludf.DUMMYFUNCTION("IMPORTRANGE(""https://docs.google.com/spreadsheets/d/1_2flpAtyRfEW4twQHSSimK3gmjvEhqdd9Rr5cU8leQo/edit?usp=sharing"", F1&amp;""!H2"")"),0.0)</f>
        <v>0</v>
      </c>
      <c r="G85" s="131">
        <f>IFERROR(__xludf.DUMMYFUNCTION("IMPORTRANGE(""https://docs.google.com/spreadsheets/d/1_2flpAtyRfEW4twQHSSimK3gmjvEhqdd9Rr5cU8leQo/edit?usp=sharing"", G1&amp;""!H2"")"),0.0)</f>
        <v>0</v>
      </c>
      <c r="H85" s="131">
        <f>IFERROR(__xludf.DUMMYFUNCTION("IMPORTRANGE(""https://docs.google.com/spreadsheets/d/1_2flpAtyRfEW4twQHSSimK3gmjvEhqdd9Rr5cU8leQo/edit?usp=sharing"", H1&amp;""!H2"")"),0.0)</f>
        <v>0</v>
      </c>
      <c r="I85" s="131">
        <f>IFERROR(__xludf.DUMMYFUNCTION("IMPORTRANGE(""https://docs.google.com/spreadsheets/d/1_2flpAtyRfEW4twQHSSimK3gmjvEhqdd9Rr5cU8leQo/edit?usp=sharing"", I1&amp;""!H2"")"),0.0)</f>
        <v>0</v>
      </c>
      <c r="J85" s="131">
        <f>IFERROR(__xludf.DUMMYFUNCTION("IMPORTRANGE(""https://docs.google.com/spreadsheets/d/1_2flpAtyRfEW4twQHSSimK3gmjvEhqdd9Rr5cU8leQo/edit?usp=sharing"", J1&amp;""!H2"")"),0.0)</f>
        <v>0</v>
      </c>
      <c r="K85" s="131">
        <f>IFERROR(__xludf.DUMMYFUNCTION("IMPORTRANGE(""https://docs.google.com/spreadsheets/d/1_2flpAtyRfEW4twQHSSimK3gmjvEhqdd9Rr5cU8leQo/edit?usp=sharing"", K1&amp;""!H2"")"),0.0)</f>
        <v>0</v>
      </c>
      <c r="L85" s="131">
        <f>IFERROR(__xludf.DUMMYFUNCTION("IMPORTRANGE(""https://docs.google.com/spreadsheets/d/1_2flpAtyRfEW4twQHSSimK3gmjvEhqdd9Rr5cU8leQo/edit?usp=sharing"", L1&amp;""!H2"")"),0.0)</f>
        <v>0</v>
      </c>
      <c r="M85" s="131">
        <f>IFERROR(__xludf.DUMMYFUNCTION("IMPORTRANGE(""https://docs.google.com/spreadsheets/d/1_2flpAtyRfEW4twQHSSimK3gmjvEhqdd9Rr5cU8leQo/edit?usp=sharing"", M1&amp;""!H2"")"),0.0)</f>
        <v>0</v>
      </c>
      <c r="N85" s="131">
        <f>IFERROR(__xludf.DUMMYFUNCTION("IMPORTRANGE(""https://docs.google.com/spreadsheets/d/1_2flpAtyRfEW4twQHSSimK3gmjvEhqdd9Rr5cU8leQo/edit?usp=sharing"", N1&amp;""!H2"")"),0.0)</f>
        <v>0</v>
      </c>
      <c r="O85" s="131">
        <f>IFERROR(__xludf.DUMMYFUNCTION("IMPORTRANGE(""https://docs.google.com/spreadsheets/d/1_2flpAtyRfEW4twQHSSimK3gmjvEhqdd9Rr5cU8leQo/edit?usp=sharing"", O1&amp;""!H2"")"),2541.08)</f>
        <v>2541.08</v>
      </c>
      <c r="P85" s="129">
        <f t="shared" si="34"/>
        <v>2541.08</v>
      </c>
      <c r="Q85" s="130"/>
      <c r="R85" s="61">
        <f t="shared" si="35"/>
        <v>211.7566667</v>
      </c>
      <c r="S85" s="61">
        <f t="shared" si="36"/>
        <v>2541.08</v>
      </c>
    </row>
    <row r="86">
      <c r="A86" s="94" t="s">
        <v>92</v>
      </c>
      <c r="B86" s="122" t="s">
        <v>26</v>
      </c>
      <c r="C86" s="111"/>
      <c r="D86" s="131">
        <f t="shared" ref="D86:P86" si="37">D84-D85</f>
        <v>0</v>
      </c>
      <c r="E86" s="131">
        <f t="shared" si="37"/>
        <v>0</v>
      </c>
      <c r="F86" s="131">
        <f t="shared" si="37"/>
        <v>0</v>
      </c>
      <c r="G86" s="131">
        <f t="shared" si="37"/>
        <v>0</v>
      </c>
      <c r="H86" s="131">
        <f t="shared" si="37"/>
        <v>0</v>
      </c>
      <c r="I86" s="131">
        <f t="shared" si="37"/>
        <v>0</v>
      </c>
      <c r="J86" s="131">
        <f t="shared" si="37"/>
        <v>0</v>
      </c>
      <c r="K86" s="131">
        <f t="shared" si="37"/>
        <v>0</v>
      </c>
      <c r="L86" s="131">
        <f t="shared" si="37"/>
        <v>0</v>
      </c>
      <c r="M86" s="131">
        <f t="shared" si="37"/>
        <v>0</v>
      </c>
      <c r="N86" s="131">
        <f t="shared" si="37"/>
        <v>0</v>
      </c>
      <c r="O86" s="131">
        <f t="shared" si="37"/>
        <v>2681.88</v>
      </c>
      <c r="P86" s="129">
        <f t="shared" si="37"/>
        <v>2681.88</v>
      </c>
      <c r="Q86" s="130"/>
      <c r="R86" s="61">
        <f t="shared" si="35"/>
        <v>223.49</v>
      </c>
      <c r="S86" s="61">
        <f t="shared" si="36"/>
        <v>2681.88</v>
      </c>
    </row>
    <row r="87">
      <c r="A87" s="94" t="s">
        <v>93</v>
      </c>
      <c r="B87" s="122" t="s">
        <v>26</v>
      </c>
      <c r="C87" s="111"/>
      <c r="D87" s="132" t="str">
        <f t="shared" ref="D87:P87" si="38">D86/D84</f>
        <v>#DIV/0!</v>
      </c>
      <c r="E87" s="132" t="str">
        <f t="shared" si="38"/>
        <v>#DIV/0!</v>
      </c>
      <c r="F87" s="132" t="str">
        <f t="shared" si="38"/>
        <v>#DIV/0!</v>
      </c>
      <c r="G87" s="132" t="str">
        <f t="shared" si="38"/>
        <v>#DIV/0!</v>
      </c>
      <c r="H87" s="132" t="str">
        <f t="shared" si="38"/>
        <v>#DIV/0!</v>
      </c>
      <c r="I87" s="132" t="str">
        <f t="shared" si="38"/>
        <v>#DIV/0!</v>
      </c>
      <c r="J87" s="132" t="str">
        <f t="shared" si="38"/>
        <v>#DIV/0!</v>
      </c>
      <c r="K87" s="132" t="str">
        <f t="shared" si="38"/>
        <v>#DIV/0!</v>
      </c>
      <c r="L87" s="132" t="str">
        <f t="shared" si="38"/>
        <v>#DIV/0!</v>
      </c>
      <c r="M87" s="132" t="str">
        <f t="shared" si="38"/>
        <v>#DIV/0!</v>
      </c>
      <c r="N87" s="132" t="str">
        <f t="shared" si="38"/>
        <v>#DIV/0!</v>
      </c>
      <c r="O87" s="132">
        <f t="shared" si="38"/>
        <v>0.5134789468</v>
      </c>
      <c r="P87" s="133">
        <f t="shared" si="38"/>
        <v>0.5134789468</v>
      </c>
      <c r="Q87" s="134"/>
      <c r="R87" s="61"/>
      <c r="S87" s="61"/>
    </row>
    <row r="88">
      <c r="A88" s="54"/>
      <c r="B88" s="95"/>
      <c r="C88" s="111"/>
      <c r="D88" s="135"/>
      <c r="E88" s="103"/>
      <c r="F88" s="135"/>
      <c r="G88" s="135"/>
      <c r="H88" s="103"/>
      <c r="I88" s="103"/>
      <c r="J88" s="103"/>
      <c r="K88" s="103"/>
      <c r="L88" s="103"/>
      <c r="M88" s="103"/>
      <c r="N88" s="103"/>
      <c r="O88" s="103"/>
      <c r="P88" s="102"/>
      <c r="Q88" s="102"/>
      <c r="R88" s="102"/>
      <c r="S88" s="102"/>
    </row>
    <row r="89">
      <c r="A89" s="8" t="s">
        <v>94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36" t="s">
        <v>95</v>
      </c>
      <c r="B90" s="137"/>
      <c r="C90" s="138"/>
      <c r="D90" s="139">
        <v>2024.0</v>
      </c>
      <c r="E90" s="138"/>
      <c r="H90" s="135"/>
      <c r="I90" s="135"/>
      <c r="J90" s="135"/>
      <c r="K90" s="135"/>
      <c r="L90" s="135"/>
      <c r="M90" s="135"/>
      <c r="N90" s="135"/>
      <c r="O90" s="135"/>
      <c r="P90" s="102"/>
      <c r="Q90" s="102"/>
      <c r="R90" s="102"/>
      <c r="S90" s="102"/>
    </row>
    <row r="91">
      <c r="B91" s="137"/>
      <c r="C91" s="138"/>
      <c r="D91" s="140"/>
      <c r="E91" s="138"/>
      <c r="H91" s="135"/>
      <c r="I91" s="135"/>
      <c r="J91" s="135"/>
      <c r="K91" s="135"/>
      <c r="L91" s="135"/>
      <c r="M91" s="135"/>
      <c r="N91" s="135"/>
      <c r="O91" s="135"/>
      <c r="P91" s="102"/>
      <c r="Q91" s="102"/>
      <c r="R91" s="102"/>
      <c r="S91" s="102"/>
    </row>
    <row r="92">
      <c r="B92" s="137"/>
      <c r="C92" s="138"/>
      <c r="D92" s="140"/>
      <c r="E92" s="138"/>
      <c r="H92" s="135"/>
      <c r="I92" s="135"/>
      <c r="J92" s="135"/>
      <c r="K92" s="135"/>
      <c r="L92" s="135"/>
      <c r="M92" s="135"/>
      <c r="N92" s="135"/>
      <c r="O92" s="135"/>
      <c r="P92" s="102"/>
      <c r="Q92" s="102"/>
      <c r="R92" s="102"/>
      <c r="S92" s="102"/>
    </row>
    <row r="93">
      <c r="A93" s="136" t="s">
        <v>96</v>
      </c>
      <c r="B93" s="137"/>
      <c r="C93" s="138"/>
      <c r="D93" s="141">
        <v>1.0</v>
      </c>
      <c r="E93" s="141">
        <v>2.0</v>
      </c>
      <c r="F93" s="142">
        <v>3.0</v>
      </c>
      <c r="G93" s="142">
        <v>3.0</v>
      </c>
      <c r="H93" s="115">
        <v>5.0</v>
      </c>
      <c r="I93" s="115">
        <v>6.0</v>
      </c>
      <c r="J93" s="115">
        <v>7.0</v>
      </c>
      <c r="K93" s="115">
        <v>8.0</v>
      </c>
      <c r="L93" s="115">
        <v>9.0</v>
      </c>
      <c r="M93" s="115">
        <v>10.0</v>
      </c>
      <c r="N93" s="115">
        <v>11.0</v>
      </c>
      <c r="O93" s="115">
        <v>12.0</v>
      </c>
      <c r="P93" s="102"/>
      <c r="Q93" s="102"/>
      <c r="R93" s="102"/>
      <c r="S93" s="102"/>
    </row>
    <row r="94">
      <c r="B94" s="137"/>
      <c r="C94" s="138"/>
      <c r="D94" s="140"/>
      <c r="E94" s="138"/>
      <c r="H94" s="135"/>
      <c r="I94" s="135"/>
      <c r="J94" s="135"/>
      <c r="K94" s="135"/>
      <c r="L94" s="135"/>
      <c r="M94" s="135"/>
      <c r="N94" s="135"/>
      <c r="O94" s="135"/>
      <c r="P94" s="102"/>
      <c r="Q94" s="102"/>
      <c r="R94" s="102"/>
      <c r="S94" s="102"/>
    </row>
    <row r="95">
      <c r="B95" s="137"/>
      <c r="C95" s="138"/>
      <c r="D95" s="140"/>
      <c r="E95" s="138"/>
      <c r="H95" s="135"/>
      <c r="I95" s="135"/>
      <c r="J95" s="135"/>
      <c r="K95" s="135"/>
      <c r="L95" s="135"/>
      <c r="M95" s="135"/>
      <c r="N95" s="135"/>
      <c r="O95" s="135"/>
      <c r="P95" s="102"/>
      <c r="Q95" s="102"/>
      <c r="R95" s="102"/>
      <c r="S95" s="102"/>
    </row>
    <row r="96">
      <c r="B96" s="137"/>
      <c r="C96" s="138"/>
      <c r="D96" s="140"/>
      <c r="E96" s="138"/>
      <c r="H96" s="135"/>
      <c r="I96" s="135"/>
      <c r="J96" s="135"/>
      <c r="K96" s="135"/>
      <c r="L96" s="135"/>
      <c r="M96" s="135"/>
      <c r="N96" s="135"/>
      <c r="O96" s="135"/>
      <c r="P96" s="102"/>
      <c r="Q96" s="102"/>
      <c r="R96" s="102"/>
      <c r="S96" s="102"/>
    </row>
    <row r="97">
      <c r="B97" s="137"/>
      <c r="C97" s="138"/>
      <c r="D97" s="140"/>
      <c r="E97" s="138"/>
      <c r="H97" s="135"/>
      <c r="I97" s="135"/>
      <c r="J97" s="135"/>
      <c r="K97" s="135"/>
      <c r="L97" s="135"/>
      <c r="M97" s="135"/>
      <c r="N97" s="135"/>
      <c r="O97" s="135"/>
      <c r="P97" s="102"/>
      <c r="Q97" s="102"/>
      <c r="R97" s="102"/>
      <c r="S97" s="102"/>
    </row>
    <row r="98">
      <c r="B98" s="137"/>
      <c r="C98" s="138"/>
      <c r="D98" s="140"/>
      <c r="E98" s="138"/>
      <c r="H98" s="135"/>
      <c r="I98" s="135"/>
      <c r="J98" s="135"/>
      <c r="K98" s="135"/>
      <c r="L98" s="135"/>
      <c r="M98" s="135"/>
      <c r="N98" s="135"/>
      <c r="O98" s="135"/>
      <c r="P98" s="102"/>
      <c r="Q98" s="102"/>
      <c r="R98" s="102"/>
      <c r="S98" s="102"/>
    </row>
    <row r="99">
      <c r="B99" s="137"/>
      <c r="C99" s="138"/>
      <c r="D99" s="140"/>
      <c r="E99" s="138"/>
      <c r="H99" s="135"/>
      <c r="I99" s="135"/>
      <c r="J99" s="135"/>
      <c r="K99" s="135"/>
      <c r="L99" s="135"/>
      <c r="M99" s="135"/>
      <c r="N99" s="135"/>
      <c r="O99" s="135"/>
      <c r="P99" s="102"/>
      <c r="Q99" s="102"/>
      <c r="R99" s="102"/>
      <c r="S99" s="102"/>
    </row>
    <row r="100">
      <c r="B100" s="137"/>
      <c r="C100" s="138"/>
      <c r="D100" s="140"/>
      <c r="E100" s="138"/>
      <c r="H100" s="135"/>
      <c r="I100" s="143"/>
      <c r="J100" s="135"/>
      <c r="K100" s="135"/>
      <c r="L100" s="135"/>
      <c r="M100" s="135"/>
      <c r="N100" s="135"/>
      <c r="O100" s="135"/>
      <c r="P100" s="102"/>
      <c r="Q100" s="102"/>
      <c r="R100" s="102"/>
      <c r="S100" s="102"/>
    </row>
    <row r="101">
      <c r="B101" s="137"/>
      <c r="C101" s="138"/>
      <c r="D101" s="140"/>
      <c r="E101" s="138"/>
      <c r="H101" s="135"/>
      <c r="I101" s="144"/>
      <c r="J101" s="135"/>
      <c r="K101" s="135"/>
      <c r="L101" s="135"/>
      <c r="M101" s="135"/>
      <c r="N101" s="135"/>
      <c r="O101" s="135"/>
      <c r="P101" s="102"/>
      <c r="Q101" s="102"/>
      <c r="R101" s="102"/>
      <c r="S101" s="102"/>
    </row>
    <row r="102">
      <c r="B102" s="137"/>
      <c r="C102" s="138"/>
      <c r="D102" s="140"/>
      <c r="E102" s="138"/>
      <c r="H102" s="135"/>
      <c r="I102" s="135"/>
      <c r="J102" s="135"/>
      <c r="K102" s="135"/>
      <c r="L102" s="135"/>
      <c r="M102" s="135"/>
      <c r="N102" s="135"/>
      <c r="O102" s="135"/>
      <c r="P102" s="102"/>
      <c r="Q102" s="102"/>
      <c r="R102" s="102"/>
      <c r="S102" s="102"/>
    </row>
    <row r="103">
      <c r="B103" s="137"/>
      <c r="C103" s="138"/>
      <c r="D103" s="140"/>
      <c r="E103" s="138"/>
      <c r="H103" s="135"/>
      <c r="I103" s="135"/>
      <c r="J103" s="135"/>
      <c r="K103" s="135"/>
      <c r="L103" s="135"/>
      <c r="M103" s="135"/>
      <c r="N103" s="135"/>
      <c r="O103" s="135"/>
      <c r="P103" s="102"/>
      <c r="Q103" s="102"/>
      <c r="R103" s="102"/>
      <c r="S103" s="102"/>
    </row>
    <row r="104">
      <c r="B104" s="137"/>
      <c r="C104" s="138"/>
      <c r="D104" s="140"/>
      <c r="E104" s="138"/>
      <c r="H104" s="135"/>
      <c r="I104" s="135"/>
      <c r="J104" s="135"/>
      <c r="K104" s="135"/>
      <c r="L104" s="135"/>
      <c r="M104" s="135"/>
      <c r="N104" s="135"/>
      <c r="O104" s="135"/>
      <c r="P104" s="102"/>
      <c r="Q104" s="102"/>
      <c r="R104" s="102"/>
      <c r="S104" s="102"/>
    </row>
    <row r="105">
      <c r="B105" s="137"/>
      <c r="C105" s="138"/>
      <c r="D105" s="140"/>
      <c r="E105" s="138"/>
      <c r="H105" s="135"/>
      <c r="I105" s="135"/>
      <c r="J105" s="135"/>
      <c r="K105" s="135"/>
      <c r="L105" s="135"/>
      <c r="M105" s="135"/>
      <c r="N105" s="135"/>
      <c r="O105" s="135"/>
      <c r="P105" s="102"/>
      <c r="Q105" s="102"/>
      <c r="R105" s="102"/>
      <c r="S105" s="102"/>
    </row>
    <row r="106">
      <c r="B106" s="137"/>
      <c r="C106" s="138"/>
      <c r="D106" s="138"/>
      <c r="E106" s="138"/>
      <c r="H106" s="135"/>
      <c r="I106" s="135"/>
      <c r="J106" s="135"/>
      <c r="K106" s="135"/>
      <c r="L106" s="135"/>
      <c r="M106" s="135"/>
      <c r="N106" s="135"/>
      <c r="O106" s="135"/>
      <c r="P106" s="102"/>
      <c r="Q106" s="102"/>
      <c r="R106" s="102"/>
      <c r="S106" s="102"/>
    </row>
  </sheetData>
  <conditionalFormatting sqref="B1:B106">
    <cfRule type="cellIs" dxfId="0" priority="1" operator="equal">
      <formula>"E"</formula>
    </cfRule>
  </conditionalFormatting>
  <conditionalFormatting sqref="B1:B106">
    <cfRule type="cellIs" dxfId="1" priority="2" operator="equal">
      <formula>"F"</formula>
    </cfRule>
  </conditionalFormatting>
  <conditionalFormatting sqref="B1:B106">
    <cfRule type="cellIs" dxfId="2" priority="3" operator="equal">
      <formula>"D"</formula>
    </cfRule>
  </conditionalFormatting>
  <conditionalFormatting sqref="D51:O52 D54:O61">
    <cfRule type="expression" dxfId="3" priority="4">
      <formula>C51="-"</formula>
    </cfRule>
  </conditionalFormatting>
  <conditionalFormatting sqref="D51:O52 D54:O61">
    <cfRule type="cellIs" dxfId="4" priority="5" operator="lessThan">
      <formula>C51</formula>
    </cfRule>
  </conditionalFormatting>
  <conditionalFormatting sqref="D51:O52 D54:O61">
    <cfRule type="cellIs" dxfId="5" priority="6" operator="greaterThan">
      <formula>C51</formula>
    </cfRule>
  </conditionalFormatting>
  <conditionalFormatting sqref="Q51:R52 Q54:R56 Q58:Q60 Q63:R68 Q70">
    <cfRule type="cellIs" dxfId="0" priority="7" operator="greaterThan">
      <formula>0</formula>
    </cfRule>
  </conditionalFormatting>
  <conditionalFormatting sqref="Q51:R52 Q54:R56 Q58:Q60 Q63:R68 Q70">
    <cfRule type="cellIs" dxfId="2" priority="8" operator="lessThanOrEqual">
      <formula>0</formula>
    </cfRule>
  </conditionalFormatting>
  <conditionalFormatting sqref="D38:O38 D41:O41 D44:O44 F47:O47">
    <cfRule type="cellIs" dxfId="0" priority="9" operator="greaterThan">
      <formula>0</formula>
    </cfRule>
  </conditionalFormatting>
  <conditionalFormatting sqref="D38:O38 D41:O41 D44:O44 F47:O47">
    <cfRule type="cellIs" dxfId="4" priority="10" operator="lessThanOrEqual">
      <formula>0</formula>
    </cfRule>
  </conditionalFormatting>
  <hyperlinks>
    <hyperlink r:id="rId1" ref="Q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21.38"/>
    <col customWidth="1" min="2" max="2" width="4.63"/>
    <col customWidth="1" min="3" max="16" width="8.25"/>
    <col customWidth="1" min="17" max="17" width="8.0"/>
    <col customWidth="1" min="18" max="18" width="6.75"/>
    <col customWidth="1" min="19" max="19" width="7.5"/>
  </cols>
  <sheetData>
    <row r="1" ht="17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</row>
    <row r="2">
      <c r="A2" s="8" t="s">
        <v>19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1"/>
    </row>
    <row r="3">
      <c r="A3" s="12" t="s">
        <v>20</v>
      </c>
      <c r="B3" s="13"/>
      <c r="C3" s="14"/>
      <c r="D3" s="15"/>
      <c r="E3" s="15"/>
      <c r="F3" s="15"/>
      <c r="G3" s="15"/>
      <c r="H3" s="15"/>
      <c r="I3" s="16"/>
      <c r="J3" s="16"/>
      <c r="K3" s="16"/>
      <c r="L3" s="16"/>
      <c r="M3" s="16"/>
      <c r="N3" s="16"/>
      <c r="O3" s="16"/>
      <c r="P3" s="14"/>
      <c r="Q3" s="14"/>
      <c r="R3" s="17"/>
      <c r="S3" s="17"/>
    </row>
    <row r="4">
      <c r="A4" s="18" t="s">
        <v>21</v>
      </c>
      <c r="B4" s="19" t="s">
        <v>22</v>
      </c>
      <c r="C4" s="20">
        <f>'2023'!P4</f>
        <v>1558.7</v>
      </c>
      <c r="D4" s="21">
        <f>D51*10</f>
        <v>1211.2</v>
      </c>
      <c r="E4" s="21">
        <v>0.0</v>
      </c>
      <c r="F4" s="21">
        <v>0.0</v>
      </c>
      <c r="G4" s="21">
        <v>0.0</v>
      </c>
      <c r="H4" s="21">
        <v>0.0</v>
      </c>
      <c r="I4" s="21">
        <v>0.0</v>
      </c>
      <c r="J4" s="21">
        <v>0.0</v>
      </c>
      <c r="K4" s="21">
        <v>0.0</v>
      </c>
      <c r="L4" s="21">
        <v>0.0</v>
      </c>
      <c r="M4" s="21">
        <v>0.0</v>
      </c>
      <c r="N4" s="21">
        <v>0.0</v>
      </c>
      <c r="O4" s="21">
        <f>O51*28</f>
        <v>3869.88</v>
      </c>
      <c r="P4" s="22">
        <f t="shared" ref="P4:P5" si="1">index(D4:O4,1,counta(D4:O4))</f>
        <v>3869.88</v>
      </c>
      <c r="Q4" s="14"/>
      <c r="R4" s="17"/>
      <c r="S4" s="17"/>
    </row>
    <row r="5">
      <c r="A5" s="18" t="s">
        <v>23</v>
      </c>
      <c r="B5" s="19" t="s">
        <v>22</v>
      </c>
      <c r="C5" s="20">
        <f>'2023'!P5</f>
        <v>64.08</v>
      </c>
      <c r="D5" s="21">
        <f>D52*8</f>
        <v>65.28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1">
        <v>0.0</v>
      </c>
      <c r="O5" s="21">
        <f>O52*8</f>
        <v>53.36</v>
      </c>
      <c r="P5" s="22">
        <f t="shared" si="1"/>
        <v>53.36</v>
      </c>
      <c r="Q5" s="22"/>
      <c r="R5" s="17"/>
      <c r="S5" s="17"/>
    </row>
    <row r="6">
      <c r="A6" s="23" t="s">
        <v>24</v>
      </c>
      <c r="B6" s="24"/>
      <c r="C6" s="20" t="str">
        <f>'2023'!P6</f>
        <v/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2"/>
      <c r="Q6" s="26"/>
      <c r="R6" s="17"/>
      <c r="S6" s="17"/>
    </row>
    <row r="7">
      <c r="A7" s="27" t="s">
        <v>25</v>
      </c>
      <c r="B7" s="28" t="s">
        <v>26</v>
      </c>
      <c r="C7" s="20">
        <f>'2023'!P7</f>
        <v>1332</v>
      </c>
      <c r="D7" s="25">
        <f>C7+222</f>
        <v>1554</v>
      </c>
      <c r="E7" s="25">
        <f>D7+407</f>
        <v>1961</v>
      </c>
      <c r="F7" s="25">
        <f t="shared" ref="F7:K7" si="2">E7+242</f>
        <v>2203</v>
      </c>
      <c r="G7" s="25">
        <f t="shared" si="2"/>
        <v>2445</v>
      </c>
      <c r="H7" s="25">
        <f t="shared" si="2"/>
        <v>2687</v>
      </c>
      <c r="I7" s="25">
        <f t="shared" si="2"/>
        <v>2929</v>
      </c>
      <c r="J7" s="25">
        <f t="shared" si="2"/>
        <v>3171</v>
      </c>
      <c r="K7" s="25">
        <f t="shared" si="2"/>
        <v>3413</v>
      </c>
      <c r="L7" s="25">
        <f t="shared" ref="L7:N7" si="3">K7+256</f>
        <v>3669</v>
      </c>
      <c r="M7" s="25">
        <f t="shared" si="3"/>
        <v>3925</v>
      </c>
      <c r="N7" s="25">
        <f t="shared" si="3"/>
        <v>4181</v>
      </c>
      <c r="O7" s="25">
        <f>N7+256+266</f>
        <v>4703</v>
      </c>
      <c r="P7" s="22">
        <f t="array" ref="P7">index(D7:O7,1,counta(D7:O7))</f>
        <v>4703</v>
      </c>
      <c r="Q7" s="26"/>
      <c r="R7" s="17"/>
      <c r="S7" s="17"/>
    </row>
    <row r="8">
      <c r="A8" s="23" t="s">
        <v>27</v>
      </c>
      <c r="B8" s="24"/>
      <c r="C8" s="20" t="str">
        <f>'2023'!P8</f>
        <v/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2"/>
      <c r="Q8" s="14"/>
      <c r="R8" s="17"/>
      <c r="S8" s="17"/>
    </row>
    <row r="9">
      <c r="A9" s="27" t="s">
        <v>28</v>
      </c>
      <c r="B9" s="28" t="s">
        <v>26</v>
      </c>
      <c r="C9" s="20">
        <f>'2023'!P9</f>
        <v>0</v>
      </c>
      <c r="D9" s="25">
        <v>0.0</v>
      </c>
      <c r="E9" s="29">
        <v>0.0</v>
      </c>
      <c r="F9" s="25">
        <v>1500.0</v>
      </c>
      <c r="G9" s="25">
        <v>1500.0</v>
      </c>
      <c r="H9" s="25">
        <v>1500.0</v>
      </c>
      <c r="I9" s="25">
        <v>1500.0</v>
      </c>
      <c r="J9" s="25">
        <v>1500.0</v>
      </c>
      <c r="K9" s="25">
        <v>1500.0</v>
      </c>
      <c r="L9" s="25">
        <v>1500.0</v>
      </c>
      <c r="M9" s="25">
        <v>1500.0</v>
      </c>
      <c r="N9" s="25">
        <v>1500.0</v>
      </c>
      <c r="O9" s="25">
        <v>1500.0</v>
      </c>
      <c r="P9" s="22">
        <f t="array" ref="P9">index(D9:O9,1,counta(D9:O9))</f>
        <v>1500</v>
      </c>
      <c r="Q9" s="14"/>
      <c r="R9" s="17"/>
      <c r="S9" s="17"/>
    </row>
    <row r="10">
      <c r="A10" s="23" t="s">
        <v>29</v>
      </c>
      <c r="B10" s="24"/>
      <c r="C10" s="20" t="str">
        <f>'2023'!P10</f>
        <v/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24"/>
      <c r="Q10" s="24"/>
      <c r="R10" s="24"/>
      <c r="S10" s="24"/>
    </row>
    <row r="11">
      <c r="A11" s="27" t="s">
        <v>30</v>
      </c>
      <c r="B11" s="19" t="s">
        <v>26</v>
      </c>
      <c r="C11" s="20">
        <f>'2023'!P11</f>
        <v>0</v>
      </c>
      <c r="D11" s="31">
        <f>D59*293.58</f>
        <v>0</v>
      </c>
      <c r="E11" s="31">
        <v>0.0</v>
      </c>
      <c r="F11" s="31">
        <v>0.0</v>
      </c>
      <c r="G11" s="31">
        <v>0.0</v>
      </c>
      <c r="H11" s="31">
        <v>0.0</v>
      </c>
      <c r="I11" s="31">
        <v>0.0</v>
      </c>
      <c r="J11" s="31">
        <v>0.0</v>
      </c>
      <c r="K11" s="31">
        <v>0.0</v>
      </c>
      <c r="L11" s="31">
        <v>0.0</v>
      </c>
      <c r="M11" s="31">
        <v>0.0</v>
      </c>
      <c r="N11" s="31">
        <v>0.0</v>
      </c>
      <c r="O11" s="31">
        <v>0.0</v>
      </c>
      <c r="P11" s="32">
        <v>0.0</v>
      </c>
      <c r="Q11" s="24"/>
      <c r="R11" s="24"/>
      <c r="S11" s="24"/>
    </row>
    <row r="12">
      <c r="A12" s="27" t="s">
        <v>31</v>
      </c>
      <c r="B12" s="19" t="s">
        <v>26</v>
      </c>
      <c r="C12" s="20">
        <f>'2023'!P12</f>
        <v>453.8194901</v>
      </c>
      <c r="D12" s="31">
        <f>0.00464*D60</f>
        <v>207.897773</v>
      </c>
      <c r="E12" s="31">
        <v>0.0</v>
      </c>
      <c r="F12" s="31">
        <v>0.0</v>
      </c>
      <c r="G12" s="31">
        <v>0.0</v>
      </c>
      <c r="H12" s="31">
        <v>0.0</v>
      </c>
      <c r="I12" s="31">
        <v>0.0</v>
      </c>
      <c r="J12" s="31">
        <v>0.0</v>
      </c>
      <c r="K12" s="31">
        <v>0.0</v>
      </c>
      <c r="L12" s="31">
        <v>0.0</v>
      </c>
      <c r="M12" s="31">
        <v>0.0</v>
      </c>
      <c r="N12" s="31">
        <v>0.0</v>
      </c>
      <c r="O12" s="31">
        <v>0.0</v>
      </c>
      <c r="P12" s="32">
        <v>0.0</v>
      </c>
      <c r="Q12" s="33"/>
      <c r="R12" s="24"/>
      <c r="S12" s="24"/>
    </row>
    <row r="13">
      <c r="A13" s="23" t="s">
        <v>32</v>
      </c>
      <c r="B13" s="24"/>
      <c r="C13" s="20" t="str">
        <f>'2023'!P13</f>
        <v/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2"/>
      <c r="Q13" s="14"/>
      <c r="R13" s="17"/>
      <c r="S13" s="34"/>
    </row>
    <row r="14" ht="1.5" customHeight="1">
      <c r="A14" s="27" t="s">
        <v>33</v>
      </c>
      <c r="B14" s="35" t="s">
        <v>26</v>
      </c>
      <c r="C14" s="20">
        <f>'2023'!P14</f>
        <v>3999.44</v>
      </c>
      <c r="D14" s="25">
        <f>3519.25+480.19</f>
        <v>3999.44</v>
      </c>
      <c r="E14" s="25">
        <v>0.0</v>
      </c>
      <c r="F14" s="25">
        <v>0.0</v>
      </c>
      <c r="G14" s="25">
        <v>0.0</v>
      </c>
      <c r="H14" s="25">
        <v>0.0</v>
      </c>
      <c r="I14" s="25">
        <v>0.0</v>
      </c>
      <c r="J14" s="25">
        <v>0.0</v>
      </c>
      <c r="K14" s="25">
        <v>0.0</v>
      </c>
      <c r="L14" s="25">
        <v>0.0</v>
      </c>
      <c r="M14" s="25">
        <v>0.0</v>
      </c>
      <c r="N14" s="25">
        <v>0.0</v>
      </c>
      <c r="O14" s="25">
        <f>2888.25+389</f>
        <v>3277.25</v>
      </c>
      <c r="P14" s="22">
        <f t="shared" ref="P14:P17" si="4">index(D14:O14,1,counta(D14:O14))</f>
        <v>3277.25</v>
      </c>
      <c r="Q14" s="14"/>
      <c r="R14" s="36"/>
      <c r="S14" s="36"/>
    </row>
    <row r="15">
      <c r="A15" s="27" t="s">
        <v>34</v>
      </c>
      <c r="B15" s="35" t="s">
        <v>26</v>
      </c>
      <c r="C15" s="20">
        <f>'2023'!P15</f>
        <v>130.43</v>
      </c>
      <c r="D15" s="37">
        <v>130.43</v>
      </c>
      <c r="E15" s="25">
        <v>0.0</v>
      </c>
      <c r="F15" s="37">
        <v>0.0</v>
      </c>
      <c r="G15" s="37">
        <v>0.0</v>
      </c>
      <c r="H15" s="37">
        <v>0.0</v>
      </c>
      <c r="I15" s="37">
        <v>0.0</v>
      </c>
      <c r="J15" s="37">
        <v>0.0</v>
      </c>
      <c r="K15" s="37">
        <v>0.0</v>
      </c>
      <c r="L15" s="37">
        <v>0.0</v>
      </c>
      <c r="M15" s="37">
        <v>0.0</v>
      </c>
      <c r="N15" s="37">
        <v>0.0</v>
      </c>
      <c r="O15" s="37">
        <v>0.0</v>
      </c>
      <c r="P15" s="22">
        <f t="shared" si="4"/>
        <v>0</v>
      </c>
      <c r="Q15" s="14"/>
      <c r="R15" s="38"/>
      <c r="S15" s="34"/>
    </row>
    <row r="16">
      <c r="A16" s="39" t="s">
        <v>35</v>
      </c>
      <c r="B16" s="35" t="s">
        <v>26</v>
      </c>
      <c r="C16" s="20">
        <f>'2023'!P16</f>
        <v>4</v>
      </c>
      <c r="D16" s="25">
        <v>4.0</v>
      </c>
      <c r="E16" s="25">
        <v>0.0</v>
      </c>
      <c r="F16" s="25">
        <v>0.0</v>
      </c>
      <c r="G16" s="25">
        <v>0.0</v>
      </c>
      <c r="H16" s="25">
        <v>0.0</v>
      </c>
      <c r="I16" s="25">
        <v>0.0</v>
      </c>
      <c r="J16" s="25">
        <v>0.0</v>
      </c>
      <c r="K16" s="25">
        <v>0.0</v>
      </c>
      <c r="L16" s="25">
        <v>0.0</v>
      </c>
      <c r="M16" s="25">
        <v>0.0</v>
      </c>
      <c r="N16" s="25">
        <v>0.0</v>
      </c>
      <c r="O16" s="25">
        <v>0.0</v>
      </c>
      <c r="P16" s="40">
        <f t="shared" si="4"/>
        <v>0</v>
      </c>
      <c r="Q16" s="40"/>
      <c r="R16" s="41"/>
      <c r="S16" s="41"/>
    </row>
    <row r="17">
      <c r="A17" s="27" t="s">
        <v>36</v>
      </c>
      <c r="B17" s="35" t="s">
        <v>26</v>
      </c>
      <c r="C17" s="20">
        <f>'2023'!P17</f>
        <v>0</v>
      </c>
      <c r="D17" s="25">
        <v>0.0</v>
      </c>
      <c r="E17" s="25">
        <v>0.0</v>
      </c>
      <c r="F17" s="25">
        <v>0.0</v>
      </c>
      <c r="G17" s="25">
        <v>0.0</v>
      </c>
      <c r="H17" s="25">
        <v>0.0</v>
      </c>
      <c r="I17" s="25">
        <v>0.0</v>
      </c>
      <c r="J17" s="25">
        <v>0.0</v>
      </c>
      <c r="K17" s="25">
        <v>0.0</v>
      </c>
      <c r="L17" s="25">
        <v>0.0</v>
      </c>
      <c r="M17" s="25">
        <v>0.0</v>
      </c>
      <c r="N17" s="25">
        <v>0.0</v>
      </c>
      <c r="O17" s="25">
        <v>118.91</v>
      </c>
      <c r="P17" s="22">
        <f t="shared" si="4"/>
        <v>118.91</v>
      </c>
      <c r="Q17" s="26"/>
      <c r="R17" s="42"/>
      <c r="S17" s="42"/>
    </row>
    <row r="18">
      <c r="A18" s="27" t="s">
        <v>37</v>
      </c>
      <c r="B18" s="43" t="s">
        <v>26</v>
      </c>
      <c r="C18" s="20">
        <f>'2023'!P18</f>
        <v>100</v>
      </c>
      <c r="D18" s="25">
        <v>100.0</v>
      </c>
      <c r="E18" s="25">
        <v>0.0</v>
      </c>
      <c r="F18" s="25">
        <v>0.0</v>
      </c>
      <c r="G18" s="25">
        <v>0.0</v>
      </c>
      <c r="H18" s="25">
        <v>0.0</v>
      </c>
      <c r="I18" s="25">
        <v>0.0</v>
      </c>
      <c r="J18" s="25">
        <v>0.0</v>
      </c>
      <c r="K18" s="25">
        <v>0.0</v>
      </c>
      <c r="L18" s="25">
        <v>0.0</v>
      </c>
      <c r="M18" s="25">
        <v>0.0</v>
      </c>
      <c r="N18" s="25">
        <v>0.0</v>
      </c>
      <c r="O18" s="25">
        <v>0.0</v>
      </c>
      <c r="P18" s="32">
        <v>0.0</v>
      </c>
      <c r="Q18" s="26"/>
      <c r="R18" s="42"/>
      <c r="S18" s="42"/>
    </row>
    <row r="19">
      <c r="A19" s="27" t="s">
        <v>38</v>
      </c>
      <c r="B19" s="28" t="s">
        <v>26</v>
      </c>
      <c r="C19" s="20">
        <f>'2023'!P19</f>
        <v>204.34</v>
      </c>
      <c r="D19" s="25">
        <v>204.34</v>
      </c>
      <c r="E19" s="25">
        <v>0.0</v>
      </c>
      <c r="F19" s="25">
        <v>0.0</v>
      </c>
      <c r="G19" s="25">
        <v>0.0</v>
      </c>
      <c r="H19" s="25">
        <v>0.0</v>
      </c>
      <c r="I19" s="25">
        <v>0.0</v>
      </c>
      <c r="J19" s="25">
        <v>0.0</v>
      </c>
      <c r="K19" s="25">
        <v>0.0</v>
      </c>
      <c r="L19" s="25">
        <v>0.0</v>
      </c>
      <c r="M19" s="25">
        <v>0.0</v>
      </c>
      <c r="N19" s="25">
        <v>0.0</v>
      </c>
      <c r="O19" s="25">
        <v>0.0</v>
      </c>
      <c r="P19" s="44">
        <f t="array" ref="P19">index(D19:O19,1,counta(D19:O19))</f>
        <v>0</v>
      </c>
      <c r="Q19" s="24"/>
      <c r="R19" s="45"/>
      <c r="S19" s="45"/>
    </row>
    <row r="20">
      <c r="A20" s="27" t="s">
        <v>39</v>
      </c>
      <c r="B20" s="28" t="s">
        <v>26</v>
      </c>
      <c r="C20" s="20">
        <f>'2023'!P20</f>
        <v>0</v>
      </c>
      <c r="D20" s="25">
        <v>0.0</v>
      </c>
      <c r="E20" s="25">
        <v>0.0</v>
      </c>
      <c r="F20" s="25">
        <v>0.0</v>
      </c>
      <c r="G20" s="25">
        <v>0.0</v>
      </c>
      <c r="H20" s="25">
        <v>0.0</v>
      </c>
      <c r="I20" s="25">
        <v>0.0</v>
      </c>
      <c r="J20" s="25">
        <v>0.0</v>
      </c>
      <c r="K20" s="25">
        <v>0.0</v>
      </c>
      <c r="L20" s="25">
        <v>0.0</v>
      </c>
      <c r="M20" s="25">
        <v>0.0</v>
      </c>
      <c r="N20" s="25">
        <v>0.0</v>
      </c>
      <c r="O20" s="25">
        <v>0.0</v>
      </c>
      <c r="P20" s="20">
        <v>0.0</v>
      </c>
      <c r="Q20" s="24"/>
      <c r="R20" s="45"/>
      <c r="S20" s="45"/>
    </row>
    <row r="21">
      <c r="A21" s="27" t="s">
        <v>40</v>
      </c>
      <c r="B21" s="28" t="s">
        <v>26</v>
      </c>
      <c r="C21" s="20">
        <f>'2023'!P21</f>
        <v>441</v>
      </c>
      <c r="D21" s="25">
        <f>49*8+7*7</f>
        <v>441</v>
      </c>
      <c r="E21" s="25">
        <v>0.0</v>
      </c>
      <c r="F21" s="25">
        <v>0.0</v>
      </c>
      <c r="G21" s="25">
        <v>0.0</v>
      </c>
      <c r="H21" s="25">
        <v>0.0</v>
      </c>
      <c r="I21" s="25">
        <v>0.0</v>
      </c>
      <c r="J21" s="25">
        <v>0.0</v>
      </c>
      <c r="K21" s="25">
        <v>0.0</v>
      </c>
      <c r="L21" s="25">
        <v>0.0</v>
      </c>
      <c r="M21" s="25">
        <v>0.0</v>
      </c>
      <c r="N21" s="25">
        <v>0.0</v>
      </c>
      <c r="O21" s="25">
        <f>33*8</f>
        <v>264</v>
      </c>
      <c r="P21" s="20">
        <v>0.0</v>
      </c>
      <c r="Q21" s="24"/>
      <c r="R21" s="45"/>
      <c r="S21" s="45"/>
    </row>
    <row r="22">
      <c r="A22" s="27" t="s">
        <v>41</v>
      </c>
      <c r="B22" s="28" t="s">
        <v>42</v>
      </c>
      <c r="C22" s="20">
        <f>'2023'!P22</f>
        <v>0</v>
      </c>
      <c r="D22" s="25">
        <v>0.0</v>
      </c>
      <c r="E22" s="25">
        <v>0.0</v>
      </c>
      <c r="F22" s="25">
        <v>0.0</v>
      </c>
      <c r="G22" s="25">
        <v>0.0</v>
      </c>
      <c r="H22" s="25">
        <v>0.0</v>
      </c>
      <c r="I22" s="25">
        <v>0.0</v>
      </c>
      <c r="J22" s="25">
        <v>0.0</v>
      </c>
      <c r="K22" s="25">
        <v>0.0</v>
      </c>
      <c r="L22" s="25">
        <v>0.0</v>
      </c>
      <c r="M22" s="25">
        <v>0.0</v>
      </c>
      <c r="N22" s="25">
        <v>0.0</v>
      </c>
      <c r="O22" s="25">
        <v>0.0</v>
      </c>
      <c r="P22" s="44">
        <f t="shared" ref="P22:P28" si="5">index(D22:O22,1,counta(D22:O22))</f>
        <v>0</v>
      </c>
      <c r="Q22" s="24"/>
      <c r="R22" s="45"/>
      <c r="S22" s="45"/>
    </row>
    <row r="23">
      <c r="A23" s="27" t="s">
        <v>43</v>
      </c>
      <c r="B23" s="28" t="s">
        <v>26</v>
      </c>
      <c r="C23" s="20">
        <f>'2023'!P23</f>
        <v>320</v>
      </c>
      <c r="D23" s="25">
        <v>320.0</v>
      </c>
      <c r="E23" s="25">
        <v>0.0</v>
      </c>
      <c r="F23" s="25">
        <v>0.0</v>
      </c>
      <c r="G23" s="25">
        <v>0.0</v>
      </c>
      <c r="H23" s="25">
        <v>0.0</v>
      </c>
      <c r="I23" s="25">
        <v>0.0</v>
      </c>
      <c r="J23" s="25">
        <v>0.0</v>
      </c>
      <c r="K23" s="25">
        <v>0.0</v>
      </c>
      <c r="L23" s="25">
        <v>0.0</v>
      </c>
      <c r="M23" s="25">
        <v>0.0</v>
      </c>
      <c r="N23" s="25">
        <v>0.0</v>
      </c>
      <c r="O23" s="25">
        <v>700.0</v>
      </c>
      <c r="P23" s="22">
        <f t="shared" si="5"/>
        <v>700</v>
      </c>
      <c r="Q23" s="26"/>
      <c r="R23" s="46"/>
      <c r="S23" s="46"/>
    </row>
    <row r="24">
      <c r="A24" s="27" t="s">
        <v>44</v>
      </c>
      <c r="B24" s="28" t="s">
        <v>42</v>
      </c>
      <c r="C24" s="20">
        <f>'2023'!P24</f>
        <v>0</v>
      </c>
      <c r="D24" s="25">
        <v>0.0</v>
      </c>
      <c r="E24" s="25">
        <v>0.0</v>
      </c>
      <c r="F24" s="25">
        <v>0.0</v>
      </c>
      <c r="G24" s="25">
        <v>0.0</v>
      </c>
      <c r="H24" s="25">
        <v>0.0</v>
      </c>
      <c r="I24" s="25">
        <v>0.0</v>
      </c>
      <c r="J24" s="25">
        <v>0.0</v>
      </c>
      <c r="K24" s="25">
        <v>0.0</v>
      </c>
      <c r="L24" s="25">
        <v>0.0</v>
      </c>
      <c r="M24" s="25">
        <v>0.0</v>
      </c>
      <c r="N24" s="25">
        <v>0.0</v>
      </c>
      <c r="O24" s="25">
        <v>0.0</v>
      </c>
      <c r="P24" s="22">
        <f t="shared" si="5"/>
        <v>0</v>
      </c>
      <c r="Q24" s="14"/>
      <c r="R24" s="36"/>
      <c r="S24" s="36"/>
    </row>
    <row r="25">
      <c r="A25" s="47" t="s">
        <v>45</v>
      </c>
      <c r="B25" s="48" t="s">
        <v>22</v>
      </c>
      <c r="C25" s="20">
        <f>'2023'!P25</f>
        <v>0</v>
      </c>
      <c r="D25" s="25">
        <v>0.0</v>
      </c>
      <c r="E25" s="25">
        <v>0.0</v>
      </c>
      <c r="F25" s="25">
        <v>0.0</v>
      </c>
      <c r="G25" s="25">
        <v>0.0</v>
      </c>
      <c r="H25" s="25">
        <v>0.0</v>
      </c>
      <c r="I25" s="25">
        <v>0.0</v>
      </c>
      <c r="J25" s="25">
        <v>0.0</v>
      </c>
      <c r="K25" s="25">
        <v>0.0</v>
      </c>
      <c r="L25" s="25">
        <v>0.0</v>
      </c>
      <c r="M25" s="25">
        <v>0.0</v>
      </c>
      <c r="N25" s="25">
        <v>0.0</v>
      </c>
      <c r="O25" s="25">
        <v>0.0</v>
      </c>
      <c r="P25" s="22">
        <f t="shared" si="5"/>
        <v>0</v>
      </c>
      <c r="Q25" s="14"/>
      <c r="R25" s="36"/>
      <c r="S25" s="36"/>
    </row>
    <row r="26">
      <c r="A26" s="47" t="s">
        <v>46</v>
      </c>
      <c r="B26" s="48" t="s">
        <v>47</v>
      </c>
      <c r="C26" s="20">
        <v>0.0</v>
      </c>
      <c r="D26" s="25">
        <v>0.0</v>
      </c>
      <c r="E26" s="25">
        <v>0.0</v>
      </c>
      <c r="F26" s="25">
        <v>0.0</v>
      </c>
      <c r="G26" s="25">
        <v>0.0</v>
      </c>
      <c r="H26" s="25">
        <v>0.0</v>
      </c>
      <c r="I26" s="25">
        <v>0.0</v>
      </c>
      <c r="J26" s="25">
        <v>0.0</v>
      </c>
      <c r="K26" s="25">
        <v>0.0</v>
      </c>
      <c r="L26" s="25">
        <v>0.0</v>
      </c>
      <c r="M26" s="25">
        <v>0.0</v>
      </c>
      <c r="N26" s="25">
        <v>0.0</v>
      </c>
      <c r="O26" s="25">
        <v>0.0</v>
      </c>
      <c r="P26" s="22">
        <f t="shared" si="5"/>
        <v>0</v>
      </c>
      <c r="Q26" s="14"/>
      <c r="R26" s="36"/>
      <c r="S26" s="36"/>
    </row>
    <row r="27">
      <c r="A27" s="47" t="s">
        <v>48</v>
      </c>
      <c r="B27" s="48" t="s">
        <v>26</v>
      </c>
      <c r="C27" s="20">
        <f>'2023'!P27</f>
        <v>0</v>
      </c>
      <c r="D27" s="25">
        <v>0.0</v>
      </c>
      <c r="E27" s="25">
        <v>0.0</v>
      </c>
      <c r="F27" s="25">
        <v>0.0</v>
      </c>
      <c r="G27" s="25">
        <v>0.0</v>
      </c>
      <c r="H27" s="25">
        <v>0.0</v>
      </c>
      <c r="I27" s="25">
        <v>0.0</v>
      </c>
      <c r="J27" s="25">
        <v>0.0</v>
      </c>
      <c r="K27" s="25">
        <v>0.0</v>
      </c>
      <c r="L27" s="25">
        <v>0.0</v>
      </c>
      <c r="M27" s="25">
        <v>0.0</v>
      </c>
      <c r="N27" s="25">
        <v>0.0</v>
      </c>
      <c r="O27" s="25">
        <v>0.0</v>
      </c>
      <c r="P27" s="22">
        <f t="shared" si="5"/>
        <v>0</v>
      </c>
      <c r="Q27" s="14"/>
      <c r="R27" s="36"/>
      <c r="S27" s="36"/>
    </row>
    <row r="28">
      <c r="A28" s="47" t="s">
        <v>49</v>
      </c>
      <c r="B28" s="48" t="s">
        <v>26</v>
      </c>
      <c r="C28" s="20">
        <f>'2023'!P28</f>
        <v>0</v>
      </c>
      <c r="D28" s="25">
        <v>0.0</v>
      </c>
      <c r="E28" s="25">
        <v>0.0</v>
      </c>
      <c r="F28" s="25">
        <v>0.0</v>
      </c>
      <c r="G28" s="25">
        <v>0.0</v>
      </c>
      <c r="H28" s="25">
        <v>0.0</v>
      </c>
      <c r="I28" s="25">
        <v>0.0</v>
      </c>
      <c r="J28" s="25">
        <v>0.0</v>
      </c>
      <c r="K28" s="25">
        <v>0.0</v>
      </c>
      <c r="L28" s="25">
        <v>0.0</v>
      </c>
      <c r="M28" s="25">
        <v>0.0</v>
      </c>
      <c r="N28" s="25">
        <v>0.0</v>
      </c>
      <c r="O28" s="25">
        <v>0.0</v>
      </c>
      <c r="P28" s="22">
        <f t="shared" si="5"/>
        <v>0</v>
      </c>
      <c r="Q28" s="14"/>
      <c r="R28" s="36"/>
      <c r="S28" s="36"/>
    </row>
    <row r="29" ht="12.75" customHeight="1">
      <c r="A29" s="23" t="s">
        <v>50</v>
      </c>
      <c r="B29" s="24"/>
      <c r="C29" s="20" t="str">
        <f>'2023'!P29</f>
        <v/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2"/>
      <c r="Q29" s="26"/>
      <c r="R29" s="17"/>
      <c r="S29" s="17"/>
    </row>
    <row r="30">
      <c r="A30" s="27" t="s">
        <v>51</v>
      </c>
      <c r="B30" s="19" t="s">
        <v>47</v>
      </c>
      <c r="C30" s="20">
        <f>'2023'!P30</f>
        <v>-387.62</v>
      </c>
      <c r="D30" s="25">
        <v>0.0</v>
      </c>
      <c r="E30" s="25">
        <v>0.0</v>
      </c>
      <c r="F30" s="25">
        <v>0.0</v>
      </c>
      <c r="G30" s="25">
        <v>0.0</v>
      </c>
      <c r="H30" s="25">
        <v>0.0</v>
      </c>
      <c r="I30" s="25">
        <v>0.0</v>
      </c>
      <c r="J30" s="25">
        <v>0.0</v>
      </c>
      <c r="K30" s="25">
        <v>0.0</v>
      </c>
      <c r="L30" s="25">
        <v>0.0</v>
      </c>
      <c r="M30" s="25">
        <v>0.0</v>
      </c>
      <c r="N30" s="25">
        <v>0.0</v>
      </c>
      <c r="O30" s="25">
        <v>0.0</v>
      </c>
      <c r="P30" s="22">
        <f t="array" ref="P30">index(D30:O30,1,counta(D30:O30))</f>
        <v>0</v>
      </c>
      <c r="Q30" s="14"/>
      <c r="R30" s="17"/>
      <c r="S30" s="17"/>
    </row>
    <row r="31">
      <c r="A31" s="23" t="s">
        <v>52</v>
      </c>
      <c r="B31" s="24"/>
      <c r="C31" s="20" t="str">
        <f>'2023'!P31</f>
        <v/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2"/>
      <c r="Q31" s="14"/>
      <c r="R31" s="49"/>
      <c r="S31" s="49"/>
    </row>
    <row r="32">
      <c r="A32" s="27" t="s">
        <v>53</v>
      </c>
      <c r="B32" s="43" t="s">
        <v>26</v>
      </c>
      <c r="C32" s="20">
        <f>'2023'!P32</f>
        <v>-328.73</v>
      </c>
      <c r="D32" s="21">
        <f>-264-64.73</f>
        <v>-328.73</v>
      </c>
      <c r="E32" s="21">
        <v>0.0</v>
      </c>
      <c r="F32" s="21">
        <v>0.0</v>
      </c>
      <c r="G32" s="21">
        <v>0.0</v>
      </c>
      <c r="H32" s="21">
        <v>0.0</v>
      </c>
      <c r="I32" s="21">
        <v>0.0</v>
      </c>
      <c r="J32" s="21">
        <v>0.0</v>
      </c>
      <c r="K32" s="21">
        <v>0.0</v>
      </c>
      <c r="L32" s="21">
        <v>0.0</v>
      </c>
      <c r="M32" s="21">
        <v>0.0</v>
      </c>
      <c r="N32" s="21">
        <v>0.0</v>
      </c>
      <c r="O32" s="21">
        <f>-340-683</f>
        <v>-1023</v>
      </c>
      <c r="P32" s="22">
        <f t="shared" ref="P32:P33" si="6">index(D32:O32,1,counta(D32:O32))</f>
        <v>-1023</v>
      </c>
      <c r="Q32" s="26"/>
      <c r="R32" s="42"/>
      <c r="S32" s="42"/>
    </row>
    <row r="33">
      <c r="A33" s="27" t="s">
        <v>54</v>
      </c>
      <c r="B33" s="43" t="s">
        <v>26</v>
      </c>
      <c r="C33" s="20">
        <f>'2023'!P33</f>
        <v>0</v>
      </c>
      <c r="D33" s="21">
        <v>0.0</v>
      </c>
      <c r="E33" s="21">
        <v>0.0</v>
      </c>
      <c r="F33" s="21">
        <v>0.0</v>
      </c>
      <c r="G33" s="21">
        <v>0.0</v>
      </c>
      <c r="H33" s="21">
        <v>0.0</v>
      </c>
      <c r="I33" s="21">
        <v>0.0</v>
      </c>
      <c r="J33" s="21">
        <v>0.0</v>
      </c>
      <c r="K33" s="21">
        <v>0.0</v>
      </c>
      <c r="L33" s="21">
        <v>0.0</v>
      </c>
      <c r="M33" s="21">
        <v>0.0</v>
      </c>
      <c r="N33" s="21">
        <v>0.0</v>
      </c>
      <c r="O33" s="21">
        <v>0.0</v>
      </c>
      <c r="P33" s="22">
        <f t="shared" si="6"/>
        <v>0</v>
      </c>
      <c r="Q33" s="26"/>
      <c r="R33" s="42"/>
      <c r="S33" s="42"/>
    </row>
    <row r="34">
      <c r="A34" s="50" t="s">
        <v>55</v>
      </c>
      <c r="B34" s="24"/>
      <c r="C34" s="20" t="str">
        <f>'2023'!P34</f>
        <v/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>
      <c r="A35" s="51" t="s">
        <v>56</v>
      </c>
      <c r="B35" s="52" t="s">
        <v>26</v>
      </c>
      <c r="C35" s="20">
        <f>'2023'!P35</f>
        <v>0</v>
      </c>
      <c r="D35" s="53">
        <v>0.0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44">
        <f t="array" ref="P35">index(D35:O35,1,counta(D35:O35))</f>
        <v>0</v>
      </c>
      <c r="Q35" s="24"/>
      <c r="R35" s="24"/>
      <c r="S35" s="24"/>
    </row>
    <row r="36">
      <c r="A36" s="54"/>
      <c r="B36" s="13"/>
      <c r="C36" s="26"/>
      <c r="D36" s="55"/>
      <c r="E36" s="55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14" t="str">
        <f>H36</f>
        <v/>
      </c>
      <c r="Q36" s="14"/>
      <c r="R36" s="17"/>
      <c r="S36" s="17"/>
    </row>
    <row r="37">
      <c r="A37" s="56" t="s">
        <v>57</v>
      </c>
      <c r="B37" s="13" t="s">
        <v>26</v>
      </c>
      <c r="C37" s="57">
        <f t="shared" ref="C37:E37" si="7">SUMIF($B3:$B36, "=M",C3:C36)/C54 + SUMIF($B3:$B36, "=E",C3:C36) + SUMIF($B3:$B36, "=D",C3:C36)/C55</f>
        <v>8138.628789</v>
      </c>
      <c r="D37" s="57">
        <f t="shared" si="7"/>
        <v>7816.062786</v>
      </c>
      <c r="E37" s="57">
        <f t="shared" si="7"/>
        <v>1961</v>
      </c>
      <c r="F37" s="58">
        <v>0.0</v>
      </c>
      <c r="G37" s="58">
        <v>0.0</v>
      </c>
      <c r="H37" s="58">
        <v>0.0</v>
      </c>
      <c r="I37" s="58">
        <v>0.0</v>
      </c>
      <c r="J37" s="58">
        <v>0.0</v>
      </c>
      <c r="K37" s="58">
        <v>0.0</v>
      </c>
      <c r="L37" s="58">
        <v>0.0</v>
      </c>
      <c r="M37" s="58">
        <v>0.0</v>
      </c>
      <c r="N37" s="58">
        <v>0.0</v>
      </c>
      <c r="O37" s="57">
        <f>SUMIF($B3:$B36, "=M",O3:O36)/O54 + SUMIF($B3:$B36, "=E",O3:O36) + SUMIF($B3:$B36, "=D",O3:O36)/O55</f>
        <v>13344.13349</v>
      </c>
      <c r="P37" s="59">
        <f t="array" ref="P37">index(D37:O37,1,counta(D37:O37))</f>
        <v>13344.13349</v>
      </c>
      <c r="Q37" s="60"/>
      <c r="R37" s="61"/>
      <c r="S37" s="61">
        <f>C37+S38</f>
        <v>13344.13349</v>
      </c>
    </row>
    <row r="38">
      <c r="A38" s="39" t="s">
        <v>58</v>
      </c>
      <c r="B38" s="13"/>
      <c r="C38" s="32" t="s">
        <v>59</v>
      </c>
      <c r="D38" s="62">
        <f t="shared" ref="D38:O38" si="8">(D37-C37)</f>
        <v>-322.5660026</v>
      </c>
      <c r="E38" s="62">
        <f t="shared" si="8"/>
        <v>-5855.062786</v>
      </c>
      <c r="F38" s="62">
        <f t="shared" si="8"/>
        <v>-1961</v>
      </c>
      <c r="G38" s="62">
        <f t="shared" si="8"/>
        <v>0</v>
      </c>
      <c r="H38" s="62">
        <f t="shared" si="8"/>
        <v>0</v>
      </c>
      <c r="I38" s="62">
        <f t="shared" si="8"/>
        <v>0</v>
      </c>
      <c r="J38" s="62">
        <f t="shared" si="8"/>
        <v>0</v>
      </c>
      <c r="K38" s="62">
        <f t="shared" si="8"/>
        <v>0</v>
      </c>
      <c r="L38" s="62">
        <f t="shared" si="8"/>
        <v>0</v>
      </c>
      <c r="M38" s="62">
        <f t="shared" si="8"/>
        <v>0</v>
      </c>
      <c r="N38" s="62">
        <f t="shared" si="8"/>
        <v>0</v>
      </c>
      <c r="O38" s="62">
        <f t="shared" si="8"/>
        <v>13344.13349</v>
      </c>
      <c r="P38" s="63">
        <f>P37-C37</f>
        <v>5205.504698</v>
      </c>
      <c r="Q38" s="60"/>
      <c r="R38" s="61">
        <f>P38/count(D38:O38)</f>
        <v>433.7920581</v>
      </c>
      <c r="S38" s="61">
        <f t="shared" ref="S38:S39" si="10">R38*12</f>
        <v>5205.504698</v>
      </c>
    </row>
    <row r="39">
      <c r="A39" s="51" t="s">
        <v>60</v>
      </c>
      <c r="B39" s="64"/>
      <c r="C39" s="26" t="s">
        <v>59</v>
      </c>
      <c r="D39" s="65">
        <f t="shared" ref="D39:O39" si="9">D38/C37</f>
        <v>-0.03963394953</v>
      </c>
      <c r="E39" s="65">
        <f t="shared" si="9"/>
        <v>-0.7491064167</v>
      </c>
      <c r="F39" s="65">
        <f t="shared" si="9"/>
        <v>-1</v>
      </c>
      <c r="G39" s="65" t="str">
        <f t="shared" si="9"/>
        <v>#DIV/0!</v>
      </c>
      <c r="H39" s="65" t="str">
        <f t="shared" si="9"/>
        <v>#DIV/0!</v>
      </c>
      <c r="I39" s="65" t="str">
        <f t="shared" si="9"/>
        <v>#DIV/0!</v>
      </c>
      <c r="J39" s="65" t="str">
        <f t="shared" si="9"/>
        <v>#DIV/0!</v>
      </c>
      <c r="K39" s="65" t="str">
        <f t="shared" si="9"/>
        <v>#DIV/0!</v>
      </c>
      <c r="L39" s="65" t="str">
        <f t="shared" si="9"/>
        <v>#DIV/0!</v>
      </c>
      <c r="M39" s="65" t="str">
        <f t="shared" si="9"/>
        <v>#DIV/0!</v>
      </c>
      <c r="N39" s="65" t="str">
        <f t="shared" si="9"/>
        <v>#DIV/0!</v>
      </c>
      <c r="O39" s="65" t="str">
        <f t="shared" si="9"/>
        <v>#DIV/0!</v>
      </c>
      <c r="P39" s="66">
        <f>P38/C37</f>
        <v>0.6396046352</v>
      </c>
      <c r="Q39" s="67"/>
      <c r="R39" s="68">
        <f>pow(1+P39, 1/count(D39:O39))-1</f>
        <v>0.1791789355</v>
      </c>
      <c r="S39" s="68">
        <f t="shared" si="10"/>
        <v>2.150147226</v>
      </c>
    </row>
    <row r="40">
      <c r="A40" s="56" t="s">
        <v>61</v>
      </c>
      <c r="B40" s="13" t="s">
        <v>42</v>
      </c>
      <c r="C40" s="57">
        <f>SUMIF($B3:$B36, "=m",C3:C36) + SUMIF($B3:$B36, "=E",C3:C36)*C54 + SUMIF($B3:$B36, "=D",C3:C36)*C56</f>
        <v>88099.74511</v>
      </c>
      <c r="D40" s="57">
        <f t="shared" ref="D40:O40" si="11">SUMIF($B3:$B36, "=M",D3:D36) + SUMIF($B3:$B36, "=E",D3:D36)*D54 + SUMIF($B3:$B36, "=D",D3:D36)*D56</f>
        <v>84436.54573</v>
      </c>
      <c r="E40" s="57">
        <f t="shared" si="11"/>
        <v>20493.8227</v>
      </c>
      <c r="F40" s="57">
        <f t="shared" si="11"/>
        <v>38698.9421</v>
      </c>
      <c r="G40" s="57">
        <f t="shared" si="11"/>
        <v>0</v>
      </c>
      <c r="H40" s="57">
        <f t="shared" si="11"/>
        <v>0</v>
      </c>
      <c r="I40" s="57">
        <f t="shared" si="11"/>
        <v>0</v>
      </c>
      <c r="J40" s="57">
        <f t="shared" si="11"/>
        <v>0</v>
      </c>
      <c r="K40" s="57">
        <f t="shared" si="11"/>
        <v>0</v>
      </c>
      <c r="L40" s="57">
        <f t="shared" si="11"/>
        <v>0</v>
      </c>
      <c r="M40" s="57">
        <f t="shared" si="11"/>
        <v>0</v>
      </c>
      <c r="N40" s="57">
        <f t="shared" si="11"/>
        <v>0</v>
      </c>
      <c r="O40" s="57">
        <f t="shared" si="11"/>
        <v>138552.7987</v>
      </c>
      <c r="P40" s="59">
        <f t="array" ref="P40">index(D40:O40,1,counta(D40:O40))</f>
        <v>138552.7987</v>
      </c>
      <c r="Q40" s="69"/>
      <c r="R40" s="61"/>
      <c r="S40" s="61">
        <f>C40+S41</f>
        <v>138552.7987</v>
      </c>
    </row>
    <row r="41">
      <c r="A41" s="39" t="s">
        <v>58</v>
      </c>
      <c r="B41" s="13"/>
      <c r="C41" s="32" t="s">
        <v>59</v>
      </c>
      <c r="D41" s="62">
        <f t="shared" ref="D41:O41" si="12">(D40-C40)</f>
        <v>-3663.199386</v>
      </c>
      <c r="E41" s="62">
        <f t="shared" si="12"/>
        <v>-63942.72303</v>
      </c>
      <c r="F41" s="62">
        <f t="shared" si="12"/>
        <v>18205.1194</v>
      </c>
      <c r="G41" s="62">
        <f t="shared" si="12"/>
        <v>-38698.9421</v>
      </c>
      <c r="H41" s="62">
        <f t="shared" si="12"/>
        <v>0</v>
      </c>
      <c r="I41" s="62">
        <f t="shared" si="12"/>
        <v>0</v>
      </c>
      <c r="J41" s="62">
        <f t="shared" si="12"/>
        <v>0</v>
      </c>
      <c r="K41" s="62">
        <f t="shared" si="12"/>
        <v>0</v>
      </c>
      <c r="L41" s="62">
        <f t="shared" si="12"/>
        <v>0</v>
      </c>
      <c r="M41" s="62">
        <f t="shared" si="12"/>
        <v>0</v>
      </c>
      <c r="N41" s="62">
        <f t="shared" si="12"/>
        <v>0</v>
      </c>
      <c r="O41" s="62">
        <f t="shared" si="12"/>
        <v>138552.7987</v>
      </c>
      <c r="P41" s="63">
        <f>P40-C40</f>
        <v>50453.0536</v>
      </c>
      <c r="Q41" s="60"/>
      <c r="R41" s="61">
        <f>P41/count(D41:O41)</f>
        <v>4204.421133</v>
      </c>
      <c r="S41" s="61">
        <f t="shared" ref="S41:S42" si="14">R41*12</f>
        <v>50453.0536</v>
      </c>
    </row>
    <row r="42">
      <c r="A42" s="51" t="s">
        <v>60</v>
      </c>
      <c r="B42" s="64"/>
      <c r="C42" s="26" t="s">
        <v>59</v>
      </c>
      <c r="D42" s="65">
        <f t="shared" ref="D42:O42" si="13">D41/C40</f>
        <v>-0.04158013603</v>
      </c>
      <c r="E42" s="65">
        <f t="shared" si="13"/>
        <v>-0.7572872916</v>
      </c>
      <c r="F42" s="65">
        <f t="shared" si="13"/>
        <v>0.8883222845</v>
      </c>
      <c r="G42" s="65">
        <f t="shared" si="13"/>
        <v>-1</v>
      </c>
      <c r="H42" s="65" t="str">
        <f t="shared" si="13"/>
        <v>#DIV/0!</v>
      </c>
      <c r="I42" s="65" t="str">
        <f t="shared" si="13"/>
        <v>#DIV/0!</v>
      </c>
      <c r="J42" s="65" t="str">
        <f t="shared" si="13"/>
        <v>#DIV/0!</v>
      </c>
      <c r="K42" s="65" t="str">
        <f t="shared" si="13"/>
        <v>#DIV/0!</v>
      </c>
      <c r="L42" s="65" t="str">
        <f t="shared" si="13"/>
        <v>#DIV/0!</v>
      </c>
      <c r="M42" s="65" t="str">
        <f t="shared" si="13"/>
        <v>#DIV/0!</v>
      </c>
      <c r="N42" s="65" t="str">
        <f t="shared" si="13"/>
        <v>#DIV/0!</v>
      </c>
      <c r="O42" s="65" t="str">
        <f t="shared" si="13"/>
        <v>#DIV/0!</v>
      </c>
      <c r="P42" s="66">
        <f>P41/C40</f>
        <v>0.5726810393</v>
      </c>
      <c r="Q42" s="67"/>
      <c r="R42" s="68">
        <f>pow(1+P42, 1/count(D42:O42))-1</f>
        <v>0.1198507952</v>
      </c>
      <c r="S42" s="68">
        <f t="shared" si="14"/>
        <v>1.438209542</v>
      </c>
    </row>
    <row r="43">
      <c r="A43" s="56" t="s">
        <v>62</v>
      </c>
      <c r="B43" s="13" t="s">
        <v>22</v>
      </c>
      <c r="C43" s="57">
        <f>SUMIF($B3:$B36, "=F",C3:C36)/C56 + SUMIF($B3:$B36, "=E",C3:C36)*C55 + SUMIF($B3:$B36, "=D",C3:C36)</f>
        <v>8909.763867</v>
      </c>
      <c r="D43" s="57">
        <f t="shared" ref="D43:E43" si="15">SUMIF($B3:$B36, "=M",D3:D36)/D56 + SUMIF($B3:$B36, "=E",D3:D36)*D55 + SUMIF($B3:$B36, "=D",D3:D36)</f>
        <v>8428.803028</v>
      </c>
      <c r="E43" s="57">
        <f t="shared" si="15"/>
        <v>2273.49139</v>
      </c>
      <c r="F43" s="58">
        <v>0.0</v>
      </c>
      <c r="G43" s="58">
        <v>0.0</v>
      </c>
      <c r="H43" s="58">
        <v>0.0</v>
      </c>
      <c r="I43" s="58">
        <v>0.0</v>
      </c>
      <c r="J43" s="58">
        <v>0.0</v>
      </c>
      <c r="K43" s="58">
        <v>0.0</v>
      </c>
      <c r="L43" s="58">
        <v>0.0</v>
      </c>
      <c r="M43" s="58">
        <v>0.0</v>
      </c>
      <c r="N43" s="58">
        <v>0.0</v>
      </c>
      <c r="O43" s="57">
        <f>SUMIF($B3:$B36, "=M",O3:O36)/O56 + SUMIF($B3:$B36, "=E",O3:O36)*O55 + SUMIF($B3:$B36, "=D",O3:O36)</f>
        <v>13762.51397</v>
      </c>
      <c r="P43" s="59">
        <f t="array" ref="P43">index(D43:O43,1,counta(D43:O43))</f>
        <v>13762.51397</v>
      </c>
      <c r="Q43" s="69"/>
      <c r="R43" s="61"/>
      <c r="S43" s="61">
        <f>C43+S44</f>
        <v>13762.51397</v>
      </c>
    </row>
    <row r="44">
      <c r="A44" s="39" t="s">
        <v>58</v>
      </c>
      <c r="B44" s="13"/>
      <c r="C44" s="32" t="s">
        <v>59</v>
      </c>
      <c r="D44" s="62">
        <f t="shared" ref="D44:O44" si="16">(D43-C43)</f>
        <v>-480.9608382</v>
      </c>
      <c r="E44" s="62">
        <f t="shared" si="16"/>
        <v>-6155.311639</v>
      </c>
      <c r="F44" s="62">
        <f t="shared" si="16"/>
        <v>-2273.49139</v>
      </c>
      <c r="G44" s="62">
        <f t="shared" si="16"/>
        <v>0</v>
      </c>
      <c r="H44" s="62">
        <f t="shared" si="16"/>
        <v>0</v>
      </c>
      <c r="I44" s="62">
        <f t="shared" si="16"/>
        <v>0</v>
      </c>
      <c r="J44" s="62">
        <f t="shared" si="16"/>
        <v>0</v>
      </c>
      <c r="K44" s="62">
        <f t="shared" si="16"/>
        <v>0</v>
      </c>
      <c r="L44" s="62">
        <f t="shared" si="16"/>
        <v>0</v>
      </c>
      <c r="M44" s="62">
        <f t="shared" si="16"/>
        <v>0</v>
      </c>
      <c r="N44" s="62">
        <f t="shared" si="16"/>
        <v>0</v>
      </c>
      <c r="O44" s="62">
        <f t="shared" si="16"/>
        <v>13762.51397</v>
      </c>
      <c r="P44" s="63">
        <f>P43-C43</f>
        <v>4852.750105</v>
      </c>
      <c r="Q44" s="60"/>
      <c r="R44" s="61">
        <f>P44/count(D44:O44)</f>
        <v>404.3958421</v>
      </c>
      <c r="S44" s="61">
        <f t="shared" ref="S44:S45" si="18">R44*12</f>
        <v>4852.750105</v>
      </c>
    </row>
    <row r="45">
      <c r="A45" s="51" t="s">
        <v>60</v>
      </c>
      <c r="B45" s="64"/>
      <c r="C45" s="26" t="s">
        <v>59</v>
      </c>
      <c r="D45" s="65">
        <f t="shared" ref="D45:O45" si="17">D44/C43</f>
        <v>-0.05398132268</v>
      </c>
      <c r="E45" s="65">
        <f t="shared" si="17"/>
        <v>-0.730271145</v>
      </c>
      <c r="F45" s="65">
        <f t="shared" si="17"/>
        <v>-1</v>
      </c>
      <c r="G45" s="65" t="str">
        <f t="shared" si="17"/>
        <v>#DIV/0!</v>
      </c>
      <c r="H45" s="65" t="str">
        <f t="shared" si="17"/>
        <v>#DIV/0!</v>
      </c>
      <c r="I45" s="65" t="str">
        <f t="shared" si="17"/>
        <v>#DIV/0!</v>
      </c>
      <c r="J45" s="65" t="str">
        <f t="shared" si="17"/>
        <v>#DIV/0!</v>
      </c>
      <c r="K45" s="65" t="str">
        <f t="shared" si="17"/>
        <v>#DIV/0!</v>
      </c>
      <c r="L45" s="65" t="str">
        <f t="shared" si="17"/>
        <v>#DIV/0!</v>
      </c>
      <c r="M45" s="65" t="str">
        <f t="shared" si="17"/>
        <v>#DIV/0!</v>
      </c>
      <c r="N45" s="65" t="str">
        <f t="shared" si="17"/>
        <v>#DIV/0!</v>
      </c>
      <c r="O45" s="65" t="str">
        <f t="shared" si="17"/>
        <v>#DIV/0!</v>
      </c>
      <c r="P45" s="66">
        <f>P44/C43</f>
        <v>0.5446552993</v>
      </c>
      <c r="Q45" s="67"/>
      <c r="R45" s="68">
        <f>pow(1+P45, 1/count(D45:O45))-1</f>
        <v>0.1559628034</v>
      </c>
      <c r="S45" s="68">
        <f t="shared" si="18"/>
        <v>1.871553641</v>
      </c>
    </row>
    <row r="46">
      <c r="A46" s="50" t="s">
        <v>63</v>
      </c>
      <c r="B46" s="70" t="s">
        <v>64</v>
      </c>
      <c r="C46" s="71">
        <f t="shared" ref="C46:E46" si="19">C43/C58</f>
        <v>0.19859982</v>
      </c>
      <c r="D46" s="71">
        <f t="shared" si="19"/>
        <v>0.1744338998</v>
      </c>
      <c r="E46" s="71">
        <f t="shared" si="19"/>
        <v>0.01999587847</v>
      </c>
      <c r="F46" s="72">
        <v>0.0</v>
      </c>
      <c r="G46" s="72">
        <v>0.0</v>
      </c>
      <c r="H46" s="72">
        <v>0.0</v>
      </c>
      <c r="I46" s="72">
        <v>0.0</v>
      </c>
      <c r="J46" s="72">
        <v>0.0</v>
      </c>
      <c r="K46" s="72">
        <v>0.0</v>
      </c>
      <c r="L46" s="72">
        <v>0.0</v>
      </c>
      <c r="M46" s="72">
        <v>0.0</v>
      </c>
      <c r="N46" s="72">
        <v>0.0</v>
      </c>
      <c r="O46" s="71">
        <f>O43/O58</f>
        <v>0.1403850251</v>
      </c>
      <c r="P46" s="71">
        <f t="array" ref="P46">index(D46:O46,1,counta(D46:O46))</f>
        <v>0.1403850251</v>
      </c>
      <c r="Q46" s="73"/>
      <c r="R46" s="74"/>
      <c r="S46" s="74">
        <f>C46+S47</f>
        <v>0.1403850251</v>
      </c>
    </row>
    <row r="47">
      <c r="A47" s="51" t="s">
        <v>58</v>
      </c>
      <c r="B47" s="24"/>
      <c r="C47" s="75" t="s">
        <v>59</v>
      </c>
      <c r="D47" s="76">
        <f t="shared" ref="D47:O47" si="20">(D46-C46)</f>
        <v>-0.02416592025</v>
      </c>
      <c r="E47" s="76">
        <f t="shared" si="20"/>
        <v>-0.1544380213</v>
      </c>
      <c r="F47" s="76">
        <f t="shared" si="20"/>
        <v>-0.01999587847</v>
      </c>
      <c r="G47" s="76">
        <f t="shared" si="20"/>
        <v>0</v>
      </c>
      <c r="H47" s="76">
        <f t="shared" si="20"/>
        <v>0</v>
      </c>
      <c r="I47" s="76">
        <f t="shared" si="20"/>
        <v>0</v>
      </c>
      <c r="J47" s="76">
        <f t="shared" si="20"/>
        <v>0</v>
      </c>
      <c r="K47" s="76">
        <f t="shared" si="20"/>
        <v>0</v>
      </c>
      <c r="L47" s="76">
        <f t="shared" si="20"/>
        <v>0</v>
      </c>
      <c r="M47" s="76">
        <f t="shared" si="20"/>
        <v>0</v>
      </c>
      <c r="N47" s="76">
        <f t="shared" si="20"/>
        <v>0</v>
      </c>
      <c r="O47" s="76">
        <f t="shared" si="20"/>
        <v>0.1403850251</v>
      </c>
      <c r="P47" s="77">
        <f>P46-C46</f>
        <v>-0.05821479496</v>
      </c>
      <c r="Q47" s="24"/>
      <c r="R47" s="74">
        <f>P47/count(D47:O47)</f>
        <v>-0.004851232914</v>
      </c>
      <c r="S47" s="74">
        <f t="shared" ref="S47:S48" si="22">R47*12</f>
        <v>-0.05821479496</v>
      </c>
    </row>
    <row r="48">
      <c r="A48" s="51" t="s">
        <v>60</v>
      </c>
      <c r="B48" s="24"/>
      <c r="C48" s="78" t="s">
        <v>59</v>
      </c>
      <c r="D48" s="79">
        <f t="shared" ref="D48:O48" si="21">D47/C46</f>
        <v>-0.1216814811</v>
      </c>
      <c r="E48" s="79">
        <f t="shared" si="21"/>
        <v>-0.8853670159</v>
      </c>
      <c r="F48" s="79">
        <f t="shared" si="21"/>
        <v>-1</v>
      </c>
      <c r="G48" s="79" t="str">
        <f t="shared" si="21"/>
        <v>#DIV/0!</v>
      </c>
      <c r="H48" s="79" t="str">
        <f t="shared" si="21"/>
        <v>#DIV/0!</v>
      </c>
      <c r="I48" s="79" t="str">
        <f t="shared" si="21"/>
        <v>#DIV/0!</v>
      </c>
      <c r="J48" s="79" t="str">
        <f t="shared" si="21"/>
        <v>#DIV/0!</v>
      </c>
      <c r="K48" s="79" t="str">
        <f t="shared" si="21"/>
        <v>#DIV/0!</v>
      </c>
      <c r="L48" s="79" t="str">
        <f t="shared" si="21"/>
        <v>#DIV/0!</v>
      </c>
      <c r="M48" s="79" t="str">
        <f t="shared" si="21"/>
        <v>#DIV/0!</v>
      </c>
      <c r="N48" s="79" t="str">
        <f t="shared" si="21"/>
        <v>#DIV/0!</v>
      </c>
      <c r="O48" s="79" t="str">
        <f t="shared" si="21"/>
        <v>#DIV/0!</v>
      </c>
      <c r="P48" s="80">
        <f>P47/C46</f>
        <v>-0.2931261214</v>
      </c>
      <c r="Q48" s="41"/>
      <c r="R48" s="68">
        <f>pow(1+P48, 1/count(D48:O48))-1</f>
        <v>-0.1091991056</v>
      </c>
      <c r="S48" s="68">
        <f t="shared" si="22"/>
        <v>-1.310389267</v>
      </c>
    </row>
    <row r="49">
      <c r="A49" s="54"/>
      <c r="B49" s="13"/>
      <c r="C49" s="26"/>
      <c r="D49" s="8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82"/>
      <c r="Q49" s="82"/>
      <c r="R49" s="17"/>
      <c r="S49" s="17"/>
    </row>
    <row r="50">
      <c r="A50" s="8" t="s">
        <v>65</v>
      </c>
      <c r="B50" s="9"/>
      <c r="C50" s="10"/>
      <c r="D50" s="10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10"/>
      <c r="Q50" s="8" t="s">
        <v>66</v>
      </c>
      <c r="R50" s="8" t="s">
        <v>67</v>
      </c>
      <c r="S50" s="10"/>
    </row>
    <row r="51">
      <c r="A51" s="27" t="s">
        <v>68</v>
      </c>
      <c r="B51" s="84" t="s">
        <v>22</v>
      </c>
      <c r="C51" s="85">
        <v>118.12</v>
      </c>
      <c r="D51" s="86">
        <v>121.12</v>
      </c>
      <c r="E51" s="86">
        <f>IFERROR(__xludf.DUMMYFUNCTION("GoogleFinance($A51)"),155.87)</f>
        <v>155.87</v>
      </c>
      <c r="F51" s="86">
        <f>IFERROR(__xludf.DUMMYFUNCTION("GoogleFinance($A51)"),155.87)</f>
        <v>155.87</v>
      </c>
      <c r="G51" s="86"/>
      <c r="H51" s="86"/>
      <c r="I51" s="86"/>
      <c r="J51" s="86"/>
      <c r="K51" s="86"/>
      <c r="L51" s="86"/>
      <c r="M51" s="86"/>
      <c r="N51" s="86"/>
      <c r="O51" s="86">
        <v>138.21</v>
      </c>
      <c r="P51" s="85" t="str">
        <f t="shared" ref="P51:P52" si="23">index(D51:O51,1,counta(D51:O51))</f>
        <v/>
      </c>
      <c r="Q51" s="87">
        <f t="shared" ref="Q51:Q52" si="24">(P51-C51)/C51</f>
        <v>-1</v>
      </c>
      <c r="R51" s="88">
        <f t="shared" ref="R51:R52" si="25">(index(C51:O51,1,counta(C51:O51)) - index(C51:O51,1,counta(C51:O51)-1))/index(C51:O51,1,counta(C51:O51)-1)</f>
        <v>-1</v>
      </c>
      <c r="S51" s="89"/>
    </row>
    <row r="52">
      <c r="A52" s="27" t="s">
        <v>69</v>
      </c>
      <c r="B52" s="84" t="s">
        <v>22</v>
      </c>
      <c r="C52" s="85">
        <v>9.0</v>
      </c>
      <c r="D52" s="86">
        <v>8.16</v>
      </c>
      <c r="E52" s="86">
        <f>IFERROR(__xludf.DUMMYFUNCTION("GoogleFinance($A52)"),8.01)</f>
        <v>8.01</v>
      </c>
      <c r="F52" s="86">
        <f>IFERROR(__xludf.DUMMYFUNCTION("GoogleFinance($A52)"),8.01)</f>
        <v>8.01</v>
      </c>
      <c r="G52" s="86"/>
      <c r="H52" s="86"/>
      <c r="I52" s="86"/>
      <c r="J52" s="86"/>
      <c r="K52" s="86"/>
      <c r="L52" s="86"/>
      <c r="M52" s="86"/>
      <c r="N52" s="86"/>
      <c r="O52" s="86">
        <v>6.67</v>
      </c>
      <c r="P52" s="85" t="str">
        <f t="shared" si="23"/>
        <v/>
      </c>
      <c r="Q52" s="87">
        <f t="shared" si="24"/>
        <v>-1</v>
      </c>
      <c r="R52" s="88">
        <f t="shared" si="25"/>
        <v>-1</v>
      </c>
      <c r="S52" s="89"/>
    </row>
    <row r="53">
      <c r="A53" s="90"/>
      <c r="B53" s="91"/>
      <c r="C53" s="92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>
      <c r="A54" s="94" t="s">
        <v>70</v>
      </c>
      <c r="B54" s="95"/>
      <c r="C54" s="96">
        <v>10.824888</v>
      </c>
      <c r="D54" s="86">
        <v>10.802951310000001</v>
      </c>
      <c r="E54" s="86">
        <f>IFERROR(__xludf.DUMMYFUNCTION("GoogleFinance($A54)"),10.450700000000001)</f>
        <v>10.4507</v>
      </c>
      <c r="F54" s="86">
        <f>IFERROR(__xludf.DUMMYFUNCTION("GoogleFinance($A54)"),10.450700000000001)</f>
        <v>10.4507</v>
      </c>
      <c r="G54" s="86"/>
      <c r="H54" s="86"/>
      <c r="I54" s="86"/>
      <c r="J54" s="86"/>
      <c r="K54" s="86"/>
      <c r="L54" s="86"/>
      <c r="M54" s="86"/>
      <c r="N54" s="86"/>
      <c r="O54" s="86">
        <v>10.386500000000002</v>
      </c>
      <c r="P54" s="97" t="str">
        <f t="shared" ref="P54:P56" si="26">index(D54:O54,1,counta(D54:O54))</f>
        <v/>
      </c>
      <c r="Q54" s="98">
        <f t="shared" ref="Q54:Q56" si="27">(P54-C54)/C54</f>
        <v>-1</v>
      </c>
      <c r="R54" s="99">
        <f t="shared" ref="R54:R56" si="28">(index(C54:O54,1,counta(C54:O54)) - index(C54:O54,1,counta(C54:O54)-1))/index(C54:O54,1,counta(C54:O54)-1)</f>
        <v>-1</v>
      </c>
      <c r="S54" s="46"/>
    </row>
    <row r="55">
      <c r="A55" s="94" t="s">
        <v>71</v>
      </c>
      <c r="B55" s="95"/>
      <c r="C55" s="96">
        <v>1.09475</v>
      </c>
      <c r="D55" s="86">
        <v>1.078395</v>
      </c>
      <c r="E55" s="86">
        <f>IFERROR(__xludf.DUMMYFUNCTION("GoogleFinance($A55)"),1.15935308)</f>
        <v>1.15935308</v>
      </c>
      <c r="F55" s="86">
        <f>IFERROR(__xludf.DUMMYFUNCTION("GoogleFinance($A55)"),1.15935308)</f>
        <v>1.15935308</v>
      </c>
      <c r="G55" s="86"/>
      <c r="H55" s="86"/>
      <c r="I55" s="86"/>
      <c r="J55" s="86"/>
      <c r="K55" s="86"/>
      <c r="L55" s="86"/>
      <c r="M55" s="86"/>
      <c r="N55" s="86"/>
      <c r="O55" s="86">
        <v>1.03135314</v>
      </c>
      <c r="P55" s="97" t="str">
        <f t="shared" si="26"/>
        <v/>
      </c>
      <c r="Q55" s="98">
        <f t="shared" si="27"/>
        <v>-1</v>
      </c>
      <c r="R55" s="99">
        <f t="shared" si="28"/>
        <v>-1</v>
      </c>
      <c r="S55" s="46"/>
    </row>
    <row r="56">
      <c r="A56" s="94" t="s">
        <v>72</v>
      </c>
      <c r="B56" s="95"/>
      <c r="C56" s="96">
        <v>9.888</v>
      </c>
      <c r="D56" s="86">
        <v>10.01762</v>
      </c>
      <c r="E56" s="86">
        <f>IFERROR(__xludf.DUMMYFUNCTION("GoogleFinance($A56)"),9.0865)</f>
        <v>9.0865</v>
      </c>
      <c r="F56" s="86">
        <f>IFERROR(__xludf.DUMMYFUNCTION("GoogleFinance($A56)"),9.0865)</f>
        <v>9.0865</v>
      </c>
      <c r="G56" s="86"/>
      <c r="H56" s="86"/>
      <c r="I56" s="86"/>
      <c r="J56" s="86"/>
      <c r="K56" s="86"/>
      <c r="L56" s="86"/>
      <c r="M56" s="86"/>
      <c r="N56" s="86"/>
      <c r="O56" s="86">
        <v>10.0590142</v>
      </c>
      <c r="P56" s="97" t="str">
        <f t="shared" si="26"/>
        <v/>
      </c>
      <c r="Q56" s="98">
        <f t="shared" si="27"/>
        <v>-1</v>
      </c>
      <c r="R56" s="99">
        <f t="shared" si="28"/>
        <v>-1</v>
      </c>
    </row>
    <row r="57">
      <c r="A57" s="94"/>
      <c r="B57" s="95"/>
      <c r="C57" s="100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/>
      <c r="Q57" s="102"/>
      <c r="R57" s="46"/>
      <c r="S57" s="46"/>
    </row>
    <row r="58">
      <c r="A58" s="27" t="s">
        <v>73</v>
      </c>
      <c r="B58" s="103"/>
      <c r="C58" s="104">
        <v>44862.9</v>
      </c>
      <c r="D58" s="105">
        <v>48320.9</v>
      </c>
      <c r="E58" s="105">
        <f>IFERROR(__xludf.DUMMYFUNCTION("GoogleFinance($A58)"),113698.0)</f>
        <v>113698</v>
      </c>
      <c r="F58" s="105">
        <f>IFERROR(__xludf.DUMMYFUNCTION("GoogleFinance($A58)"),113698.0)</f>
        <v>113698</v>
      </c>
      <c r="G58" s="105"/>
      <c r="H58" s="105"/>
      <c r="I58" s="105"/>
      <c r="J58" s="105"/>
      <c r="K58" s="105"/>
      <c r="L58" s="105"/>
      <c r="M58" s="105"/>
      <c r="N58" s="105"/>
      <c r="O58" s="105">
        <v>98034.06</v>
      </c>
      <c r="P58" s="104" t="str">
        <f t="array" ref="P58">index(D58:O58,1,counta(D58:O58))</f>
        <v/>
      </c>
      <c r="Q58" s="98">
        <f>(P58-C58)/C58</f>
        <v>-1</v>
      </c>
      <c r="R58" s="106">
        <f t="array" ref="R58">(index(C58:O58,1,counta(C58:O58)) - index(C58:O58,1,counta(C58:O58)-1))/index(C58:O58,1,counta(C58:O58)-1)</f>
        <v>-1</v>
      </c>
      <c r="S58" s="45"/>
    </row>
    <row r="59">
      <c r="A59" s="27" t="s">
        <v>74</v>
      </c>
      <c r="B59" s="107" t="s">
        <v>26</v>
      </c>
      <c r="C59" s="108"/>
      <c r="D59" s="109">
        <v>0.0</v>
      </c>
      <c r="E59" s="109">
        <v>0.0</v>
      </c>
      <c r="F59" s="109">
        <v>0.0</v>
      </c>
      <c r="G59" s="109"/>
      <c r="H59" s="109"/>
      <c r="I59" s="109"/>
      <c r="J59" s="109"/>
      <c r="K59" s="109"/>
      <c r="L59" s="109"/>
      <c r="M59" s="109"/>
      <c r="N59" s="109"/>
      <c r="O59" s="109">
        <v>0.0</v>
      </c>
      <c r="P59" s="104"/>
      <c r="Q59" s="98"/>
      <c r="R59" s="106"/>
      <c r="S59" s="45"/>
    </row>
    <row r="60">
      <c r="A60" s="27" t="s">
        <v>75</v>
      </c>
      <c r="B60" s="107" t="s">
        <v>26</v>
      </c>
      <c r="C60" s="108"/>
      <c r="D60" s="110">
        <v>44805.554520000005</v>
      </c>
      <c r="E60" s="110">
        <f>IFERROR(__xludf.DUMMYFUNCTION("GoogleFinance($A60)"),97805.92458)</f>
        <v>97805.92458</v>
      </c>
      <c r="F60" s="110">
        <f>IFERROR(__xludf.DUMMYFUNCTION("GoogleFinance($A60)"),97805.92458)</f>
        <v>97805.92458</v>
      </c>
      <c r="G60" s="110"/>
      <c r="H60" s="110"/>
      <c r="I60" s="110"/>
      <c r="J60" s="110"/>
      <c r="K60" s="110"/>
      <c r="L60" s="110"/>
      <c r="M60" s="110"/>
      <c r="N60" s="110"/>
      <c r="O60" s="110">
        <v>95072.5500618006</v>
      </c>
      <c r="P60" s="104"/>
      <c r="Q60" s="98"/>
      <c r="R60" s="106"/>
      <c r="S60" s="45"/>
    </row>
    <row r="61">
      <c r="A61" s="54"/>
      <c r="B61" s="95"/>
      <c r="C61" s="111"/>
      <c r="E61" s="112"/>
      <c r="F61" s="112"/>
      <c r="G61" s="112"/>
      <c r="H61" s="112"/>
      <c r="I61" s="112"/>
      <c r="J61" s="112"/>
      <c r="K61" s="89"/>
      <c r="L61" s="89"/>
      <c r="M61" s="89"/>
      <c r="N61" s="89"/>
      <c r="O61" s="89"/>
      <c r="P61" s="102"/>
      <c r="Q61" s="102"/>
      <c r="R61" s="46"/>
      <c r="S61" s="46"/>
    </row>
    <row r="62">
      <c r="A62" s="8" t="s">
        <v>76</v>
      </c>
      <c r="B62" s="9"/>
      <c r="C62" s="10"/>
      <c r="D62" s="10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10"/>
      <c r="Q62" s="8" t="s">
        <v>66</v>
      </c>
      <c r="R62" s="8" t="s">
        <v>67</v>
      </c>
      <c r="S62" s="10"/>
    </row>
    <row r="63">
      <c r="A63" s="94" t="s">
        <v>77</v>
      </c>
      <c r="B63" s="91" t="s">
        <v>26</v>
      </c>
      <c r="C63" s="22">
        <f>(SUMIF($B$3:$B$6, "=F",C3:C6) +sum(B8)*0.8)/C54 + SUMIF($B$3:$B$6, "=E",C3:C6) + SUMIF($B$3:$B$6, "=D",C3:C6)/C55</f>
        <v>1482.329299</v>
      </c>
      <c r="D63" s="113">
        <f>(SUMIF($B$3:$B$6, "=M",D3:D6)/D54 + SUMIF($B$3:$B$6, "=E",D3:D6) + SUMIF($B$3:$B$6, "=D",D3:D6)/D55)</f>
        <v>1183.685013</v>
      </c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22">
        <f t="shared" ref="P63:P69" si="29">index(D63:O63,1,counta(D63:O63))</f>
        <v>1183.685013</v>
      </c>
      <c r="Q63" s="87">
        <f t="shared" ref="Q63:Q68" si="30">(P63-C63)/C63</f>
        <v>-0.2014695964</v>
      </c>
      <c r="R63" s="88">
        <f t="shared" ref="R63:R68" si="31">(index(C63:O63,1,counta(C63:O63)) - index(C63:O63,1,counta(C63:O63)-1))/index(C63:O63,1,counta(C63:O63)-1)</f>
        <v>-0.2014695964</v>
      </c>
      <c r="S63" s="36"/>
    </row>
    <row r="64">
      <c r="A64" s="94" t="s">
        <v>27</v>
      </c>
      <c r="B64" s="91" t="s">
        <v>26</v>
      </c>
      <c r="C64" s="22">
        <f>(SUMIF($B$8:$B$13, "=F",C8:C13) +sum(C8)*0.2)/C54 + SUMIF($B$8:$B$13, "=E",C8:C13) + SUMIF($B$8:$B$13, "=D",C8:C13)/C55</f>
        <v>453.8194901</v>
      </c>
      <c r="D64" s="113">
        <f>(SUMIF($B$8:$B$10, "=M",D8:D10) +SUM(D8)*0.2)/D54 + SUMIF($B$8:$B$10, "=E",D8:D10) + SUMIF($B$8:$B$10, "=D",D8:D10)/D55</f>
        <v>0</v>
      </c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22">
        <f t="shared" si="29"/>
        <v>0</v>
      </c>
      <c r="Q64" s="87">
        <f t="shared" si="30"/>
        <v>-1</v>
      </c>
      <c r="R64" s="88">
        <f t="shared" si="31"/>
        <v>-1</v>
      </c>
      <c r="S64" s="36"/>
    </row>
    <row r="65">
      <c r="A65" s="39" t="s">
        <v>29</v>
      </c>
      <c r="B65" s="114" t="s">
        <v>26</v>
      </c>
      <c r="C65" s="40">
        <f>SUMIF($B$10:$B$13, "=F",C10:C13)/C$54 + SUMIF($B$10:$B$13, "=E",C10:C13) + SUMIF($B$10:$B$13, "=D",C10:C13)/C$55</f>
        <v>453.8194901</v>
      </c>
      <c r="D65" s="113">
        <f>SUMIF($B$10:$B$11, "=M",D$10:D$11)/D$54 + SUMIF($B$10:$B$11, "=E",D$10:D$11) + SUMIF($B$10:$B$11, "=D",D$10:D$11)/D$55</f>
        <v>0</v>
      </c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04">
        <f t="shared" si="29"/>
        <v>0</v>
      </c>
      <c r="Q65" s="87">
        <f t="shared" si="30"/>
        <v>-1</v>
      </c>
      <c r="R65" s="88">
        <f t="shared" si="31"/>
        <v>-1</v>
      </c>
      <c r="S65" s="36"/>
    </row>
    <row r="66">
      <c r="A66" s="94" t="s">
        <v>78</v>
      </c>
      <c r="B66" s="91" t="s">
        <v>26</v>
      </c>
      <c r="C66" s="22">
        <f>SUMIF($B$13:$B$29, "=F",C13:C29)/C54 + SUMIF($B$13:$B$29, "=E",C13:C29) + SUMIF($B$13:$B$29, "=D",C13:C29)/C55</f>
        <v>5199.21</v>
      </c>
      <c r="D66" s="113">
        <f>SUMIF($B$13:$B$29, "=M",D13:D29)/D54 + SUMIF($B$13:$B$29, "=E",D13:D29) + SUMIF($B$13:$B$29, "=D",D13:D29)/D55</f>
        <v>5199.21</v>
      </c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22">
        <f t="shared" si="29"/>
        <v>5199.21</v>
      </c>
      <c r="Q66" s="98">
        <f t="shared" si="30"/>
        <v>0</v>
      </c>
      <c r="R66" s="99">
        <f t="shared" si="31"/>
        <v>0</v>
      </c>
      <c r="S66" s="36"/>
    </row>
    <row r="67">
      <c r="A67" s="94" t="s">
        <v>50</v>
      </c>
      <c r="B67" s="91" t="s">
        <v>26</v>
      </c>
      <c r="C67" s="22">
        <f>SUMIF($B$29:$B$31, "=F",C29:C31)/C54 + SUMIF($B$29:$B$31, "=E",C29:C31) + SUMIF($B$29:$B$31, "=D",C29:C31)/C55</f>
        <v>0</v>
      </c>
      <c r="D67" s="113">
        <f>SUMIF($B$29:$B$31, "=M",D29:D31)/D54 + SUMIF($B$29:$B$31, "=E",D29:D31) + SUMIF($B$29:$B$31, "=D",D29:D31)/D55</f>
        <v>0</v>
      </c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22">
        <f t="shared" si="29"/>
        <v>0</v>
      </c>
      <c r="Q67" s="98" t="str">
        <f t="shared" si="30"/>
        <v>#DIV/0!</v>
      </c>
      <c r="R67" s="99" t="str">
        <f t="shared" si="31"/>
        <v>#DIV/0!</v>
      </c>
      <c r="S67" s="36"/>
    </row>
    <row r="68">
      <c r="A68" s="94" t="s">
        <v>52</v>
      </c>
      <c r="B68" s="91" t="s">
        <v>26</v>
      </c>
      <c r="C68" s="22">
        <f>SUMIF($B$31:$B$34, "=F",C31:C34)/C54 + SUMIF($B$31:$B$34, "=E",C31:C34) + SUMIF($B$31:$B$34, "=D",C31:C34)/C55</f>
        <v>-328.73</v>
      </c>
      <c r="D68" s="113">
        <f>SUMIF($B$31:$B$34, "=M",D31:D34)/D54 + SUMIF($B$31:$B$34, "=E",D31:D34) + SUMIF($B$31:$B$34, "=D",D31:D34)/D55</f>
        <v>-328.73</v>
      </c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22">
        <f t="shared" si="29"/>
        <v>-328.73</v>
      </c>
      <c r="Q68" s="98">
        <f t="shared" si="30"/>
        <v>0</v>
      </c>
      <c r="R68" s="99">
        <f t="shared" si="31"/>
        <v>0</v>
      </c>
      <c r="S68" s="36"/>
    </row>
    <row r="69">
      <c r="A69" s="94" t="s">
        <v>55</v>
      </c>
      <c r="B69" s="91" t="s">
        <v>26</v>
      </c>
      <c r="C69" s="22">
        <f>SUMIF($B$34:$B$36, "=F",C34:C36)/C54 + SUMIF($B$34:$B$36, "=E",C34:C36) + SUMIF($B$34:$B$36, "=D",C34:C36)/C55</f>
        <v>0</v>
      </c>
      <c r="D69" s="113">
        <f>SUMIF($B$34:$B$36, "=M",D34:D36)/D54 + SUMIF($B$34:$B$36, "=E",D34:D36) + SUMIF($B$34:$B$36, "=D",D34:D36)/D55</f>
        <v>0</v>
      </c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22">
        <f t="shared" si="29"/>
        <v>0</v>
      </c>
      <c r="Q69" s="102"/>
      <c r="R69" s="46"/>
      <c r="S69" s="36"/>
    </row>
    <row r="70">
      <c r="A70" s="54"/>
      <c r="B70" s="95"/>
      <c r="C70" s="22"/>
      <c r="D70" s="115"/>
      <c r="E70" s="116"/>
      <c r="F70" s="116"/>
      <c r="G70" s="116"/>
      <c r="H70" s="116"/>
      <c r="I70" s="103"/>
      <c r="J70" s="103"/>
      <c r="K70" s="103"/>
      <c r="L70" s="103"/>
      <c r="M70" s="103"/>
      <c r="N70" s="103"/>
      <c r="O70" s="103"/>
      <c r="P70" s="117"/>
      <c r="Q70" s="98"/>
      <c r="R70" s="106"/>
      <c r="S70" s="36"/>
    </row>
    <row r="71">
      <c r="A71" s="8" t="s">
        <v>79</v>
      </c>
      <c r="B71" s="9"/>
      <c r="C71" s="118"/>
      <c r="D71" s="118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8"/>
      <c r="Q71" s="10"/>
      <c r="R71" s="10"/>
      <c r="S71" s="10"/>
    </row>
    <row r="72">
      <c r="A72" s="120" t="s">
        <v>80</v>
      </c>
      <c r="B72" s="103"/>
      <c r="C72" s="103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17"/>
      <c r="R72" s="61"/>
      <c r="S72" s="36"/>
    </row>
    <row r="73">
      <c r="A73" s="39" t="s">
        <v>81</v>
      </c>
      <c r="B73" s="122" t="s">
        <v>26</v>
      </c>
      <c r="C73" s="10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>
        <f>2909.89+2313.07</f>
        <v>5222.96</v>
      </c>
      <c r="P73" s="117">
        <f>sum(D73:O73)</f>
        <v>5222.96</v>
      </c>
      <c r="R73" s="61">
        <f>P73/count(D73:O73)</f>
        <v>5222.96</v>
      </c>
      <c r="S73" s="36"/>
    </row>
    <row r="74">
      <c r="A74" s="23" t="s">
        <v>82</v>
      </c>
      <c r="B74" s="103"/>
      <c r="C74" s="103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17"/>
      <c r="R74" s="61"/>
    </row>
    <row r="75">
      <c r="A75" s="27" t="s">
        <v>83</v>
      </c>
      <c r="B75" s="122" t="s">
        <v>26</v>
      </c>
      <c r="C75" s="10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7">
        <f t="shared" ref="P75:P79" si="32">sum(D75:O75)</f>
        <v>0</v>
      </c>
      <c r="R75" s="61" t="str">
        <f>P75/count(D75:O75)</f>
        <v>#DIV/0!</v>
      </c>
    </row>
    <row r="76">
      <c r="A76" s="39" t="s">
        <v>84</v>
      </c>
      <c r="B76" s="122" t="s">
        <v>26</v>
      </c>
      <c r="C76" s="10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17">
        <f t="shared" si="32"/>
        <v>0</v>
      </c>
      <c r="Q76" s="89"/>
      <c r="R76" s="124"/>
      <c r="S76" s="89"/>
    </row>
    <row r="77">
      <c r="A77" s="39" t="s">
        <v>85</v>
      </c>
      <c r="B77" s="122" t="s">
        <v>26</v>
      </c>
      <c r="C77" s="10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17">
        <f t="shared" si="32"/>
        <v>0</v>
      </c>
      <c r="Q77" s="89"/>
      <c r="R77" s="124"/>
      <c r="S77" s="89"/>
    </row>
    <row r="78">
      <c r="A78" s="27" t="s">
        <v>86</v>
      </c>
      <c r="B78" s="122" t="s">
        <v>26</v>
      </c>
      <c r="C78" s="10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7">
        <f t="shared" si="32"/>
        <v>0</v>
      </c>
      <c r="Q78" s="89"/>
      <c r="R78" s="124"/>
      <c r="S78" s="89"/>
    </row>
    <row r="79" ht="13.5" customHeight="1">
      <c r="A79" s="27" t="s">
        <v>52</v>
      </c>
      <c r="B79" s="122" t="s">
        <v>26</v>
      </c>
      <c r="C79" s="103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17">
        <f t="shared" si="32"/>
        <v>0</v>
      </c>
      <c r="Q79" s="89"/>
      <c r="R79" s="124"/>
      <c r="S79" s="89"/>
    </row>
    <row r="80">
      <c r="A80" s="23" t="s">
        <v>87</v>
      </c>
      <c r="B80" s="103"/>
      <c r="C80" s="103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17"/>
      <c r="R80" s="61"/>
    </row>
    <row r="81">
      <c r="A81" s="39" t="s">
        <v>88</v>
      </c>
      <c r="B81" s="126" t="s">
        <v>22</v>
      </c>
      <c r="C81" s="103"/>
      <c r="D81" s="121">
        <v>0.0</v>
      </c>
      <c r="E81" s="121"/>
      <c r="F81" s="121"/>
      <c r="G81" s="121"/>
      <c r="H81" s="121"/>
      <c r="I81" s="121"/>
      <c r="J81" s="121"/>
      <c r="K81" s="121"/>
      <c r="L81" s="121"/>
      <c r="M81" s="121"/>
      <c r="N81" s="123"/>
      <c r="O81" s="121"/>
      <c r="P81" s="117">
        <f>sum(D81:O81)</f>
        <v>0</v>
      </c>
      <c r="R81" s="61">
        <f>P81/count(D81:O81)</f>
        <v>0</v>
      </c>
    </row>
    <row r="82">
      <c r="A82" s="27" t="s">
        <v>89</v>
      </c>
      <c r="B82" s="84" t="s">
        <v>26</v>
      </c>
      <c r="C82" s="103"/>
      <c r="D82" s="123">
        <v>0.0</v>
      </c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17"/>
      <c r="R82" s="61"/>
    </row>
    <row r="83">
      <c r="A83" s="39"/>
      <c r="B83" s="103"/>
      <c r="C83" s="103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02"/>
      <c r="R83" s="128"/>
      <c r="S83" s="128"/>
    </row>
    <row r="84">
      <c r="A84" s="39" t="s">
        <v>90</v>
      </c>
      <c r="B84" s="122" t="s">
        <v>26</v>
      </c>
      <c r="C84" s="89"/>
      <c r="D84" s="121">
        <f t="shared" ref="D84:O84" si="33">(SUMIF($B$73:$B$83, "=E",D73:D83)) +SUMIF($B$73:$B$83, "=M",D73:D83)*D54 +SUMIF($B$73:$B$83, "=D",D73:D83)*D55</f>
        <v>0</v>
      </c>
      <c r="E84" s="121">
        <f t="shared" si="33"/>
        <v>0</v>
      </c>
      <c r="F84" s="121">
        <f t="shared" si="33"/>
        <v>0</v>
      </c>
      <c r="G84" s="121">
        <f t="shared" si="33"/>
        <v>0</v>
      </c>
      <c r="H84" s="121">
        <f t="shared" si="33"/>
        <v>0</v>
      </c>
      <c r="I84" s="121">
        <f t="shared" si="33"/>
        <v>0</v>
      </c>
      <c r="J84" s="121">
        <f t="shared" si="33"/>
        <v>0</v>
      </c>
      <c r="K84" s="121">
        <f t="shared" si="33"/>
        <v>0</v>
      </c>
      <c r="L84" s="121">
        <f t="shared" si="33"/>
        <v>0</v>
      </c>
      <c r="M84" s="121">
        <f t="shared" si="33"/>
        <v>0</v>
      </c>
      <c r="N84" s="121">
        <f t="shared" si="33"/>
        <v>0</v>
      </c>
      <c r="O84" s="121">
        <f t="shared" si="33"/>
        <v>5222.96</v>
      </c>
      <c r="P84" s="129">
        <f t="shared" ref="P84:P85" si="34">sum(D84:O84)</f>
        <v>5222.96</v>
      </c>
      <c r="Q84" s="130"/>
      <c r="R84" s="61">
        <f t="shared" ref="R84:R86" si="35">P84/count(D84:O84)</f>
        <v>435.2466667</v>
      </c>
      <c r="S84" s="61">
        <f t="shared" ref="S84:S86" si="36">12*R84</f>
        <v>5222.96</v>
      </c>
    </row>
    <row r="85">
      <c r="A85" s="94" t="s">
        <v>91</v>
      </c>
      <c r="B85" s="122" t="s">
        <v>26</v>
      </c>
      <c r="C85" s="111"/>
      <c r="D85" s="131">
        <f>IFERROR(__xludf.DUMMYFUNCTION("IMPORTRANGE(""https://docs.google.com/spreadsheets/d/1_2flpAtyRfEW4twQHSSimK3gmjvEhqdd9Rr5cU8leQo/edit?usp=sharing"", D1&amp;""!H2"")"),0.0)</f>
        <v>0</v>
      </c>
      <c r="E85" s="131">
        <f>IFERROR(__xludf.DUMMYFUNCTION("IMPORTRANGE(""https://docs.google.com/spreadsheets/d/1_2flpAtyRfEW4twQHSSimK3gmjvEhqdd9Rr5cU8leQo/edit?usp=sharing"", E1&amp;""!H2"")"),0.0)</f>
        <v>0</v>
      </c>
      <c r="F85" s="131">
        <f>IFERROR(__xludf.DUMMYFUNCTION("IMPORTRANGE(""https://docs.google.com/spreadsheets/d/1_2flpAtyRfEW4twQHSSimK3gmjvEhqdd9Rr5cU8leQo/edit?usp=sharing"", F1&amp;""!H2"")"),0.0)</f>
        <v>0</v>
      </c>
      <c r="G85" s="131">
        <f>IFERROR(__xludf.DUMMYFUNCTION("IMPORTRANGE(""https://docs.google.com/spreadsheets/d/1_2flpAtyRfEW4twQHSSimK3gmjvEhqdd9Rr5cU8leQo/edit?usp=sharing"", G1&amp;""!H2"")"),0.0)</f>
        <v>0</v>
      </c>
      <c r="H85" s="131">
        <f>IFERROR(__xludf.DUMMYFUNCTION("IMPORTRANGE(""https://docs.google.com/spreadsheets/d/1_2flpAtyRfEW4twQHSSimK3gmjvEhqdd9Rr5cU8leQo/edit?usp=sharing"", H1&amp;""!H2"")"),0.0)</f>
        <v>0</v>
      </c>
      <c r="I85" s="131">
        <f>IFERROR(__xludf.DUMMYFUNCTION("IMPORTRANGE(""https://docs.google.com/spreadsheets/d/1_2flpAtyRfEW4twQHSSimK3gmjvEhqdd9Rr5cU8leQo/edit?usp=sharing"", I1&amp;""!H2"")"),0.0)</f>
        <v>0</v>
      </c>
      <c r="J85" s="131">
        <f>IFERROR(__xludf.DUMMYFUNCTION("IMPORTRANGE(""https://docs.google.com/spreadsheets/d/1_2flpAtyRfEW4twQHSSimK3gmjvEhqdd9Rr5cU8leQo/edit?usp=sharing"", J1&amp;""!H2"")"),0.0)</f>
        <v>0</v>
      </c>
      <c r="K85" s="131">
        <f>IFERROR(__xludf.DUMMYFUNCTION("IMPORTRANGE(""https://docs.google.com/spreadsheets/d/1_2flpAtyRfEW4twQHSSimK3gmjvEhqdd9Rr5cU8leQo/edit?usp=sharing"", K1&amp;""!H2"")"),0.0)</f>
        <v>0</v>
      </c>
      <c r="L85" s="131">
        <f>IFERROR(__xludf.DUMMYFUNCTION("IMPORTRANGE(""https://docs.google.com/spreadsheets/d/1_2flpAtyRfEW4twQHSSimK3gmjvEhqdd9Rr5cU8leQo/edit?usp=sharing"", L1&amp;""!H2"")"),0.0)</f>
        <v>0</v>
      </c>
      <c r="M85" s="131">
        <f>IFERROR(__xludf.DUMMYFUNCTION("IMPORTRANGE(""https://docs.google.com/spreadsheets/d/1_2flpAtyRfEW4twQHSSimK3gmjvEhqdd9Rr5cU8leQo/edit?usp=sharing"", M1&amp;""!H2"")"),0.0)</f>
        <v>0</v>
      </c>
      <c r="N85" s="131">
        <f>IFERROR(__xludf.DUMMYFUNCTION("IMPORTRANGE(""https://docs.google.com/spreadsheets/d/1_2flpAtyRfEW4twQHSSimK3gmjvEhqdd9Rr5cU8leQo/edit?usp=sharing"", N1&amp;""!H2"")"),0.0)</f>
        <v>0</v>
      </c>
      <c r="O85" s="131">
        <f>IFERROR(__xludf.DUMMYFUNCTION("IMPORTRANGE(""https://docs.google.com/spreadsheets/d/1_2flpAtyRfEW4twQHSSimK3gmjvEhqdd9Rr5cU8leQo/edit?usp=sharing"", O1&amp;""!H2"")"),2541.08)</f>
        <v>2541.08</v>
      </c>
      <c r="P85" s="129">
        <f t="shared" si="34"/>
        <v>2541.08</v>
      </c>
      <c r="Q85" s="130"/>
      <c r="R85" s="61">
        <f t="shared" si="35"/>
        <v>211.7566667</v>
      </c>
      <c r="S85" s="61">
        <f t="shared" si="36"/>
        <v>2541.08</v>
      </c>
    </row>
    <row r="86">
      <c r="A86" s="94" t="s">
        <v>92</v>
      </c>
      <c r="B86" s="122" t="s">
        <v>26</v>
      </c>
      <c r="C86" s="111"/>
      <c r="D86" s="131">
        <f t="shared" ref="D86:P86" si="37">D84-D85</f>
        <v>0</v>
      </c>
      <c r="E86" s="131">
        <f t="shared" si="37"/>
        <v>0</v>
      </c>
      <c r="F86" s="131">
        <f t="shared" si="37"/>
        <v>0</v>
      </c>
      <c r="G86" s="131">
        <f t="shared" si="37"/>
        <v>0</v>
      </c>
      <c r="H86" s="131">
        <f t="shared" si="37"/>
        <v>0</v>
      </c>
      <c r="I86" s="131">
        <f t="shared" si="37"/>
        <v>0</v>
      </c>
      <c r="J86" s="131">
        <f t="shared" si="37"/>
        <v>0</v>
      </c>
      <c r="K86" s="131">
        <f t="shared" si="37"/>
        <v>0</v>
      </c>
      <c r="L86" s="131">
        <f t="shared" si="37"/>
        <v>0</v>
      </c>
      <c r="M86" s="131">
        <f t="shared" si="37"/>
        <v>0</v>
      </c>
      <c r="N86" s="131">
        <f t="shared" si="37"/>
        <v>0</v>
      </c>
      <c r="O86" s="131">
        <f t="shared" si="37"/>
        <v>2681.88</v>
      </c>
      <c r="P86" s="129">
        <f t="shared" si="37"/>
        <v>2681.88</v>
      </c>
      <c r="Q86" s="130"/>
      <c r="R86" s="61">
        <f t="shared" si="35"/>
        <v>223.49</v>
      </c>
      <c r="S86" s="61">
        <f t="shared" si="36"/>
        <v>2681.88</v>
      </c>
    </row>
    <row r="87">
      <c r="A87" s="94" t="s">
        <v>93</v>
      </c>
      <c r="B87" s="122" t="s">
        <v>26</v>
      </c>
      <c r="C87" s="111"/>
      <c r="D87" s="132" t="str">
        <f t="shared" ref="D87:P87" si="38">D86/D84</f>
        <v>#DIV/0!</v>
      </c>
      <c r="E87" s="132" t="str">
        <f t="shared" si="38"/>
        <v>#DIV/0!</v>
      </c>
      <c r="F87" s="132" t="str">
        <f t="shared" si="38"/>
        <v>#DIV/0!</v>
      </c>
      <c r="G87" s="132" t="str">
        <f t="shared" si="38"/>
        <v>#DIV/0!</v>
      </c>
      <c r="H87" s="132" t="str">
        <f t="shared" si="38"/>
        <v>#DIV/0!</v>
      </c>
      <c r="I87" s="132" t="str">
        <f t="shared" si="38"/>
        <v>#DIV/0!</v>
      </c>
      <c r="J87" s="132" t="str">
        <f t="shared" si="38"/>
        <v>#DIV/0!</v>
      </c>
      <c r="K87" s="132" t="str">
        <f t="shared" si="38"/>
        <v>#DIV/0!</v>
      </c>
      <c r="L87" s="132" t="str">
        <f t="shared" si="38"/>
        <v>#DIV/0!</v>
      </c>
      <c r="M87" s="132" t="str">
        <f t="shared" si="38"/>
        <v>#DIV/0!</v>
      </c>
      <c r="N87" s="132" t="str">
        <f t="shared" si="38"/>
        <v>#DIV/0!</v>
      </c>
      <c r="O87" s="132">
        <f t="shared" si="38"/>
        <v>0.5134789468</v>
      </c>
      <c r="P87" s="133">
        <f t="shared" si="38"/>
        <v>0.5134789468</v>
      </c>
      <c r="Q87" s="134"/>
      <c r="R87" s="61"/>
      <c r="S87" s="61"/>
    </row>
    <row r="88">
      <c r="A88" s="54"/>
      <c r="B88" s="95"/>
      <c r="C88" s="111"/>
      <c r="D88" s="135"/>
      <c r="E88" s="103"/>
      <c r="F88" s="135"/>
      <c r="G88" s="135"/>
      <c r="H88" s="103"/>
      <c r="I88" s="103"/>
      <c r="J88" s="103"/>
      <c r="K88" s="103"/>
      <c r="L88" s="103"/>
      <c r="M88" s="103"/>
      <c r="N88" s="103"/>
      <c r="O88" s="103"/>
      <c r="P88" s="102"/>
      <c r="Q88" s="102"/>
      <c r="R88" s="102"/>
      <c r="S88" s="102"/>
    </row>
    <row r="89">
      <c r="A89" s="8" t="s">
        <v>94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36" t="s">
        <v>95</v>
      </c>
      <c r="B90" s="137"/>
      <c r="C90" s="138"/>
      <c r="D90" s="139">
        <v>2024.0</v>
      </c>
      <c r="E90" s="138"/>
      <c r="H90" s="135"/>
      <c r="I90" s="135"/>
      <c r="J90" s="135"/>
      <c r="K90" s="135"/>
      <c r="L90" s="135"/>
      <c r="M90" s="135"/>
      <c r="N90" s="135"/>
      <c r="O90" s="135"/>
      <c r="P90" s="102"/>
      <c r="Q90" s="102"/>
      <c r="R90" s="102"/>
      <c r="S90" s="102"/>
    </row>
    <row r="91">
      <c r="B91" s="137"/>
      <c r="C91" s="138"/>
      <c r="D91" s="140"/>
      <c r="E91" s="138"/>
      <c r="H91" s="135"/>
      <c r="I91" s="135"/>
      <c r="J91" s="135"/>
      <c r="K91" s="135"/>
      <c r="L91" s="135"/>
      <c r="M91" s="135"/>
      <c r="N91" s="135"/>
      <c r="O91" s="135"/>
      <c r="P91" s="102"/>
      <c r="Q91" s="102"/>
      <c r="R91" s="102"/>
      <c r="S91" s="102"/>
    </row>
    <row r="92">
      <c r="B92" s="137"/>
      <c r="C92" s="138"/>
      <c r="D92" s="140"/>
      <c r="E92" s="138"/>
      <c r="H92" s="135"/>
      <c r="I92" s="135"/>
      <c r="J92" s="135"/>
      <c r="K92" s="135"/>
      <c r="L92" s="135"/>
      <c r="M92" s="135"/>
      <c r="N92" s="135"/>
      <c r="O92" s="135"/>
      <c r="P92" s="102"/>
      <c r="Q92" s="102"/>
      <c r="R92" s="102"/>
      <c r="S92" s="102"/>
    </row>
    <row r="93">
      <c r="A93" s="136" t="s">
        <v>96</v>
      </c>
      <c r="B93" s="137"/>
      <c r="C93" s="138"/>
      <c r="D93" s="141">
        <v>1.0</v>
      </c>
      <c r="E93" s="141">
        <v>2.0</v>
      </c>
      <c r="F93" s="142">
        <v>3.0</v>
      </c>
      <c r="G93" s="142">
        <v>3.0</v>
      </c>
      <c r="H93" s="115">
        <v>5.0</v>
      </c>
      <c r="I93" s="115">
        <v>6.0</v>
      </c>
      <c r="J93" s="115">
        <v>7.0</v>
      </c>
      <c r="K93" s="115">
        <v>8.0</v>
      </c>
      <c r="L93" s="115">
        <v>9.0</v>
      </c>
      <c r="M93" s="115">
        <v>10.0</v>
      </c>
      <c r="N93" s="115">
        <v>11.0</v>
      </c>
      <c r="O93" s="115">
        <v>12.0</v>
      </c>
      <c r="P93" s="102"/>
      <c r="Q93" s="102"/>
      <c r="R93" s="102"/>
      <c r="S93" s="102"/>
    </row>
    <row r="94">
      <c r="B94" s="137"/>
      <c r="C94" s="138"/>
      <c r="D94" s="140"/>
      <c r="E94" s="138"/>
      <c r="H94" s="135"/>
      <c r="I94" s="135"/>
      <c r="J94" s="135"/>
      <c r="K94" s="135"/>
      <c r="L94" s="135"/>
      <c r="M94" s="135"/>
      <c r="N94" s="135"/>
      <c r="O94" s="135"/>
      <c r="P94" s="102"/>
      <c r="Q94" s="102"/>
      <c r="R94" s="102"/>
      <c r="S94" s="102"/>
    </row>
    <row r="95">
      <c r="B95" s="137"/>
      <c r="C95" s="138"/>
      <c r="D95" s="140"/>
      <c r="E95" s="138"/>
      <c r="H95" s="135"/>
      <c r="I95" s="135"/>
      <c r="J95" s="135"/>
      <c r="K95" s="135"/>
      <c r="L95" s="135"/>
      <c r="M95" s="135"/>
      <c r="N95" s="135"/>
      <c r="O95" s="135"/>
      <c r="P95" s="102"/>
      <c r="Q95" s="102"/>
      <c r="R95" s="102"/>
      <c r="S95" s="102"/>
    </row>
    <row r="96">
      <c r="B96" s="137"/>
      <c r="C96" s="138"/>
      <c r="D96" s="140"/>
      <c r="E96" s="138"/>
      <c r="H96" s="135"/>
      <c r="I96" s="135"/>
      <c r="J96" s="135"/>
      <c r="K96" s="135"/>
      <c r="L96" s="135"/>
      <c r="M96" s="135"/>
      <c r="N96" s="135"/>
      <c r="O96" s="135"/>
      <c r="P96" s="102"/>
      <c r="Q96" s="102"/>
      <c r="R96" s="102"/>
      <c r="S96" s="102"/>
    </row>
    <row r="97">
      <c r="B97" s="137"/>
      <c r="C97" s="138"/>
      <c r="D97" s="140"/>
      <c r="E97" s="138"/>
      <c r="H97" s="135"/>
      <c r="I97" s="135"/>
      <c r="J97" s="135"/>
      <c r="K97" s="135"/>
      <c r="L97" s="135"/>
      <c r="M97" s="135"/>
      <c r="N97" s="135"/>
      <c r="O97" s="135"/>
      <c r="P97" s="102"/>
      <c r="Q97" s="102"/>
      <c r="R97" s="102"/>
      <c r="S97" s="102"/>
    </row>
    <row r="98">
      <c r="B98" s="137"/>
      <c r="C98" s="138"/>
      <c r="D98" s="140"/>
      <c r="E98" s="138"/>
      <c r="H98" s="135"/>
      <c r="I98" s="135"/>
      <c r="J98" s="135"/>
      <c r="K98" s="135"/>
      <c r="L98" s="135"/>
      <c r="M98" s="135"/>
      <c r="N98" s="135"/>
      <c r="O98" s="135"/>
      <c r="P98" s="102"/>
      <c r="Q98" s="102"/>
      <c r="R98" s="102"/>
      <c r="S98" s="102"/>
    </row>
    <row r="99">
      <c r="B99" s="137"/>
      <c r="C99" s="138"/>
      <c r="D99" s="140"/>
      <c r="E99" s="138"/>
      <c r="H99" s="135"/>
      <c r="I99" s="135"/>
      <c r="J99" s="135"/>
      <c r="K99" s="135"/>
      <c r="L99" s="135"/>
      <c r="M99" s="135"/>
      <c r="N99" s="135"/>
      <c r="O99" s="135"/>
      <c r="P99" s="102"/>
      <c r="Q99" s="102"/>
      <c r="R99" s="102"/>
      <c r="S99" s="102"/>
    </row>
    <row r="100">
      <c r="B100" s="137"/>
      <c r="C100" s="138"/>
      <c r="D100" s="140"/>
      <c r="E100" s="138"/>
      <c r="H100" s="135"/>
      <c r="I100" s="143"/>
      <c r="J100" s="135"/>
      <c r="K100" s="135"/>
      <c r="L100" s="135"/>
      <c r="M100" s="135"/>
      <c r="N100" s="135"/>
      <c r="O100" s="135"/>
      <c r="P100" s="102"/>
      <c r="Q100" s="102"/>
      <c r="R100" s="102"/>
      <c r="S100" s="102"/>
    </row>
    <row r="101">
      <c r="B101" s="137"/>
      <c r="C101" s="138"/>
      <c r="D101" s="140"/>
      <c r="E101" s="138"/>
      <c r="H101" s="135"/>
      <c r="I101" s="144"/>
      <c r="J101" s="135"/>
      <c r="K101" s="135"/>
      <c r="L101" s="135"/>
      <c r="M101" s="135"/>
      <c r="N101" s="135"/>
      <c r="O101" s="135"/>
      <c r="P101" s="102"/>
      <c r="Q101" s="102"/>
      <c r="R101" s="102"/>
      <c r="S101" s="102"/>
    </row>
    <row r="102">
      <c r="B102" s="137"/>
      <c r="C102" s="138"/>
      <c r="D102" s="140"/>
      <c r="E102" s="138"/>
      <c r="H102" s="135"/>
      <c r="I102" s="135"/>
      <c r="J102" s="135"/>
      <c r="K102" s="135"/>
      <c r="L102" s="135"/>
      <c r="M102" s="135"/>
      <c r="N102" s="135"/>
      <c r="O102" s="135"/>
      <c r="P102" s="102"/>
      <c r="Q102" s="102"/>
      <c r="R102" s="102"/>
      <c r="S102" s="102"/>
    </row>
    <row r="103">
      <c r="B103" s="137"/>
      <c r="C103" s="138"/>
      <c r="D103" s="140"/>
      <c r="E103" s="138"/>
      <c r="H103" s="135"/>
      <c r="I103" s="135"/>
      <c r="J103" s="135"/>
      <c r="K103" s="135"/>
      <c r="L103" s="135"/>
      <c r="M103" s="135"/>
      <c r="N103" s="135"/>
      <c r="O103" s="135"/>
      <c r="P103" s="102"/>
      <c r="Q103" s="102"/>
      <c r="R103" s="102"/>
      <c r="S103" s="102"/>
    </row>
    <row r="104">
      <c r="B104" s="137"/>
      <c r="C104" s="138"/>
      <c r="D104" s="140"/>
      <c r="E104" s="138"/>
      <c r="H104" s="135"/>
      <c r="I104" s="135"/>
      <c r="J104" s="135"/>
      <c r="K104" s="135"/>
      <c r="L104" s="135"/>
      <c r="M104" s="135"/>
      <c r="N104" s="135"/>
      <c r="O104" s="135"/>
      <c r="P104" s="102"/>
      <c r="Q104" s="102"/>
      <c r="R104" s="102"/>
      <c r="S104" s="102"/>
    </row>
    <row r="105">
      <c r="B105" s="137"/>
      <c r="C105" s="138"/>
      <c r="D105" s="140"/>
      <c r="E105" s="138"/>
      <c r="H105" s="135"/>
      <c r="I105" s="135"/>
      <c r="J105" s="135"/>
      <c r="K105" s="135"/>
      <c r="L105" s="135"/>
      <c r="M105" s="135"/>
      <c r="N105" s="135"/>
      <c r="O105" s="135"/>
      <c r="P105" s="102"/>
      <c r="Q105" s="102"/>
      <c r="R105" s="102"/>
      <c r="S105" s="102"/>
    </row>
    <row r="106">
      <c r="B106" s="137"/>
      <c r="C106" s="138"/>
      <c r="D106" s="138"/>
      <c r="E106" s="138"/>
      <c r="H106" s="135"/>
      <c r="I106" s="135"/>
      <c r="J106" s="135"/>
      <c r="K106" s="135"/>
      <c r="L106" s="135"/>
      <c r="M106" s="135"/>
      <c r="N106" s="135"/>
      <c r="O106" s="135"/>
      <c r="P106" s="102"/>
      <c r="Q106" s="102"/>
      <c r="R106" s="102"/>
      <c r="S106" s="102"/>
    </row>
  </sheetData>
  <conditionalFormatting sqref="B1:B106">
    <cfRule type="cellIs" dxfId="0" priority="1" operator="equal">
      <formula>"E"</formula>
    </cfRule>
  </conditionalFormatting>
  <conditionalFormatting sqref="B1:B106">
    <cfRule type="cellIs" dxfId="1" priority="2" operator="equal">
      <formula>"F"</formula>
    </cfRule>
  </conditionalFormatting>
  <conditionalFormatting sqref="B1:B106">
    <cfRule type="cellIs" dxfId="2" priority="3" operator="equal">
      <formula>"D"</formula>
    </cfRule>
  </conditionalFormatting>
  <conditionalFormatting sqref="D51:O52 D54:O61">
    <cfRule type="expression" dxfId="3" priority="4">
      <formula>C51="-"</formula>
    </cfRule>
  </conditionalFormatting>
  <conditionalFormatting sqref="D51:O52 D54:O61">
    <cfRule type="cellIs" dxfId="4" priority="5" operator="lessThan">
      <formula>C51</formula>
    </cfRule>
  </conditionalFormatting>
  <conditionalFormatting sqref="D51:O52 D54:O61">
    <cfRule type="cellIs" dxfId="5" priority="6" operator="greaterThan">
      <formula>C51</formula>
    </cfRule>
  </conditionalFormatting>
  <conditionalFormatting sqref="Q51:R52 Q54:R56 Q58:Q60 Q63:R68 Q70">
    <cfRule type="cellIs" dxfId="0" priority="7" operator="greaterThan">
      <formula>0</formula>
    </cfRule>
  </conditionalFormatting>
  <conditionalFormatting sqref="Q51:R52 Q54:R56 Q58:Q60 Q63:R68 Q70">
    <cfRule type="cellIs" dxfId="2" priority="8" operator="lessThanOrEqual">
      <formula>0</formula>
    </cfRule>
  </conditionalFormatting>
  <conditionalFormatting sqref="D38:O38 D41:O41 D44:O44 F47:O47">
    <cfRule type="cellIs" dxfId="0" priority="9" operator="greaterThan">
      <formula>0</formula>
    </cfRule>
  </conditionalFormatting>
  <conditionalFormatting sqref="D38:O38 D41:O41 D44:O44 F47:O47">
    <cfRule type="cellIs" dxfId="4" priority="10" operator="lessThanOrEqual">
      <formula>0</formula>
    </cfRule>
  </conditionalFormatting>
  <hyperlinks>
    <hyperlink r:id="rId1" ref="Q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2.75"/>
  <cols>
    <col customWidth="1" min="1" max="1" width="16.38"/>
    <col customWidth="1" min="2" max="25" width="7.63"/>
  </cols>
  <sheetData>
    <row r="1">
      <c r="A1" s="136" t="s">
        <v>97</v>
      </c>
      <c r="B1" s="145">
        <v>44562.0</v>
      </c>
      <c r="C1" s="145">
        <f t="shared" ref="C1:Y1" si="1">date(year(B1), month(B1)+1, 1)</f>
        <v>44593</v>
      </c>
      <c r="D1" s="145">
        <f t="shared" si="1"/>
        <v>44621</v>
      </c>
      <c r="E1" s="145">
        <f t="shared" si="1"/>
        <v>44652</v>
      </c>
      <c r="F1" s="145">
        <f t="shared" si="1"/>
        <v>44682</v>
      </c>
      <c r="G1" s="145">
        <f t="shared" si="1"/>
        <v>44713</v>
      </c>
      <c r="H1" s="145">
        <f t="shared" si="1"/>
        <v>44743</v>
      </c>
      <c r="I1" s="145">
        <f t="shared" si="1"/>
        <v>44774</v>
      </c>
      <c r="J1" s="145">
        <f t="shared" si="1"/>
        <v>44805</v>
      </c>
      <c r="K1" s="145">
        <f t="shared" si="1"/>
        <v>44835</v>
      </c>
      <c r="L1" s="145">
        <f t="shared" si="1"/>
        <v>44866</v>
      </c>
      <c r="M1" s="145">
        <f t="shared" si="1"/>
        <v>44896</v>
      </c>
      <c r="N1" s="145">
        <f t="shared" si="1"/>
        <v>44927</v>
      </c>
      <c r="O1" s="145">
        <f t="shared" si="1"/>
        <v>44958</v>
      </c>
      <c r="P1" s="145">
        <f t="shared" si="1"/>
        <v>44986</v>
      </c>
      <c r="Q1" s="145">
        <f t="shared" si="1"/>
        <v>45017</v>
      </c>
      <c r="R1" s="145">
        <f t="shared" si="1"/>
        <v>45047</v>
      </c>
      <c r="S1" s="145">
        <f t="shared" si="1"/>
        <v>45078</v>
      </c>
      <c r="T1" s="145">
        <f t="shared" si="1"/>
        <v>45108</v>
      </c>
      <c r="U1" s="145">
        <f t="shared" si="1"/>
        <v>45139</v>
      </c>
      <c r="V1" s="145">
        <f t="shared" si="1"/>
        <v>45170</v>
      </c>
      <c r="W1" s="145">
        <f t="shared" si="1"/>
        <v>45200</v>
      </c>
      <c r="X1" s="145">
        <f t="shared" si="1"/>
        <v>45231</v>
      </c>
      <c r="Y1" s="145">
        <f t="shared" si="1"/>
        <v>45261</v>
      </c>
    </row>
    <row r="2">
      <c r="A2" s="136"/>
      <c r="B2" s="89"/>
      <c r="C2" s="89"/>
      <c r="D2" s="89"/>
      <c r="E2" s="89"/>
      <c r="F2" s="89"/>
      <c r="G2" s="89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</row>
    <row r="3">
      <c r="A3" s="136" t="s">
        <v>81</v>
      </c>
      <c r="B3" s="147">
        <f>'2022'!D73</f>
        <v>1773</v>
      </c>
      <c r="C3" s="147">
        <f>'2022'!E73</f>
        <v>1719</v>
      </c>
      <c r="D3" s="147">
        <f>'2022'!F73</f>
        <v>1779</v>
      </c>
      <c r="E3" s="147">
        <f>'2022'!G73</f>
        <v>2476</v>
      </c>
      <c r="F3" s="147">
        <f>'2022'!H73</f>
        <v>2080</v>
      </c>
      <c r="G3" s="147">
        <f>'2022'!I73</f>
        <v>1733</v>
      </c>
      <c r="H3" s="147">
        <f>'2022'!J73</f>
        <v>2763</v>
      </c>
      <c r="I3" s="147">
        <f>'2022'!K73</f>
        <v>1822</v>
      </c>
      <c r="J3" s="147">
        <f>'2022'!L73</f>
        <v>1764</v>
      </c>
      <c r="K3" s="147">
        <f>'2022'!M73</f>
        <v>1849</v>
      </c>
      <c r="L3" s="147">
        <f>'2022'!N73</f>
        <v>1821</v>
      </c>
      <c r="M3" s="147">
        <f>'2022'!O73</f>
        <v>3819</v>
      </c>
      <c r="N3" s="147">
        <f>'2023'!D73</f>
        <v>1774</v>
      </c>
      <c r="O3" s="147">
        <f>'2023'!E73</f>
        <v>1715</v>
      </c>
      <c r="P3" s="147">
        <f>'2023'!F73</f>
        <v>1723</v>
      </c>
      <c r="Q3" s="147">
        <f>'2023'!G73</f>
        <v>3238</v>
      </c>
      <c r="R3" s="147">
        <f>'2023'!H73</f>
        <v>5590.21</v>
      </c>
      <c r="S3" s="147">
        <f>'2023'!I73</f>
        <v>2173</v>
      </c>
      <c r="T3" s="147">
        <f>'2023'!J73</f>
        <v>2099.17</v>
      </c>
      <c r="U3" s="147">
        <f>'2023'!K73</f>
        <v>3165.08</v>
      </c>
      <c r="V3" s="147">
        <f>'2023'!L73</f>
        <v>2257</v>
      </c>
      <c r="W3" s="147">
        <f>'2023'!M73</f>
        <v>2265.15</v>
      </c>
      <c r="X3" s="147">
        <f>'2023'!N73</f>
        <v>2257.35</v>
      </c>
      <c r="Y3" s="147">
        <f>'2023'!O73</f>
        <v>3635.11</v>
      </c>
    </row>
    <row r="4">
      <c r="A4" s="136" t="s">
        <v>98</v>
      </c>
      <c r="B4" s="127"/>
      <c r="C4" s="127"/>
      <c r="D4" s="127"/>
      <c r="E4" s="127"/>
      <c r="F4" s="127"/>
      <c r="G4" s="127"/>
      <c r="H4" s="148"/>
      <c r="I4" s="148"/>
      <c r="J4" s="148"/>
      <c r="K4" s="148"/>
      <c r="L4" s="148"/>
      <c r="M4" s="148"/>
      <c r="N4" s="147" t="str">
        <f>'2023'!D74</f>
        <v/>
      </c>
      <c r="O4" s="147" t="str">
        <f>'2023'!E74</f>
        <v/>
      </c>
      <c r="P4" s="147" t="str">
        <f>'2023'!F74</f>
        <v/>
      </c>
      <c r="Q4" s="147" t="str">
        <f>'2023'!G74</f>
        <v/>
      </c>
      <c r="R4" s="147" t="str">
        <f>'2023'!H74</f>
        <v/>
      </c>
      <c r="S4" s="147" t="str">
        <f>'2023'!I74</f>
        <v/>
      </c>
      <c r="T4" s="147" t="str">
        <f>'2023'!J74</f>
        <v/>
      </c>
      <c r="U4" s="147" t="str">
        <f>'2023'!K74</f>
        <v/>
      </c>
      <c r="V4" s="147" t="str">
        <f>'2023'!L74</f>
        <v/>
      </c>
      <c r="W4" s="147" t="str">
        <f>'2023'!M74</f>
        <v/>
      </c>
      <c r="X4" s="147" t="str">
        <f>'2023'!N74</f>
        <v/>
      </c>
      <c r="Y4" s="147" t="str">
        <f>'2023'!O74</f>
        <v/>
      </c>
    </row>
    <row r="5">
      <c r="A5" s="136" t="s">
        <v>99</v>
      </c>
      <c r="B5" s="147">
        <f>'2022'!D81*'2022'!D57</f>
        <v>0</v>
      </c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 t="str">
        <f>'2023'!D75</f>
        <v/>
      </c>
      <c r="O5" s="147" t="str">
        <f>'2023'!E75</f>
        <v/>
      </c>
      <c r="P5" s="147" t="str">
        <f>'2023'!F75</f>
        <v/>
      </c>
      <c r="Q5" s="147" t="str">
        <f>'2023'!G75</f>
        <v/>
      </c>
      <c r="R5" s="147" t="str">
        <f>'2023'!H75</f>
        <v/>
      </c>
      <c r="S5" s="147" t="str">
        <f>'2023'!I75</f>
        <v/>
      </c>
      <c r="T5" s="147" t="str">
        <f>'2023'!J75</f>
        <v/>
      </c>
      <c r="U5" s="147" t="str">
        <f>'2023'!K75</f>
        <v/>
      </c>
      <c r="V5" s="147" t="str">
        <f>'2023'!L75</f>
        <v/>
      </c>
      <c r="W5" s="147" t="str">
        <f>'2023'!M75</f>
        <v/>
      </c>
      <c r="X5" s="147" t="str">
        <f>'2023'!N75</f>
        <v/>
      </c>
      <c r="Y5" s="147" t="str">
        <f>'2023'!O75</f>
        <v/>
      </c>
    </row>
    <row r="6">
      <c r="A6" s="136" t="s">
        <v>100</v>
      </c>
      <c r="B6" s="127"/>
      <c r="C6" s="127"/>
      <c r="D6" s="127"/>
      <c r="E6" s="127"/>
      <c r="F6" s="127"/>
      <c r="G6" s="127"/>
      <c r="H6" s="148"/>
      <c r="I6" s="148"/>
      <c r="J6" s="148"/>
      <c r="K6" s="148"/>
      <c r="L6" s="148"/>
      <c r="M6" s="148"/>
      <c r="N6" s="147" t="str">
        <f>'2023'!D76</f>
        <v/>
      </c>
      <c r="O6" s="147" t="str">
        <f>'2023'!E76</f>
        <v/>
      </c>
      <c r="P6" s="147" t="str">
        <f>'2023'!F76</f>
        <v/>
      </c>
      <c r="Q6" s="147" t="str">
        <f>'2023'!G76</f>
        <v/>
      </c>
      <c r="R6" s="147" t="str">
        <f>'2023'!H76</f>
        <v/>
      </c>
      <c r="S6" s="147" t="str">
        <f>'2023'!I76</f>
        <v/>
      </c>
      <c r="T6" s="147" t="str">
        <f>'2023'!J76</f>
        <v/>
      </c>
      <c r="U6" s="147" t="str">
        <f>'2023'!K76</f>
        <v/>
      </c>
      <c r="V6" s="147" t="str">
        <f>'2023'!L76</f>
        <v/>
      </c>
      <c r="W6" s="147" t="str">
        <f>'2023'!M76</f>
        <v/>
      </c>
      <c r="X6" s="147" t="str">
        <f>'2023'!N76</f>
        <v/>
      </c>
      <c r="Y6" s="147" t="str">
        <f>'2023'!O76</f>
        <v/>
      </c>
    </row>
    <row r="7">
      <c r="A7" s="136" t="s">
        <v>52</v>
      </c>
      <c r="B7" s="149">
        <v>0.0</v>
      </c>
      <c r="C7" s="127">
        <f>sum('2022'!E75:E79)</f>
        <v>1651</v>
      </c>
      <c r="D7" s="127">
        <f>sum('2022'!F75:F79)</f>
        <v>400</v>
      </c>
      <c r="E7" s="127">
        <f>sum('2022'!G75:G79)</f>
        <v>1181.91</v>
      </c>
      <c r="F7" s="127">
        <f>sum('2022'!H75:H79)</f>
        <v>65</v>
      </c>
      <c r="G7" s="127">
        <f>sum('2022'!I75:I79)</f>
        <v>0</v>
      </c>
      <c r="H7" s="147">
        <f>sum('2022'!J75:J79)</f>
        <v>204.37</v>
      </c>
      <c r="I7" s="147">
        <f>sum('2022'!K75:K79)</f>
        <v>0</v>
      </c>
      <c r="J7" s="147">
        <f>sum('2022'!L75:L79)</f>
        <v>0</v>
      </c>
      <c r="K7" s="147">
        <f>sum('2022'!M75:M79)</f>
        <v>180</v>
      </c>
      <c r="L7" s="147">
        <f>sum('2022'!N75:N79)</f>
        <v>1367.98</v>
      </c>
      <c r="M7" s="147">
        <f>sum('2022'!O75:O79)</f>
        <v>100</v>
      </c>
      <c r="N7" s="147">
        <f>SUM('2023'!D75:D79)</f>
        <v>78.64</v>
      </c>
      <c r="O7" s="147">
        <f>SUM('2023'!E75:E79)</f>
        <v>540.84</v>
      </c>
      <c r="P7" s="147">
        <f>SUM('2023'!F75:F79)</f>
        <v>157</v>
      </c>
      <c r="Q7" s="147">
        <f>SUM('2023'!G75:G79)</f>
        <v>0</v>
      </c>
      <c r="R7" s="147">
        <f>SUM('2023'!H75:H79)</f>
        <v>0</v>
      </c>
      <c r="S7" s="147">
        <f>SUM('2023'!I75:I79)</f>
        <v>620</v>
      </c>
      <c r="T7" s="147">
        <f>SUM('2023'!J75:J79)</f>
        <v>360</v>
      </c>
      <c r="U7" s="147">
        <f>SUM('2023'!K75:K79)</f>
        <v>270</v>
      </c>
      <c r="V7" s="147">
        <f>SUM('2023'!L75:L79)</f>
        <v>216.92</v>
      </c>
      <c r="W7" s="147">
        <f>SUM('2023'!M75:M79)</f>
        <v>120</v>
      </c>
      <c r="X7" s="147">
        <f>SUM('2023'!N75:N79)</f>
        <v>0</v>
      </c>
      <c r="Y7" s="147">
        <f>SUM('2023'!O75:O79)</f>
        <v>0</v>
      </c>
    </row>
    <row r="8">
      <c r="A8" s="136"/>
      <c r="B8" s="127"/>
      <c r="C8" s="127"/>
      <c r="D8" s="127"/>
      <c r="E8" s="127"/>
      <c r="F8" s="127"/>
      <c r="G8" s="127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</row>
    <row r="9">
      <c r="A9" s="136" t="s">
        <v>101</v>
      </c>
      <c r="B9" s="147">
        <f t="shared" ref="B9:Y9" si="2">sum(B2:B8)</f>
        <v>1773</v>
      </c>
      <c r="C9" s="147">
        <f t="shared" si="2"/>
        <v>3370</v>
      </c>
      <c r="D9" s="147">
        <f t="shared" si="2"/>
        <v>2179</v>
      </c>
      <c r="E9" s="147">
        <f t="shared" si="2"/>
        <v>3657.91</v>
      </c>
      <c r="F9" s="147">
        <f t="shared" si="2"/>
        <v>2145</v>
      </c>
      <c r="G9" s="147">
        <f t="shared" si="2"/>
        <v>1733</v>
      </c>
      <c r="H9" s="147">
        <f t="shared" si="2"/>
        <v>2967.37</v>
      </c>
      <c r="I9" s="147">
        <f t="shared" si="2"/>
        <v>1822</v>
      </c>
      <c r="J9" s="147">
        <f t="shared" si="2"/>
        <v>1764</v>
      </c>
      <c r="K9" s="147">
        <f t="shared" si="2"/>
        <v>2029</v>
      </c>
      <c r="L9" s="147">
        <f t="shared" si="2"/>
        <v>3188.98</v>
      </c>
      <c r="M9" s="147">
        <f t="shared" si="2"/>
        <v>3919</v>
      </c>
      <c r="N9" s="147">
        <f t="shared" si="2"/>
        <v>1852.64</v>
      </c>
      <c r="O9" s="147">
        <f t="shared" si="2"/>
        <v>2255.84</v>
      </c>
      <c r="P9" s="147">
        <f t="shared" si="2"/>
        <v>1880</v>
      </c>
      <c r="Q9" s="147">
        <f t="shared" si="2"/>
        <v>3238</v>
      </c>
      <c r="R9" s="147">
        <f t="shared" si="2"/>
        <v>5590.21</v>
      </c>
      <c r="S9" s="147">
        <f t="shared" si="2"/>
        <v>2793</v>
      </c>
      <c r="T9" s="147">
        <f t="shared" si="2"/>
        <v>2459.17</v>
      </c>
      <c r="U9" s="147">
        <f t="shared" si="2"/>
        <v>3435.08</v>
      </c>
      <c r="V9" s="147">
        <f t="shared" si="2"/>
        <v>2473.92</v>
      </c>
      <c r="W9" s="147">
        <f t="shared" si="2"/>
        <v>2385.15</v>
      </c>
      <c r="X9" s="147">
        <f t="shared" si="2"/>
        <v>2257.35</v>
      </c>
      <c r="Y9" s="147">
        <f t="shared" si="2"/>
        <v>3635.11</v>
      </c>
    </row>
    <row r="10"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</row>
    <row r="11"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</row>
    <row r="92">
      <c r="A92" s="136" t="s">
        <v>102</v>
      </c>
    </row>
    <row r="93">
      <c r="A93" s="151">
        <v>44593.0</v>
      </c>
    </row>
    <row r="95">
      <c r="A95" t="str">
        <f t="shared" ref="A95:A96" si="3">A3</f>
        <v>Mr Salary</v>
      </c>
    </row>
    <row r="96">
      <c r="A96" t="str">
        <f t="shared" si="3"/>
        <v>Mr Stocks</v>
      </c>
    </row>
    <row r="100">
      <c r="A100" t="str">
        <f t="shared" ref="A100:A101" si="4">A5</f>
        <v>Dividends</v>
      </c>
    </row>
    <row r="101">
      <c r="A101" t="str">
        <f t="shared" si="4"/>
        <v>Rent</v>
      </c>
    </row>
    <row r="104">
      <c r="A104" t="str">
        <f t="shared" ref="A104:A106" si="5">A7</f>
        <v>Other</v>
      </c>
    </row>
    <row r="105">
      <c r="A105" t="str">
        <f t="shared" si="5"/>
        <v/>
      </c>
    </row>
    <row r="106">
      <c r="A106" s="152" t="str">
        <f t="shared" si="5"/>
        <v>Total</v>
      </c>
    </row>
  </sheetData>
  <dataValidations>
    <dataValidation type="list" allowBlank="1" showErrorMessage="1" sqref="A93">
      <formula1>Income!$B$1:$L$1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2.75"/>
  <cols>
    <col customWidth="1" min="1" max="1" width="12.75"/>
    <col customWidth="1" min="2" max="84" width="7.63"/>
  </cols>
  <sheetData>
    <row r="1">
      <c r="A1" s="136" t="s">
        <v>103</v>
      </c>
      <c r="B1" s="153">
        <v>44562.0</v>
      </c>
      <c r="C1" s="154">
        <f t="shared" ref="C1:Y1" si="1">DATE(YEAR(B1), MONTH(B1)+1, 1)</f>
        <v>44593</v>
      </c>
      <c r="D1" s="154">
        <f t="shared" si="1"/>
        <v>44621</v>
      </c>
      <c r="E1" s="154">
        <f t="shared" si="1"/>
        <v>44652</v>
      </c>
      <c r="F1" s="154">
        <f t="shared" si="1"/>
        <v>44682</v>
      </c>
      <c r="G1" s="154">
        <f t="shared" si="1"/>
        <v>44713</v>
      </c>
      <c r="H1" s="154">
        <f t="shared" si="1"/>
        <v>44743</v>
      </c>
      <c r="I1" s="154">
        <f t="shared" si="1"/>
        <v>44774</v>
      </c>
      <c r="J1" s="154">
        <f t="shared" si="1"/>
        <v>44805</v>
      </c>
      <c r="K1" s="154">
        <f t="shared" si="1"/>
        <v>44835</v>
      </c>
      <c r="L1" s="154">
        <f t="shared" si="1"/>
        <v>44866</v>
      </c>
      <c r="M1" s="154">
        <f t="shared" si="1"/>
        <v>44896</v>
      </c>
      <c r="N1" s="154">
        <f t="shared" si="1"/>
        <v>44927</v>
      </c>
      <c r="O1" s="154">
        <f t="shared" si="1"/>
        <v>44958</v>
      </c>
      <c r="P1" s="154">
        <f t="shared" si="1"/>
        <v>44986</v>
      </c>
      <c r="Q1" s="154">
        <f t="shared" si="1"/>
        <v>45017</v>
      </c>
      <c r="R1" s="154">
        <f t="shared" si="1"/>
        <v>45047</v>
      </c>
      <c r="S1" s="154">
        <f t="shared" si="1"/>
        <v>45078</v>
      </c>
      <c r="T1" s="154">
        <f t="shared" si="1"/>
        <v>45108</v>
      </c>
      <c r="U1" s="154">
        <f t="shared" si="1"/>
        <v>45139</v>
      </c>
      <c r="V1" s="154">
        <f t="shared" si="1"/>
        <v>45170</v>
      </c>
      <c r="W1" s="154">
        <f t="shared" si="1"/>
        <v>45200</v>
      </c>
      <c r="X1" s="154">
        <f t="shared" si="1"/>
        <v>45231</v>
      </c>
      <c r="Y1" s="154">
        <f t="shared" si="1"/>
        <v>45261</v>
      </c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5"/>
      <c r="AZ1" s="155"/>
      <c r="BA1" s="156"/>
      <c r="BB1" s="156"/>
      <c r="BC1" s="156"/>
      <c r="BD1" s="157"/>
      <c r="BE1" s="157"/>
      <c r="BF1" s="158"/>
      <c r="BG1" s="157"/>
      <c r="BH1" s="157"/>
      <c r="BI1" s="157"/>
      <c r="BJ1" s="157"/>
      <c r="BK1" s="157"/>
      <c r="BL1" s="157"/>
      <c r="BM1" s="157"/>
      <c r="BN1" s="158"/>
      <c r="BO1" s="158"/>
      <c r="BP1" s="158"/>
      <c r="BQ1" s="158"/>
      <c r="BR1" s="158"/>
      <c r="BS1" s="159"/>
      <c r="BT1" s="159"/>
      <c r="BU1" s="159"/>
      <c r="BV1" s="159"/>
      <c r="BW1" s="159"/>
      <c r="BX1" s="157"/>
      <c r="BY1" s="157"/>
      <c r="BZ1" s="155"/>
      <c r="CC1" s="155"/>
      <c r="CD1" s="155"/>
      <c r="CE1" s="155"/>
      <c r="CF1" s="155"/>
    </row>
    <row r="2">
      <c r="A2" s="136"/>
      <c r="B2" s="89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Y2" s="146"/>
      <c r="AZ2" s="146"/>
      <c r="BA2" s="146"/>
      <c r="BB2" s="146"/>
      <c r="BC2" s="146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146"/>
      <c r="CC2" s="146"/>
      <c r="CD2" s="146"/>
      <c r="CE2" s="146"/>
      <c r="CF2" s="146"/>
    </row>
    <row r="3">
      <c r="A3" s="136" t="s">
        <v>104</v>
      </c>
      <c r="B3" s="160">
        <f>IFERROR(__xludf.DUMMYFUNCTION("IMPORTRANGE(""https://docs.google.com/spreadsheets/d/14QNjEHU4GmPWCLJMMLbF2OEBGXX6iHnMLzuU5Hm4UOQ/edit?usp=sharing"", ""Expenses Short!""&amp;E201)"),643.95)</f>
        <v>643.95</v>
      </c>
      <c r="C3" s="160">
        <f>IFERROR(__xludf.DUMMYFUNCTION("IMPORTRANGE(""https://docs.google.com/spreadsheets/d/14QNjEHU4GmPWCLJMMLbF2OEBGXX6iHnMLzuU5Hm4UOQ/edit?usp=sharing"", ""Expenses Short!""&amp;F201)"),1022.27)</f>
        <v>1022.27</v>
      </c>
      <c r="D3" s="160">
        <f>IFERROR(__xludf.DUMMYFUNCTION("IMPORTRANGE(""https://docs.google.com/spreadsheets/d/14QNjEHU4GmPWCLJMMLbF2OEBGXX6iHnMLzuU5Hm4UOQ/edit?usp=sharing"", ""Expenses Short!""&amp;G201)"),881.95)</f>
        <v>881.95</v>
      </c>
      <c r="E3" s="160">
        <f>IFERROR(__xludf.DUMMYFUNCTION("IMPORTRANGE(""https://docs.google.com/spreadsheets/d/14QNjEHU4GmPWCLJMMLbF2OEBGXX6iHnMLzuU5Hm4UOQ/edit?usp=sharing"", ""Expenses Short!""&amp;H201)"),674.74)</f>
        <v>674.74</v>
      </c>
      <c r="F3" s="160">
        <f>IFERROR(__xludf.DUMMYFUNCTION("IMPORTRANGE(""https://docs.google.com/spreadsheets/d/14QNjEHU4GmPWCLJMMLbF2OEBGXX6iHnMLzuU5Hm4UOQ/edit?usp=sharing"", ""Expenses Short!""&amp;I201)"),860.99)</f>
        <v>860.99</v>
      </c>
      <c r="G3" s="160">
        <f>IFERROR(__xludf.DUMMYFUNCTION("IMPORTRANGE(""https://docs.google.com/spreadsheets/d/14QNjEHU4GmPWCLJMMLbF2OEBGXX6iHnMLzuU5Hm4UOQ/edit?usp=sharing"", ""Expenses Short!""&amp;J201)"),659.74)</f>
        <v>659.74</v>
      </c>
      <c r="H3" s="160">
        <f>IFERROR(__xludf.DUMMYFUNCTION("IMPORTRANGE(""https://docs.google.com/spreadsheets/d/14QNjEHU4GmPWCLJMMLbF2OEBGXX6iHnMLzuU5Hm4UOQ/edit?usp=sharing"", ""Expenses Short!""&amp;K201)"),752.95)</f>
        <v>752.95</v>
      </c>
      <c r="I3" s="160">
        <f>IFERROR(__xludf.DUMMYFUNCTION("IMPORTRANGE(""https://docs.google.com/spreadsheets/d/14QNjEHU4GmPWCLJMMLbF2OEBGXX6iHnMLzuU5Hm4UOQ/edit?usp=sharing"", ""Expenses Short!""&amp;L201)"),653.75)</f>
        <v>653.75</v>
      </c>
      <c r="J3" s="160">
        <f>IFERROR(__xludf.DUMMYFUNCTION("IMPORTRANGE(""https://docs.google.com/spreadsheets/d/14QNjEHU4GmPWCLJMMLbF2OEBGXX6iHnMLzuU5Hm4UOQ/edit?usp=sharing"", ""Expenses Short!""&amp;M201)"),742.83)</f>
        <v>742.83</v>
      </c>
      <c r="K3" s="160">
        <f>IFERROR(__xludf.DUMMYFUNCTION("IMPORTRANGE(""https://docs.google.com/spreadsheets/d/14QNjEHU4GmPWCLJMMLbF2OEBGXX6iHnMLzuU5Hm4UOQ/edit?usp=sharing"", ""Expenses Short!""&amp;N201)"),652.74)</f>
        <v>652.74</v>
      </c>
      <c r="L3" s="160">
        <f>IFERROR(__xludf.DUMMYFUNCTION("IMPORTRANGE(""https://docs.google.com/spreadsheets/d/14QNjEHU4GmPWCLJMMLbF2OEBGXX6iHnMLzuU5Hm4UOQ/edit?usp=sharing"", ""Expenses Short!""&amp;O201)"),890.6800000000001)</f>
        <v>890.68</v>
      </c>
      <c r="M3" s="160">
        <f>IFERROR(__xludf.DUMMYFUNCTION("IMPORTRANGE(""https://docs.google.com/spreadsheets/d/14QNjEHU4GmPWCLJMMLbF2OEBGXX6iHnMLzuU5Hm4UOQ/edit?usp=sharing"", ""Expenses Short!""&amp;P201)"),726.02)</f>
        <v>726.02</v>
      </c>
      <c r="N3" s="160">
        <f>IFERROR(__xludf.DUMMYFUNCTION("IMPORTRANGE(""https://docs.google.com/spreadsheets/d/1XryBLk_O1ktEJvbUdIeFlUqVhVMWKuQ3iwr0stjHxBc/edit?usp=sharing"", ""Expenses Short!""&amp;E201)"),1055.43)</f>
        <v>1055.43</v>
      </c>
      <c r="O3" s="160">
        <f>IFERROR(__xludf.DUMMYFUNCTION("IMPORTRANGE(""https://docs.google.com/spreadsheets/d/1XryBLk_O1ktEJvbUdIeFlUqVhVMWKuQ3iwr0stjHxBc/edit?usp=sharing"", ""Expenses Short!""&amp;F201)"),751.5099999999999)</f>
        <v>751.51</v>
      </c>
      <c r="P3" s="160">
        <f>IFERROR(__xludf.DUMMYFUNCTION("IMPORTRANGE(""https://docs.google.com/spreadsheets/d/1XryBLk_O1ktEJvbUdIeFlUqVhVMWKuQ3iwr0stjHxBc/edit?usp=sharing"", ""Expenses Short!""&amp;G201)"),908.79)</f>
        <v>908.79</v>
      </c>
      <c r="Q3" s="160">
        <f>IFERROR(__xludf.DUMMYFUNCTION("IMPORTRANGE(""https://docs.google.com/spreadsheets/d/1XryBLk_O1ktEJvbUdIeFlUqVhVMWKuQ3iwr0stjHxBc/edit?usp=sharing"", ""Expenses Short!""&amp;H201)"),642.89)</f>
        <v>642.89</v>
      </c>
      <c r="R3" s="160">
        <f>IFERROR(__xludf.DUMMYFUNCTION("IMPORTRANGE(""https://docs.google.com/spreadsheets/d/1XryBLk_O1ktEJvbUdIeFlUqVhVMWKuQ3iwr0stjHxBc/edit?usp=sharing"", ""Expenses Short!""&amp;I201)"),656.5999999999999)</f>
        <v>656.6</v>
      </c>
      <c r="S3" s="160">
        <f>IFERROR(__xludf.DUMMYFUNCTION("IMPORTRANGE(""https://docs.google.com/spreadsheets/d/1XryBLk_O1ktEJvbUdIeFlUqVhVMWKuQ3iwr0stjHxBc/edit?usp=sharing"", ""Expenses Short!""&amp;J201)"),1113.89)</f>
        <v>1113.89</v>
      </c>
      <c r="T3" s="160">
        <f>IFERROR(__xludf.DUMMYFUNCTION("IMPORTRANGE(""https://docs.google.com/spreadsheets/d/1XryBLk_O1ktEJvbUdIeFlUqVhVMWKuQ3iwr0stjHxBc/edit?usp=sharing"", ""Expenses Short!""&amp;K201)"),1109.48)</f>
        <v>1109.48</v>
      </c>
      <c r="U3" s="160">
        <f>IFERROR(__xludf.DUMMYFUNCTION("IMPORTRANGE(""https://docs.google.com/spreadsheets/d/1XryBLk_O1ktEJvbUdIeFlUqVhVMWKuQ3iwr0stjHxBc/edit?usp=sharing"", ""Expenses Short!""&amp;L201)"),814.94)</f>
        <v>814.94</v>
      </c>
      <c r="V3" s="160">
        <f>IFERROR(__xludf.DUMMYFUNCTION("IMPORTRANGE(""https://docs.google.com/spreadsheets/d/1XryBLk_O1ktEJvbUdIeFlUqVhVMWKuQ3iwr0stjHxBc/edit?usp=sharing"", ""Expenses Short!""&amp;M201)"),127.97)</f>
        <v>127.97</v>
      </c>
      <c r="W3" s="160">
        <f>IFERROR(__xludf.DUMMYFUNCTION("IMPORTRANGE(""https://docs.google.com/spreadsheets/d/1XryBLk_O1ktEJvbUdIeFlUqVhVMWKuQ3iwr0stjHxBc/edit?usp=sharing"", ""Expenses Short!""&amp;N201)"),139.17)</f>
        <v>139.17</v>
      </c>
      <c r="X3" s="160">
        <f>IFERROR(__xludf.DUMMYFUNCTION("IMPORTRANGE(""https://docs.google.com/spreadsheets/d/1XryBLk_O1ktEJvbUdIeFlUqVhVMWKuQ3iwr0stjHxBc/edit?usp=sharing"", ""Expenses Short!""&amp;O201)"),255.32)</f>
        <v>255.32</v>
      </c>
      <c r="Y3" s="160">
        <f>IFERROR(__xludf.DUMMYFUNCTION("IMPORTRANGE(""https://docs.google.com/spreadsheets/d/1XryBLk_O1ktEJvbUdIeFlUqVhVMWKuQ3iwr0stjHxBc/edit?usp=sharing"", ""Expenses Short!""&amp;P201)"),90.31)</f>
        <v>90.31</v>
      </c>
      <c r="Z3" s="160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2"/>
      <c r="AV3" s="162"/>
      <c r="AW3" s="162"/>
      <c r="AX3" s="162"/>
      <c r="AY3" s="162"/>
      <c r="AZ3" s="162"/>
      <c r="BA3" s="162"/>
      <c r="BB3" s="162"/>
      <c r="BC3" s="162"/>
      <c r="BD3" s="160"/>
      <c r="BE3" s="160"/>
      <c r="BF3" s="160"/>
      <c r="BG3" s="160"/>
      <c r="BH3" s="160"/>
      <c r="BI3" s="160"/>
      <c r="BJ3" s="160"/>
      <c r="BK3" s="160"/>
      <c r="BL3" s="160"/>
      <c r="BM3" s="160"/>
      <c r="BN3" s="160"/>
      <c r="BO3" s="160"/>
      <c r="BP3" s="160"/>
      <c r="BQ3" s="160"/>
      <c r="BR3" s="160"/>
      <c r="BS3" s="160"/>
      <c r="BT3" s="160"/>
      <c r="BU3" s="160"/>
      <c r="BV3" s="160"/>
      <c r="BW3" s="160"/>
      <c r="BX3" s="163"/>
      <c r="BY3" s="163"/>
      <c r="BZ3" s="164"/>
      <c r="CC3" s="164"/>
      <c r="CD3" s="164"/>
      <c r="CE3" s="164"/>
      <c r="CF3" s="164"/>
    </row>
    <row r="4">
      <c r="A4" s="136" t="s">
        <v>105</v>
      </c>
      <c r="B4" s="160">
        <f>IFERROR(__xludf.DUMMYFUNCTION("IMPORTRANGE(""https://docs.google.com/spreadsheets/d/14QNjEHU4GmPWCLJMMLbF2OEBGXX6iHnMLzuU5Hm4UOQ/edit?usp=sharing"", ""Expenses Short!""&amp;E202)"),0.0)</f>
        <v>0</v>
      </c>
      <c r="C4" s="160">
        <f>IFERROR(__xludf.DUMMYFUNCTION("IMPORTRANGE(""https://docs.google.com/spreadsheets/d/14QNjEHU4GmPWCLJMMLbF2OEBGXX6iHnMLzuU5Hm4UOQ/edit?usp=sharing"", ""Expenses Short!""&amp;F202)"),0.0)</f>
        <v>0</v>
      </c>
      <c r="D4" s="160">
        <f>IFERROR(__xludf.DUMMYFUNCTION("IMPORTRANGE(""https://docs.google.com/spreadsheets/d/14QNjEHU4GmPWCLJMMLbF2OEBGXX6iHnMLzuU5Hm4UOQ/edit?usp=sharing"", ""Expenses Short!""&amp;G202)"),30.0)</f>
        <v>30</v>
      </c>
      <c r="E4" s="160">
        <f>IFERROR(__xludf.DUMMYFUNCTION("IMPORTRANGE(""https://docs.google.com/spreadsheets/d/14QNjEHU4GmPWCLJMMLbF2OEBGXX6iHnMLzuU5Hm4UOQ/edit?usp=sharing"", ""Expenses Short!""&amp;H202)"),19.8)</f>
        <v>19.8</v>
      </c>
      <c r="F4" s="160">
        <f>IFERROR(__xludf.DUMMYFUNCTION("IMPORTRANGE(""https://docs.google.com/spreadsheets/d/14QNjEHU4GmPWCLJMMLbF2OEBGXX6iHnMLzuU5Hm4UOQ/edit?usp=sharing"", ""Expenses Short!""&amp;I202)"),0.0)</f>
        <v>0</v>
      </c>
      <c r="G4" s="160">
        <f>IFERROR(__xludf.DUMMYFUNCTION("IMPORTRANGE(""https://docs.google.com/spreadsheets/d/14QNjEHU4GmPWCLJMMLbF2OEBGXX6iHnMLzuU5Hm4UOQ/edit?usp=sharing"", ""Expenses Short!""&amp;J202)"),0.0)</f>
        <v>0</v>
      </c>
      <c r="H4" s="160">
        <f>IFERROR(__xludf.DUMMYFUNCTION("IMPORTRANGE(""https://docs.google.com/spreadsheets/d/14QNjEHU4GmPWCLJMMLbF2OEBGXX6iHnMLzuU5Hm4UOQ/edit?usp=sharing"", ""Expenses Short!""&amp;K202)"),0.0)</f>
        <v>0</v>
      </c>
      <c r="I4" s="160">
        <f>IFERROR(__xludf.DUMMYFUNCTION("IMPORTRANGE(""https://docs.google.com/spreadsheets/d/14QNjEHU4GmPWCLJMMLbF2OEBGXX6iHnMLzuU5Hm4UOQ/edit?usp=sharing"", ""Expenses Short!""&amp;L202)"),0.0)</f>
        <v>0</v>
      </c>
      <c r="J4" s="160">
        <f>IFERROR(__xludf.DUMMYFUNCTION("IMPORTRANGE(""https://docs.google.com/spreadsheets/d/14QNjEHU4GmPWCLJMMLbF2OEBGXX6iHnMLzuU5Hm4UOQ/edit?usp=sharing"", ""Expenses Short!""&amp;M202)"),0.0)</f>
        <v>0</v>
      </c>
      <c r="K4" s="160">
        <f>IFERROR(__xludf.DUMMYFUNCTION("IMPORTRANGE(""https://docs.google.com/spreadsheets/d/14QNjEHU4GmPWCLJMMLbF2OEBGXX6iHnMLzuU5Hm4UOQ/edit?usp=sharing"", ""Expenses Short!""&amp;N202)"),0.0)</f>
        <v>0</v>
      </c>
      <c r="L4" s="160">
        <f>IFERROR(__xludf.DUMMYFUNCTION("IMPORTRANGE(""https://docs.google.com/spreadsheets/d/14QNjEHU4GmPWCLJMMLbF2OEBGXX6iHnMLzuU5Hm4UOQ/edit?usp=sharing"", ""Expenses Short!""&amp;O202)"),0.0)</f>
        <v>0</v>
      </c>
      <c r="M4" s="160">
        <f>IFERROR(__xludf.DUMMYFUNCTION("IMPORTRANGE(""https://docs.google.com/spreadsheets/d/14QNjEHU4GmPWCLJMMLbF2OEBGXX6iHnMLzuU5Hm4UOQ/edit?usp=sharing"", ""Expenses Short!""&amp;P202)"),0.0)</f>
        <v>0</v>
      </c>
      <c r="N4" s="160">
        <f>IFERROR(__xludf.DUMMYFUNCTION("IMPORTRANGE(""https://docs.google.com/spreadsheets/d/1XryBLk_O1ktEJvbUdIeFlUqVhVMWKuQ3iwr0stjHxBc/edit?usp=sharing"", ""Expenses Short!""&amp;E202)"),0.0)</f>
        <v>0</v>
      </c>
      <c r="O4" s="160">
        <f>IFERROR(__xludf.DUMMYFUNCTION("IMPORTRANGE(""https://docs.google.com/spreadsheets/d/1XryBLk_O1ktEJvbUdIeFlUqVhVMWKuQ3iwr0stjHxBc/edit?usp=sharing"", ""Expenses Short!""&amp;F202)"),0.0)</f>
        <v>0</v>
      </c>
      <c r="P4" s="160">
        <f>IFERROR(__xludf.DUMMYFUNCTION("IMPORTRANGE(""https://docs.google.com/spreadsheets/d/1XryBLk_O1ktEJvbUdIeFlUqVhVMWKuQ3iwr0stjHxBc/edit?usp=sharing"", ""Expenses Short!""&amp;G202)"),0.0)</f>
        <v>0</v>
      </c>
      <c r="Q4" s="160">
        <f>IFERROR(__xludf.DUMMYFUNCTION("IMPORTRANGE(""https://docs.google.com/spreadsheets/d/1XryBLk_O1ktEJvbUdIeFlUqVhVMWKuQ3iwr0stjHxBc/edit?usp=sharing"", ""Expenses Short!""&amp;H202)"),0.0)</f>
        <v>0</v>
      </c>
      <c r="R4" s="160">
        <f>IFERROR(__xludf.DUMMYFUNCTION("IMPORTRANGE(""https://docs.google.com/spreadsheets/d/1XryBLk_O1ktEJvbUdIeFlUqVhVMWKuQ3iwr0stjHxBc/edit?usp=sharing"", ""Expenses Short!""&amp;I202)"),41.0)</f>
        <v>41</v>
      </c>
      <c r="S4" s="160">
        <f>IFERROR(__xludf.DUMMYFUNCTION("IMPORTRANGE(""https://docs.google.com/spreadsheets/d/1XryBLk_O1ktEJvbUdIeFlUqVhVMWKuQ3iwr0stjHxBc/edit?usp=sharing"", ""Expenses Short!""&amp;J202)"),0.0)</f>
        <v>0</v>
      </c>
      <c r="T4" s="160">
        <f>IFERROR(__xludf.DUMMYFUNCTION("IMPORTRANGE(""https://docs.google.com/spreadsheets/d/1XryBLk_O1ktEJvbUdIeFlUqVhVMWKuQ3iwr0stjHxBc/edit?usp=sharing"", ""Expenses Short!""&amp;K202)"),60.0)</f>
        <v>60</v>
      </c>
      <c r="U4" s="160">
        <f>IFERROR(__xludf.DUMMYFUNCTION("IMPORTRANGE(""https://docs.google.com/spreadsheets/d/1XryBLk_O1ktEJvbUdIeFlUqVhVMWKuQ3iwr0stjHxBc/edit?usp=sharing"", ""Expenses Short!""&amp;L202)"),7.0)</f>
        <v>7</v>
      </c>
      <c r="V4" s="160">
        <f>IFERROR(__xludf.DUMMYFUNCTION("IMPORTRANGE(""https://docs.google.com/spreadsheets/d/1XryBLk_O1ktEJvbUdIeFlUqVhVMWKuQ3iwr0stjHxBc/edit?usp=sharing"", ""Expenses Short!""&amp;M202)"),300.0)</f>
        <v>300</v>
      </c>
      <c r="W4" s="160">
        <f>IFERROR(__xludf.DUMMYFUNCTION("IMPORTRANGE(""https://docs.google.com/spreadsheets/d/1XryBLk_O1ktEJvbUdIeFlUqVhVMWKuQ3iwr0stjHxBc/edit?usp=sharing"", ""Expenses Short!""&amp;N202)"),175.49)</f>
        <v>175.49</v>
      </c>
      <c r="X4" s="160">
        <f>IFERROR(__xludf.DUMMYFUNCTION("IMPORTRANGE(""https://docs.google.com/spreadsheets/d/1XryBLk_O1ktEJvbUdIeFlUqVhVMWKuQ3iwr0stjHxBc/edit?usp=sharing"", ""Expenses Short!""&amp;O202)"),218.0)</f>
        <v>218</v>
      </c>
      <c r="Y4" s="160">
        <f>IFERROR(__xludf.DUMMYFUNCTION("IMPORTRANGE(""https://docs.google.com/spreadsheets/d/1XryBLk_O1ktEJvbUdIeFlUqVhVMWKuQ3iwr0stjHxBc/edit?usp=sharing"", ""Expenses Short!""&amp;P202)"),25.490000000000002)</f>
        <v>25.49</v>
      </c>
      <c r="Z4" s="160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  <c r="AU4" s="165"/>
      <c r="AV4" s="165"/>
      <c r="AW4" s="165"/>
      <c r="AX4" s="162"/>
      <c r="AY4" s="165"/>
      <c r="AZ4" s="165"/>
      <c r="BA4" s="165"/>
      <c r="BB4" s="165"/>
      <c r="BC4" s="165"/>
      <c r="BD4" s="166"/>
      <c r="BE4" s="166"/>
      <c r="BF4" s="166"/>
      <c r="BG4" s="166"/>
      <c r="BH4" s="166"/>
      <c r="BI4" s="166"/>
      <c r="BJ4" s="166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27"/>
      <c r="BY4" s="127"/>
      <c r="BZ4" s="148"/>
      <c r="CC4" s="148"/>
      <c r="CD4" s="148"/>
      <c r="CE4" s="148"/>
      <c r="CF4" s="148"/>
    </row>
    <row r="5">
      <c r="A5" s="136" t="s">
        <v>106</v>
      </c>
      <c r="B5" s="160">
        <f>IFERROR(__xludf.DUMMYFUNCTION("IMPORTRANGE(""https://docs.google.com/spreadsheets/d/14QNjEHU4GmPWCLJMMLbF2OEBGXX6iHnMLzuU5Hm4UOQ/edit?usp=sharing"", ""Expenses Short!""&amp;E203)"),127.62)</f>
        <v>127.62</v>
      </c>
      <c r="C5" s="160">
        <f>IFERROR(__xludf.DUMMYFUNCTION("IMPORTRANGE(""https://docs.google.com/spreadsheets/d/14QNjEHU4GmPWCLJMMLbF2OEBGXX6iHnMLzuU5Hm4UOQ/edit?usp=sharing"", ""Expenses Short!""&amp;F203)"),122.81)</f>
        <v>122.81</v>
      </c>
      <c r="D5" s="160">
        <f>IFERROR(__xludf.DUMMYFUNCTION("IMPORTRANGE(""https://docs.google.com/spreadsheets/d/14QNjEHU4GmPWCLJMMLbF2OEBGXX6iHnMLzuU5Hm4UOQ/edit?usp=sharing"", ""Expenses Short!""&amp;G203)"),185.05)</f>
        <v>185.05</v>
      </c>
      <c r="E5" s="160">
        <f>IFERROR(__xludf.DUMMYFUNCTION("IMPORTRANGE(""https://docs.google.com/spreadsheets/d/14QNjEHU4GmPWCLJMMLbF2OEBGXX6iHnMLzuU5Hm4UOQ/edit?usp=sharing"", ""Expenses Short!""&amp;H203)"),94.02)</f>
        <v>94.02</v>
      </c>
      <c r="F5" s="160">
        <f>IFERROR(__xludf.DUMMYFUNCTION("IMPORTRANGE(""https://docs.google.com/spreadsheets/d/14QNjEHU4GmPWCLJMMLbF2OEBGXX6iHnMLzuU5Hm4UOQ/edit?usp=sharing"", ""Expenses Short!""&amp;I203)"),71.62)</f>
        <v>71.62</v>
      </c>
      <c r="G5" s="160">
        <f>IFERROR(__xludf.DUMMYFUNCTION("IMPORTRANGE(""https://docs.google.com/spreadsheets/d/14QNjEHU4GmPWCLJMMLbF2OEBGXX6iHnMLzuU5Hm4UOQ/edit?usp=sharing"", ""Expenses Short!""&amp;J203)"),6.05)</f>
        <v>6.05</v>
      </c>
      <c r="H5" s="160">
        <f>IFERROR(__xludf.DUMMYFUNCTION("IMPORTRANGE(""https://docs.google.com/spreadsheets/d/14QNjEHU4GmPWCLJMMLbF2OEBGXX6iHnMLzuU5Hm4UOQ/edit?usp=sharing"", ""Expenses Short!""&amp;K203)"),7.47)</f>
        <v>7.47</v>
      </c>
      <c r="I5" s="160">
        <f>IFERROR(__xludf.DUMMYFUNCTION("IMPORTRANGE(""https://docs.google.com/spreadsheets/d/14QNjEHU4GmPWCLJMMLbF2OEBGXX6iHnMLzuU5Hm4UOQ/edit?usp=sharing"", ""Expenses Short!""&amp;L203)"),8.17)</f>
        <v>8.17</v>
      </c>
      <c r="J5" s="160">
        <f>IFERROR(__xludf.DUMMYFUNCTION("IMPORTRANGE(""https://docs.google.com/spreadsheets/d/14QNjEHU4GmPWCLJMMLbF2OEBGXX6iHnMLzuU5Hm4UOQ/edit?usp=sharing"", ""Expenses Short!""&amp;M203)"),28.689999999999998)</f>
        <v>28.69</v>
      </c>
      <c r="K5" s="160">
        <f>IFERROR(__xludf.DUMMYFUNCTION("IMPORTRANGE(""https://docs.google.com/spreadsheets/d/14QNjEHU4GmPWCLJMMLbF2OEBGXX6iHnMLzuU5Hm4UOQ/edit?usp=sharing"", ""Expenses Short!""&amp;N203)"),17.71)</f>
        <v>17.71</v>
      </c>
      <c r="L5" s="160">
        <f>IFERROR(__xludf.DUMMYFUNCTION("IMPORTRANGE(""https://docs.google.com/spreadsheets/d/14QNjEHU4GmPWCLJMMLbF2OEBGXX6iHnMLzuU5Hm4UOQ/edit?usp=sharing"", ""Expenses Short!""&amp;O203)"),74.83)</f>
        <v>74.83</v>
      </c>
      <c r="M5" s="160">
        <f>IFERROR(__xludf.DUMMYFUNCTION("IMPORTRANGE(""https://docs.google.com/spreadsheets/d/14QNjEHU4GmPWCLJMMLbF2OEBGXX6iHnMLzuU5Hm4UOQ/edit?usp=sharing"", ""Expenses Short!""&amp;P203)"),178.88)</f>
        <v>178.88</v>
      </c>
      <c r="N5" s="160">
        <f>IFERROR(__xludf.DUMMYFUNCTION("IMPORTRANGE(""https://docs.google.com/spreadsheets/d/1XryBLk_O1ktEJvbUdIeFlUqVhVMWKuQ3iwr0stjHxBc/edit?usp=sharing"", ""Expenses Short!""&amp;E203)"),67.23)</f>
        <v>67.23</v>
      </c>
      <c r="O5" s="160">
        <f>IFERROR(__xludf.DUMMYFUNCTION("IMPORTRANGE(""https://docs.google.com/spreadsheets/d/1XryBLk_O1ktEJvbUdIeFlUqVhVMWKuQ3iwr0stjHxBc/edit?usp=sharing"", ""Expenses Short!""&amp;F203)"),65.96000000000001)</f>
        <v>65.96</v>
      </c>
      <c r="P5" s="160">
        <f>IFERROR(__xludf.DUMMYFUNCTION("IMPORTRANGE(""https://docs.google.com/spreadsheets/d/1XryBLk_O1ktEJvbUdIeFlUqVhVMWKuQ3iwr0stjHxBc/edit?usp=sharing"", ""Expenses Short!""&amp;G203)"),85.01)</f>
        <v>85.01</v>
      </c>
      <c r="Q5" s="160">
        <f>IFERROR(__xludf.DUMMYFUNCTION("IMPORTRANGE(""https://docs.google.com/spreadsheets/d/1XryBLk_O1ktEJvbUdIeFlUqVhVMWKuQ3iwr0stjHxBc/edit?usp=sharing"", ""Expenses Short!""&amp;H203)"),36.870000000000005)</f>
        <v>36.87</v>
      </c>
      <c r="R5" s="160">
        <f>IFERROR(__xludf.DUMMYFUNCTION("IMPORTRANGE(""https://docs.google.com/spreadsheets/d/1XryBLk_O1ktEJvbUdIeFlUqVhVMWKuQ3iwr0stjHxBc/edit?usp=sharing"", ""Expenses Short!""&amp;I203)"),57.6)</f>
        <v>57.6</v>
      </c>
      <c r="S5" s="160">
        <f>IFERROR(__xludf.DUMMYFUNCTION("IMPORTRANGE(""https://docs.google.com/spreadsheets/d/1XryBLk_O1ktEJvbUdIeFlUqVhVMWKuQ3iwr0stjHxBc/edit?usp=sharing"", ""Expenses Short!""&amp;J203)"),123.67)</f>
        <v>123.67</v>
      </c>
      <c r="T5" s="160">
        <f>IFERROR(__xludf.DUMMYFUNCTION("IMPORTRANGE(""https://docs.google.com/spreadsheets/d/1XryBLk_O1ktEJvbUdIeFlUqVhVMWKuQ3iwr0stjHxBc/edit?usp=sharing"", ""Expenses Short!""&amp;K203)"),7.64)</f>
        <v>7.64</v>
      </c>
      <c r="U5" s="160">
        <f>IFERROR(__xludf.DUMMYFUNCTION("IMPORTRANGE(""https://docs.google.com/spreadsheets/d/1XryBLk_O1ktEJvbUdIeFlUqVhVMWKuQ3iwr0stjHxBc/edit?usp=sharing"", ""Expenses Short!""&amp;L203)"),2.96)</f>
        <v>2.96</v>
      </c>
      <c r="V5" s="160">
        <f>IFERROR(__xludf.DUMMYFUNCTION("IMPORTRANGE(""https://docs.google.com/spreadsheets/d/1XryBLk_O1ktEJvbUdIeFlUqVhVMWKuQ3iwr0stjHxBc/edit?usp=sharing"", ""Expenses Short!""&amp;M203)"),61.17)</f>
        <v>61.17</v>
      </c>
      <c r="W5" s="160">
        <f>IFERROR(__xludf.DUMMYFUNCTION("IMPORTRANGE(""https://docs.google.com/spreadsheets/d/1XryBLk_O1ktEJvbUdIeFlUqVhVMWKuQ3iwr0stjHxBc/edit?usp=sharing"", ""Expenses Short!""&amp;N203)"),134.03)</f>
        <v>134.03</v>
      </c>
      <c r="X5" s="160">
        <f>IFERROR(__xludf.DUMMYFUNCTION("IMPORTRANGE(""https://docs.google.com/spreadsheets/d/1XryBLk_O1ktEJvbUdIeFlUqVhVMWKuQ3iwr0stjHxBc/edit?usp=sharing"", ""Expenses Short!""&amp;O203)"),0.0)</f>
        <v>0</v>
      </c>
      <c r="Y5" s="160">
        <f>IFERROR(__xludf.DUMMYFUNCTION("IMPORTRANGE(""https://docs.google.com/spreadsheets/d/1XryBLk_O1ktEJvbUdIeFlUqVhVMWKuQ3iwr0stjHxBc/edit?usp=sharing"", ""Expenses Short!""&amp;P203)"),102.89000000000001)</f>
        <v>102.89</v>
      </c>
      <c r="Z5" s="160"/>
      <c r="AM5" s="161"/>
      <c r="AN5" s="161"/>
      <c r="AO5" s="161"/>
      <c r="AP5" s="161"/>
      <c r="AQ5" s="161"/>
      <c r="AR5" s="161"/>
      <c r="AS5" s="161"/>
      <c r="AT5" s="161"/>
      <c r="AU5" s="162"/>
      <c r="AV5" s="162"/>
      <c r="AW5" s="162"/>
      <c r="AX5" s="162"/>
      <c r="AY5" s="162"/>
      <c r="AZ5" s="162"/>
      <c r="BA5" s="162"/>
      <c r="BB5" s="162"/>
      <c r="BC5" s="162"/>
      <c r="BD5" s="166"/>
      <c r="BE5" s="166"/>
      <c r="BF5" s="166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3"/>
      <c r="BY5" s="163"/>
      <c r="BZ5" s="164"/>
      <c r="CC5" s="164"/>
      <c r="CD5" s="164"/>
      <c r="CE5" s="164"/>
      <c r="CF5" s="164"/>
    </row>
    <row r="6">
      <c r="A6" s="136" t="s">
        <v>107</v>
      </c>
      <c r="B6" s="160">
        <f>IFERROR(__xludf.DUMMYFUNCTION("IMPORTRANGE(""https://docs.google.com/spreadsheets/d/14QNjEHU4GmPWCLJMMLbF2OEBGXX6iHnMLzuU5Hm4UOQ/edit?usp=sharing"", ""Expenses Short!""&amp;E204)"),96.9)</f>
        <v>96.9</v>
      </c>
      <c r="C6" s="160">
        <f>IFERROR(__xludf.DUMMYFUNCTION("IMPORTRANGE(""https://docs.google.com/spreadsheets/d/14QNjEHU4GmPWCLJMMLbF2OEBGXX6iHnMLzuU5Hm4UOQ/edit?usp=sharing"", ""Expenses Short!""&amp;F204)"),499.67)</f>
        <v>499.67</v>
      </c>
      <c r="D6" s="160">
        <f>IFERROR(__xludf.DUMMYFUNCTION("IMPORTRANGE(""https://docs.google.com/spreadsheets/d/14QNjEHU4GmPWCLJMMLbF2OEBGXX6iHnMLzuU5Hm4UOQ/edit?usp=sharing"", ""Expenses Short!""&amp;G204)"),37.6)</f>
        <v>37.6</v>
      </c>
      <c r="E6" s="160">
        <f>IFERROR(__xludf.DUMMYFUNCTION("IMPORTRANGE(""https://docs.google.com/spreadsheets/d/14QNjEHU4GmPWCLJMMLbF2OEBGXX6iHnMLzuU5Hm4UOQ/edit?usp=sharing"", ""Expenses Short!""&amp;H204)"),78.4)</f>
        <v>78.4</v>
      </c>
      <c r="F6" s="160">
        <f>IFERROR(__xludf.DUMMYFUNCTION("IMPORTRANGE(""https://docs.google.com/spreadsheets/d/14QNjEHU4GmPWCLJMMLbF2OEBGXX6iHnMLzuU5Hm4UOQ/edit?usp=sharing"", ""Expenses Short!""&amp;I204)"),176.98)</f>
        <v>176.98</v>
      </c>
      <c r="G6" s="160">
        <f>IFERROR(__xludf.DUMMYFUNCTION("IMPORTRANGE(""https://docs.google.com/spreadsheets/d/14QNjEHU4GmPWCLJMMLbF2OEBGXX6iHnMLzuU5Hm4UOQ/edit?usp=sharing"", ""Expenses Short!""&amp;J204)"),205.28000000000003)</f>
        <v>205.28</v>
      </c>
      <c r="H6" s="160">
        <f>IFERROR(__xludf.DUMMYFUNCTION("IMPORTRANGE(""https://docs.google.com/spreadsheets/d/14QNjEHU4GmPWCLJMMLbF2OEBGXX6iHnMLzuU5Hm4UOQ/edit?usp=sharing"", ""Expenses Short!""&amp;K204)"),76.30000000000001)</f>
        <v>76.3</v>
      </c>
      <c r="I6" s="160">
        <f>IFERROR(__xludf.DUMMYFUNCTION("IMPORTRANGE(""https://docs.google.com/spreadsheets/d/14QNjEHU4GmPWCLJMMLbF2OEBGXX6iHnMLzuU5Hm4UOQ/edit?usp=sharing"", ""Expenses Short!""&amp;L204)"),100.1)</f>
        <v>100.1</v>
      </c>
      <c r="J6" s="160">
        <f>IFERROR(__xludf.DUMMYFUNCTION("IMPORTRANGE(""https://docs.google.com/spreadsheets/d/14QNjEHU4GmPWCLJMMLbF2OEBGXX6iHnMLzuU5Hm4UOQ/edit?usp=sharing"", ""Expenses Short!""&amp;M204)"),241.99)</f>
        <v>241.99</v>
      </c>
      <c r="K6" s="160">
        <f>IFERROR(__xludf.DUMMYFUNCTION("IMPORTRANGE(""https://docs.google.com/spreadsheets/d/14QNjEHU4GmPWCLJMMLbF2OEBGXX6iHnMLzuU5Hm4UOQ/edit?usp=sharing"", ""Expenses Short!""&amp;N204)"),124.6)</f>
        <v>124.6</v>
      </c>
      <c r="L6" s="160">
        <f>IFERROR(__xludf.DUMMYFUNCTION("IMPORTRANGE(""https://docs.google.com/spreadsheets/d/14QNjEHU4GmPWCLJMMLbF2OEBGXX6iHnMLzuU5Hm4UOQ/edit?usp=sharing"", ""Expenses Short!""&amp;O204)"),197.02)</f>
        <v>197.02</v>
      </c>
      <c r="M6" s="160">
        <f>IFERROR(__xludf.DUMMYFUNCTION("IMPORTRANGE(""https://docs.google.com/spreadsheets/d/14QNjEHU4GmPWCLJMMLbF2OEBGXX6iHnMLzuU5Hm4UOQ/edit?usp=sharing"", ""Expenses Short!""&amp;P204)"),98.44999999999999)</f>
        <v>98.45</v>
      </c>
      <c r="N6" s="160">
        <f>IFERROR(__xludf.DUMMYFUNCTION("IMPORTRANGE(""https://docs.google.com/spreadsheets/d/1XryBLk_O1ktEJvbUdIeFlUqVhVMWKuQ3iwr0stjHxBc/edit?usp=sharing"", ""Expenses Short!""&amp;E204)"),119.4)</f>
        <v>119.4</v>
      </c>
      <c r="O6" s="160">
        <f>IFERROR(__xludf.DUMMYFUNCTION("IMPORTRANGE(""https://docs.google.com/spreadsheets/d/1XryBLk_O1ktEJvbUdIeFlUqVhVMWKuQ3iwr0stjHxBc/edit?usp=sharing"", ""Expenses Short!""&amp;F204)"),126.89999999999999)</f>
        <v>126.9</v>
      </c>
      <c r="P6" s="160">
        <f>IFERROR(__xludf.DUMMYFUNCTION("IMPORTRANGE(""https://docs.google.com/spreadsheets/d/1XryBLk_O1ktEJvbUdIeFlUqVhVMWKuQ3iwr0stjHxBc/edit?usp=sharing"", ""Expenses Short!""&amp;G204)"),124.3)</f>
        <v>124.3</v>
      </c>
      <c r="Q6" s="160">
        <f>IFERROR(__xludf.DUMMYFUNCTION("IMPORTRANGE(""https://docs.google.com/spreadsheets/d/1XryBLk_O1ktEJvbUdIeFlUqVhVMWKuQ3iwr0stjHxBc/edit?usp=sharing"", ""Expenses Short!""&amp;H204)"),192.98000000000002)</f>
        <v>192.98</v>
      </c>
      <c r="R6" s="160">
        <f>IFERROR(__xludf.DUMMYFUNCTION("IMPORTRANGE(""https://docs.google.com/spreadsheets/d/1XryBLk_O1ktEJvbUdIeFlUqVhVMWKuQ3iwr0stjHxBc/edit?usp=sharing"", ""Expenses Short!""&amp;I204)"),180.35000000000002)</f>
        <v>180.35</v>
      </c>
      <c r="S6" s="160">
        <f>IFERROR(__xludf.DUMMYFUNCTION("IMPORTRANGE(""https://docs.google.com/spreadsheets/d/1XryBLk_O1ktEJvbUdIeFlUqVhVMWKuQ3iwr0stjHxBc/edit?usp=sharing"", ""Expenses Short!""&amp;J204)"),94.55)</f>
        <v>94.55</v>
      </c>
      <c r="T6" s="160">
        <f>IFERROR(__xludf.DUMMYFUNCTION("IMPORTRANGE(""https://docs.google.com/spreadsheets/d/1XryBLk_O1ktEJvbUdIeFlUqVhVMWKuQ3iwr0stjHxBc/edit?usp=sharing"", ""Expenses Short!""&amp;K204)"),106.65000000000003)</f>
        <v>106.65</v>
      </c>
      <c r="U6" s="160">
        <f>IFERROR(__xludf.DUMMYFUNCTION("IMPORTRANGE(""https://docs.google.com/spreadsheets/d/1XryBLk_O1ktEJvbUdIeFlUqVhVMWKuQ3iwr0stjHxBc/edit?usp=sharing"", ""Expenses Short!""&amp;L204)"),211.09999999999988)</f>
        <v>211.1</v>
      </c>
      <c r="V6" s="160">
        <f>IFERROR(__xludf.DUMMYFUNCTION("IMPORTRANGE(""https://docs.google.com/spreadsheets/d/1XryBLk_O1ktEJvbUdIeFlUqVhVMWKuQ3iwr0stjHxBc/edit?usp=sharing"", ""Expenses Short!""&amp;M204)"),274.90999999999997)</f>
        <v>274.91</v>
      </c>
      <c r="W6" s="160">
        <f>IFERROR(__xludf.DUMMYFUNCTION("IMPORTRANGE(""https://docs.google.com/spreadsheets/d/1XryBLk_O1ktEJvbUdIeFlUqVhVMWKuQ3iwr0stjHxBc/edit?usp=sharing"", ""Expenses Short!""&amp;N204)"),118.0)</f>
        <v>118</v>
      </c>
      <c r="X6" s="160">
        <f>IFERROR(__xludf.DUMMYFUNCTION("IMPORTRANGE(""https://docs.google.com/spreadsheets/d/1XryBLk_O1ktEJvbUdIeFlUqVhVMWKuQ3iwr0stjHxBc/edit?usp=sharing"", ""Expenses Short!""&amp;O204)"),109.0)</f>
        <v>109</v>
      </c>
      <c r="Y6" s="160">
        <f>IFERROR(__xludf.DUMMYFUNCTION("IMPORTRANGE(""https://docs.google.com/spreadsheets/d/1XryBLk_O1ktEJvbUdIeFlUqVhVMWKuQ3iwr0stjHxBc/edit?usp=sharing"", ""Expenses Short!""&amp;P204)"),110.81)</f>
        <v>110.81</v>
      </c>
      <c r="Z6" s="160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5"/>
      <c r="AV6" s="165"/>
      <c r="AW6" s="165"/>
      <c r="AX6" s="165"/>
      <c r="AY6" s="165"/>
      <c r="AZ6" s="165"/>
      <c r="BA6" s="161"/>
      <c r="BB6" s="161"/>
      <c r="BC6" s="161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160"/>
      <c r="BT6" s="160"/>
      <c r="BU6" s="160"/>
      <c r="BV6" s="160"/>
      <c r="BW6" s="160"/>
      <c r="BX6" s="163"/>
      <c r="BY6" s="163"/>
      <c r="BZ6" s="148"/>
      <c r="CC6" s="148"/>
      <c r="CD6" s="148"/>
      <c r="CE6" s="148"/>
      <c r="CF6" s="148"/>
    </row>
    <row r="7">
      <c r="A7" s="136" t="s">
        <v>108</v>
      </c>
      <c r="B7" s="160">
        <f>IFERROR(__xludf.DUMMYFUNCTION("IMPORTRANGE(""https://docs.google.com/spreadsheets/d/14QNjEHU4GmPWCLJMMLbF2OEBGXX6iHnMLzuU5Hm4UOQ/edit?usp=sharing"", ""Expenses Short!""&amp;E205)"),536.78)</f>
        <v>536.78</v>
      </c>
      <c r="C7" s="160">
        <f>IFERROR(__xludf.DUMMYFUNCTION("IMPORTRANGE(""https://docs.google.com/spreadsheets/d/14QNjEHU4GmPWCLJMMLbF2OEBGXX6iHnMLzuU5Hm4UOQ/edit?usp=sharing"", ""Expenses Short!""&amp;F205)"),402.53000000000003)</f>
        <v>402.53</v>
      </c>
      <c r="D7" s="160">
        <f>IFERROR(__xludf.DUMMYFUNCTION("IMPORTRANGE(""https://docs.google.com/spreadsheets/d/14QNjEHU4GmPWCLJMMLbF2OEBGXX6iHnMLzuU5Hm4UOQ/edit?usp=sharing"", ""Expenses Short!""&amp;G205)"),318.74)</f>
        <v>318.74</v>
      </c>
      <c r="E7" s="160">
        <f>IFERROR(__xludf.DUMMYFUNCTION("IMPORTRANGE(""https://docs.google.com/spreadsheets/d/14QNjEHU4GmPWCLJMMLbF2OEBGXX6iHnMLzuU5Hm4UOQ/edit?usp=sharing"", ""Expenses Short!""&amp;H205)"),253.74)</f>
        <v>253.74</v>
      </c>
      <c r="F7" s="160">
        <f>IFERROR(__xludf.DUMMYFUNCTION("IMPORTRANGE(""https://docs.google.com/spreadsheets/d/14QNjEHU4GmPWCLJMMLbF2OEBGXX6iHnMLzuU5Hm4UOQ/edit?usp=sharing"", ""Expenses Short!""&amp;I205)"),468.59000000000003)</f>
        <v>468.59</v>
      </c>
      <c r="G7" s="160">
        <f>IFERROR(__xludf.DUMMYFUNCTION("IMPORTRANGE(""https://docs.google.com/spreadsheets/d/14QNjEHU4GmPWCLJMMLbF2OEBGXX6iHnMLzuU5Hm4UOQ/edit?usp=sharing"", ""Expenses Short!""&amp;J205)"),458.02)</f>
        <v>458.02</v>
      </c>
      <c r="H7" s="160">
        <f>IFERROR(__xludf.DUMMYFUNCTION("IMPORTRANGE(""https://docs.google.com/spreadsheets/d/14QNjEHU4GmPWCLJMMLbF2OEBGXX6iHnMLzuU5Hm4UOQ/edit?usp=sharing"", ""Expenses Short!""&amp;K205)"),305.97)</f>
        <v>305.97</v>
      </c>
      <c r="I7" s="160">
        <f>IFERROR(__xludf.DUMMYFUNCTION("IMPORTRANGE(""https://docs.google.com/spreadsheets/d/14QNjEHU4GmPWCLJMMLbF2OEBGXX6iHnMLzuU5Hm4UOQ/edit?usp=sharing"", ""Expenses Short!""&amp;L205)"),311.76)</f>
        <v>311.76</v>
      </c>
      <c r="J7" s="160">
        <f>IFERROR(__xludf.DUMMYFUNCTION("IMPORTRANGE(""https://docs.google.com/spreadsheets/d/14QNjEHU4GmPWCLJMMLbF2OEBGXX6iHnMLzuU5Hm4UOQ/edit?usp=sharing"", ""Expenses Short!""&amp;M205)"),591.9599999999999)</f>
        <v>591.96</v>
      </c>
      <c r="K7" s="160">
        <f>IFERROR(__xludf.DUMMYFUNCTION("IMPORTRANGE(""https://docs.google.com/spreadsheets/d/14QNjEHU4GmPWCLJMMLbF2OEBGXX6iHnMLzuU5Hm4UOQ/edit?usp=sharing"", ""Expenses Short!""&amp;N205)"),509.7899999999999)</f>
        <v>509.79</v>
      </c>
      <c r="L7" s="160">
        <f>IFERROR(__xludf.DUMMYFUNCTION("IMPORTRANGE(""https://docs.google.com/spreadsheets/d/14QNjEHU4GmPWCLJMMLbF2OEBGXX6iHnMLzuU5Hm4UOQ/edit?usp=sharing"", ""Expenses Short!""&amp;O205)"),437.38999999999993)</f>
        <v>437.39</v>
      </c>
      <c r="M7" s="160">
        <f>IFERROR(__xludf.DUMMYFUNCTION("IMPORTRANGE(""https://docs.google.com/spreadsheets/d/14QNjEHU4GmPWCLJMMLbF2OEBGXX6iHnMLzuU5Hm4UOQ/edit?usp=sharing"", ""Expenses Short!""&amp;P205)"),372.16999999999996)</f>
        <v>372.17</v>
      </c>
      <c r="N7" s="160">
        <f>IFERROR(__xludf.DUMMYFUNCTION("IMPORTRANGE(""https://docs.google.com/spreadsheets/d/1XryBLk_O1ktEJvbUdIeFlUqVhVMWKuQ3iwr0stjHxBc/edit?usp=sharing"", ""Expenses Short!""&amp;E205)"),273.74000000000007)</f>
        <v>273.74</v>
      </c>
      <c r="O7" s="160">
        <f>IFERROR(__xludf.DUMMYFUNCTION("IMPORTRANGE(""https://docs.google.com/spreadsheets/d/1XryBLk_O1ktEJvbUdIeFlUqVhVMWKuQ3iwr0stjHxBc/edit?usp=sharing"", ""Expenses Short!""&amp;F205)"),358.78000000000003)</f>
        <v>358.78</v>
      </c>
      <c r="P7" s="160">
        <f>IFERROR(__xludf.DUMMYFUNCTION("IMPORTRANGE(""https://docs.google.com/spreadsheets/d/1XryBLk_O1ktEJvbUdIeFlUqVhVMWKuQ3iwr0stjHxBc/edit?usp=sharing"", ""Expenses Short!""&amp;G205)"),394.15999999999997)</f>
        <v>394.16</v>
      </c>
      <c r="Q7" s="160">
        <f>IFERROR(__xludf.DUMMYFUNCTION("IMPORTRANGE(""https://docs.google.com/spreadsheets/d/1XryBLk_O1ktEJvbUdIeFlUqVhVMWKuQ3iwr0stjHxBc/edit?usp=sharing"", ""Expenses Short!""&amp;H205)"),816.0300000000001)</f>
        <v>816.03</v>
      </c>
      <c r="R7" s="160">
        <f>IFERROR(__xludf.DUMMYFUNCTION("IMPORTRANGE(""https://docs.google.com/spreadsheets/d/1XryBLk_O1ktEJvbUdIeFlUqVhVMWKuQ3iwr0stjHxBc/edit?usp=sharing"", ""Expenses Short!""&amp;I205)"),574.1899999999998)</f>
        <v>574.19</v>
      </c>
      <c r="S7" s="160">
        <f>IFERROR(__xludf.DUMMYFUNCTION("IMPORTRANGE(""https://docs.google.com/spreadsheets/d/1XryBLk_O1ktEJvbUdIeFlUqVhVMWKuQ3iwr0stjHxBc/edit?usp=sharing"", ""Expenses Short!""&amp;J205)"),772.7900000000001)</f>
        <v>772.79</v>
      </c>
      <c r="T7" s="160">
        <f>IFERROR(__xludf.DUMMYFUNCTION("IMPORTRANGE(""https://docs.google.com/spreadsheets/d/1XryBLk_O1ktEJvbUdIeFlUqVhVMWKuQ3iwr0stjHxBc/edit?usp=sharing"", ""Expenses Short!""&amp;K205)"),1020.3399999999999)</f>
        <v>1020.34</v>
      </c>
      <c r="U7" s="160">
        <f>IFERROR(__xludf.DUMMYFUNCTION("IMPORTRANGE(""https://docs.google.com/spreadsheets/d/1XryBLk_O1ktEJvbUdIeFlUqVhVMWKuQ3iwr0stjHxBc/edit?usp=sharing"", ""Expenses Short!""&amp;L205)"),236.73000000000002)</f>
        <v>236.73</v>
      </c>
      <c r="V7" s="160">
        <f>IFERROR(__xludf.DUMMYFUNCTION("IMPORTRANGE(""https://docs.google.com/spreadsheets/d/1XryBLk_O1ktEJvbUdIeFlUqVhVMWKuQ3iwr0stjHxBc/edit?usp=sharing"", ""Expenses Short!""&amp;M205)"),497.55999999999995)</f>
        <v>497.56</v>
      </c>
      <c r="W7" s="160">
        <f>IFERROR(__xludf.DUMMYFUNCTION("IMPORTRANGE(""https://docs.google.com/spreadsheets/d/1XryBLk_O1ktEJvbUdIeFlUqVhVMWKuQ3iwr0stjHxBc/edit?usp=sharing"", ""Expenses Short!""&amp;N205)"),338.82)</f>
        <v>338.82</v>
      </c>
      <c r="X7" s="160">
        <f>IFERROR(__xludf.DUMMYFUNCTION("IMPORTRANGE(""https://docs.google.com/spreadsheets/d/1XryBLk_O1ktEJvbUdIeFlUqVhVMWKuQ3iwr0stjHxBc/edit?usp=sharing"", ""Expenses Short!""&amp;O205)"),605.9399999999999)</f>
        <v>605.94</v>
      </c>
      <c r="Y7" s="160">
        <f>IFERROR(__xludf.DUMMYFUNCTION("IMPORTRANGE(""https://docs.google.com/spreadsheets/d/1XryBLk_O1ktEJvbUdIeFlUqVhVMWKuQ3iwr0stjHxBc/edit?usp=sharing"", ""Expenses Short!""&amp;P205)"),445.5900000000001)</f>
        <v>445.59</v>
      </c>
      <c r="Z7" s="160"/>
      <c r="AQ7" s="161"/>
      <c r="AR7" s="161"/>
      <c r="AS7" s="161"/>
      <c r="AT7" s="161"/>
      <c r="AU7" s="165"/>
      <c r="AV7" s="165"/>
      <c r="AW7" s="165"/>
      <c r="AX7" s="165"/>
      <c r="AY7" s="165"/>
      <c r="AZ7" s="165"/>
      <c r="BA7" s="165"/>
      <c r="BB7" s="165"/>
      <c r="BC7" s="165"/>
      <c r="BD7" s="166"/>
      <c r="BE7" s="166"/>
      <c r="BF7" s="166"/>
      <c r="BG7" s="166"/>
      <c r="BH7" s="166"/>
      <c r="BI7" s="166"/>
      <c r="BJ7" s="166"/>
      <c r="BK7" s="160"/>
      <c r="BL7" s="160"/>
      <c r="BM7" s="160"/>
      <c r="BN7" s="160"/>
      <c r="BO7" s="160"/>
      <c r="BP7" s="160"/>
      <c r="BQ7" s="160"/>
      <c r="BR7" s="160"/>
      <c r="BS7" s="160"/>
      <c r="BT7" s="160"/>
      <c r="BU7" s="160"/>
      <c r="BV7" s="160"/>
      <c r="BW7" s="160"/>
      <c r="BX7" s="127"/>
      <c r="BY7" s="127"/>
      <c r="BZ7" s="148"/>
      <c r="CC7" s="148"/>
      <c r="CD7" s="148"/>
      <c r="CE7" s="148"/>
      <c r="CF7" s="148"/>
    </row>
    <row r="8">
      <c r="A8" s="136" t="s">
        <v>109</v>
      </c>
      <c r="B8" s="160">
        <f>IFERROR(__xludf.DUMMYFUNCTION("IMPORTRANGE(""https://docs.google.com/spreadsheets/d/14QNjEHU4GmPWCLJMMLbF2OEBGXX6iHnMLzuU5Hm4UOQ/edit?usp=sharing"", ""Expenses Short!""&amp;E206)"),436.45)</f>
        <v>436.45</v>
      </c>
      <c r="C8" s="160">
        <f>IFERROR(__xludf.DUMMYFUNCTION("IMPORTRANGE(""https://docs.google.com/spreadsheets/d/14QNjEHU4GmPWCLJMMLbF2OEBGXX6iHnMLzuU5Hm4UOQ/edit?usp=sharing"", ""Expenses Short!""&amp;F206)"),10.2)</f>
        <v>10.2</v>
      </c>
      <c r="D8" s="160">
        <f>IFERROR(__xludf.DUMMYFUNCTION("IMPORTRANGE(""https://docs.google.com/spreadsheets/d/14QNjEHU4GmPWCLJMMLbF2OEBGXX6iHnMLzuU5Hm4UOQ/edit?usp=sharing"", ""Expenses Short!""&amp;G206)"),294.45)</f>
        <v>294.45</v>
      </c>
      <c r="E8" s="160">
        <f>IFERROR(__xludf.DUMMYFUNCTION("IMPORTRANGE(""https://docs.google.com/spreadsheets/d/14QNjEHU4GmPWCLJMMLbF2OEBGXX6iHnMLzuU5Hm4UOQ/edit?usp=sharing"", ""Expenses Short!""&amp;H206)"),0.0)</f>
        <v>0</v>
      </c>
      <c r="F8" s="160">
        <f>IFERROR(__xludf.DUMMYFUNCTION("IMPORTRANGE(""https://docs.google.com/spreadsheets/d/14QNjEHU4GmPWCLJMMLbF2OEBGXX6iHnMLzuU5Hm4UOQ/edit?usp=sharing"", ""Expenses Short!""&amp;I206)"),163.92)</f>
        <v>163.92</v>
      </c>
      <c r="G8" s="160">
        <f>IFERROR(__xludf.DUMMYFUNCTION("IMPORTRANGE(""https://docs.google.com/spreadsheets/d/14QNjEHU4GmPWCLJMMLbF2OEBGXX6iHnMLzuU5Hm4UOQ/edit?usp=sharing"", ""Expenses Short!""&amp;J206)"),655.65)</f>
        <v>655.65</v>
      </c>
      <c r="H8" s="160">
        <f>IFERROR(__xludf.DUMMYFUNCTION("IMPORTRANGE(""https://docs.google.com/spreadsheets/d/14QNjEHU4GmPWCLJMMLbF2OEBGXX6iHnMLzuU5Hm4UOQ/edit?usp=sharing"", ""Expenses Short!""&amp;K206)"),295.89000000000004)</f>
        <v>295.89</v>
      </c>
      <c r="I8" s="160">
        <f>IFERROR(__xludf.DUMMYFUNCTION("IMPORTRANGE(""https://docs.google.com/spreadsheets/d/14QNjEHU4GmPWCLJMMLbF2OEBGXX6iHnMLzuU5Hm4UOQ/edit?usp=sharing"", ""Expenses Short!""&amp;L206)"),784.74)</f>
        <v>784.74</v>
      </c>
      <c r="J8" s="160">
        <f>IFERROR(__xludf.DUMMYFUNCTION("IMPORTRANGE(""https://docs.google.com/spreadsheets/d/14QNjEHU4GmPWCLJMMLbF2OEBGXX6iHnMLzuU5Hm4UOQ/edit?usp=sharing"", ""Expenses Short!""&amp;M206)"),0.0)</f>
        <v>0</v>
      </c>
      <c r="K8" s="160">
        <f>IFERROR(__xludf.DUMMYFUNCTION("IMPORTRANGE(""https://docs.google.com/spreadsheets/d/14QNjEHU4GmPWCLJMMLbF2OEBGXX6iHnMLzuU5Hm4UOQ/edit?usp=sharing"", ""Expenses Short!""&amp;N206)"),0.0)</f>
        <v>0</v>
      </c>
      <c r="L8" s="160">
        <f>IFERROR(__xludf.DUMMYFUNCTION("IMPORTRANGE(""https://docs.google.com/spreadsheets/d/14QNjEHU4GmPWCLJMMLbF2OEBGXX6iHnMLzuU5Hm4UOQ/edit?usp=sharing"", ""Expenses Short!""&amp;O206)"),0.0)</f>
        <v>0</v>
      </c>
      <c r="M8" s="160">
        <f>IFERROR(__xludf.DUMMYFUNCTION("IMPORTRANGE(""https://docs.google.com/spreadsheets/d/14QNjEHU4GmPWCLJMMLbF2OEBGXX6iHnMLzuU5Hm4UOQ/edit?usp=sharing"", ""Expenses Short!""&amp;P206)"),0.0)</f>
        <v>0</v>
      </c>
      <c r="N8" s="160">
        <f>IFERROR(__xludf.DUMMYFUNCTION("IMPORTRANGE(""https://docs.google.com/spreadsheets/d/1XryBLk_O1ktEJvbUdIeFlUqVhVMWKuQ3iwr0stjHxBc/edit?usp=sharing"", ""Expenses Short!""&amp;E206)"),0.0)</f>
        <v>0</v>
      </c>
      <c r="O8" s="160">
        <f>IFERROR(__xludf.DUMMYFUNCTION("IMPORTRANGE(""https://docs.google.com/spreadsheets/d/1XryBLk_O1ktEJvbUdIeFlUqVhVMWKuQ3iwr0stjHxBc/edit?usp=sharing"", ""Expenses Short!""&amp;F206)"),0.0)</f>
        <v>0</v>
      </c>
      <c r="P8" s="160">
        <f>IFERROR(__xludf.DUMMYFUNCTION("IMPORTRANGE(""https://docs.google.com/spreadsheets/d/1XryBLk_O1ktEJvbUdIeFlUqVhVMWKuQ3iwr0stjHxBc/edit?usp=sharing"", ""Expenses Short!""&amp;G206)"),0.0)</f>
        <v>0</v>
      </c>
      <c r="Q8" s="160">
        <f>IFERROR(__xludf.DUMMYFUNCTION("IMPORTRANGE(""https://docs.google.com/spreadsheets/d/1XryBLk_O1ktEJvbUdIeFlUqVhVMWKuQ3iwr0stjHxBc/edit?usp=sharing"", ""Expenses Short!""&amp;H206)"),0.0)</f>
        <v>0</v>
      </c>
      <c r="R8" s="160">
        <f>IFERROR(__xludf.DUMMYFUNCTION("IMPORTRANGE(""https://docs.google.com/spreadsheets/d/1XryBLk_O1ktEJvbUdIeFlUqVhVMWKuQ3iwr0stjHxBc/edit?usp=sharing"", ""Expenses Short!""&amp;I206)"),0.0)</f>
        <v>0</v>
      </c>
      <c r="S8" s="160">
        <f>IFERROR(__xludf.DUMMYFUNCTION("IMPORTRANGE(""https://docs.google.com/spreadsheets/d/1XryBLk_O1ktEJvbUdIeFlUqVhVMWKuQ3iwr0stjHxBc/edit?usp=sharing"", ""Expenses Short!""&amp;J206)"),0.0)</f>
        <v>0</v>
      </c>
      <c r="T8" s="160">
        <f>IFERROR(__xludf.DUMMYFUNCTION("IMPORTRANGE(""https://docs.google.com/spreadsheets/d/1XryBLk_O1ktEJvbUdIeFlUqVhVMWKuQ3iwr0stjHxBc/edit?usp=sharing"", ""Expenses Short!""&amp;K206)"),0.0)</f>
        <v>0</v>
      </c>
      <c r="U8" s="160">
        <f>IFERROR(__xludf.DUMMYFUNCTION("IMPORTRANGE(""https://docs.google.com/spreadsheets/d/1XryBLk_O1ktEJvbUdIeFlUqVhVMWKuQ3iwr0stjHxBc/edit?usp=sharing"", ""Expenses Short!""&amp;L206)"),2402.8500000000004)</f>
        <v>2402.85</v>
      </c>
      <c r="V8" s="160">
        <f>IFERROR(__xludf.DUMMYFUNCTION("IMPORTRANGE(""https://docs.google.com/spreadsheets/d/1XryBLk_O1ktEJvbUdIeFlUqVhVMWKuQ3iwr0stjHxBc/edit?usp=sharing"", ""Expenses Short!""&amp;M206)"),0.0)</f>
        <v>0</v>
      </c>
      <c r="W8" s="160">
        <f>IFERROR(__xludf.DUMMYFUNCTION("IMPORTRANGE(""https://docs.google.com/spreadsheets/d/1XryBLk_O1ktEJvbUdIeFlUqVhVMWKuQ3iwr0stjHxBc/edit?usp=sharing"", ""Expenses Short!""&amp;N206)"),0.0)</f>
        <v>0</v>
      </c>
      <c r="X8" s="160">
        <f>IFERROR(__xludf.DUMMYFUNCTION("IMPORTRANGE(""https://docs.google.com/spreadsheets/d/1XryBLk_O1ktEJvbUdIeFlUqVhVMWKuQ3iwr0stjHxBc/edit?usp=sharing"", ""Expenses Short!""&amp;O206)"),0.0)</f>
        <v>0</v>
      </c>
      <c r="Y8" s="160">
        <f>IFERROR(__xludf.DUMMYFUNCTION("IMPORTRANGE(""https://docs.google.com/spreadsheets/d/1XryBLk_O1ktEJvbUdIeFlUqVhVMWKuQ3iwr0stjHxBc/edit?usp=sharing"", ""Expenses Short!""&amp;P206)"),199.56)</f>
        <v>199.56</v>
      </c>
      <c r="Z8" s="160"/>
      <c r="AQ8" s="161"/>
      <c r="AR8" s="161"/>
      <c r="AS8" s="161"/>
      <c r="AT8" s="161"/>
      <c r="AU8" s="165"/>
      <c r="AV8" s="165"/>
      <c r="AW8" s="165"/>
      <c r="AX8" s="165"/>
      <c r="AY8" s="165"/>
      <c r="AZ8" s="165"/>
      <c r="BA8" s="165"/>
      <c r="BB8" s="165"/>
      <c r="BC8" s="165"/>
      <c r="BD8" s="166"/>
      <c r="BE8" s="166"/>
      <c r="BF8" s="166"/>
      <c r="BG8" s="166"/>
      <c r="BH8" s="166"/>
      <c r="BI8" s="166"/>
      <c r="BJ8" s="166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27"/>
      <c r="BY8" s="127"/>
      <c r="BZ8" s="148"/>
      <c r="CC8" s="148"/>
      <c r="CD8" s="148"/>
      <c r="CE8" s="148"/>
      <c r="CF8" s="148"/>
    </row>
    <row r="9">
      <c r="A9" s="136" t="s">
        <v>110</v>
      </c>
      <c r="B9" s="160">
        <f>IFERROR(__xludf.DUMMYFUNCTION("IMPORTRANGE(""https://docs.google.com/spreadsheets/d/14QNjEHU4GmPWCLJMMLbF2OEBGXX6iHnMLzuU5Hm4UOQ/edit?usp=sharing"", ""Expenses Short!""&amp;E207)"),0.0)</f>
        <v>0</v>
      </c>
      <c r="C9" s="160">
        <f>IFERROR(__xludf.DUMMYFUNCTION("IMPORTRANGE(""https://docs.google.com/spreadsheets/d/14QNjEHU4GmPWCLJMMLbF2OEBGXX6iHnMLzuU5Hm4UOQ/edit?usp=sharing"", ""Expenses Short!""&amp;F207)"),0.0)</f>
        <v>0</v>
      </c>
      <c r="D9" s="160">
        <f>IFERROR(__xludf.DUMMYFUNCTION("IMPORTRANGE(""https://docs.google.com/spreadsheets/d/14QNjEHU4GmPWCLJMMLbF2OEBGXX6iHnMLzuU5Hm4UOQ/edit?usp=sharing"", ""Expenses Short!""&amp;G207)"),0.0)</f>
        <v>0</v>
      </c>
      <c r="E9" s="160">
        <f>IFERROR(__xludf.DUMMYFUNCTION("IMPORTRANGE(""https://docs.google.com/spreadsheets/d/14QNjEHU4GmPWCLJMMLbF2OEBGXX6iHnMLzuU5Hm4UOQ/edit?usp=sharing"", ""Expenses Short!""&amp;H207)"),0.0)</f>
        <v>0</v>
      </c>
      <c r="F9" s="160">
        <f>IFERROR(__xludf.DUMMYFUNCTION("IMPORTRANGE(""https://docs.google.com/spreadsheets/d/14QNjEHU4GmPWCLJMMLbF2OEBGXX6iHnMLzuU5Hm4UOQ/edit?usp=sharing"", ""Expenses Short!""&amp;I207)"),0.0)</f>
        <v>0</v>
      </c>
      <c r="G9" s="160">
        <f>IFERROR(__xludf.DUMMYFUNCTION("IMPORTRANGE(""https://docs.google.com/spreadsheets/d/14QNjEHU4GmPWCLJMMLbF2OEBGXX6iHnMLzuU5Hm4UOQ/edit?usp=sharing"", ""Expenses Short!""&amp;J207)"),0.0)</f>
        <v>0</v>
      </c>
      <c r="H9" s="160">
        <f>IFERROR(__xludf.DUMMYFUNCTION("IMPORTRANGE(""https://docs.google.com/spreadsheets/d/14QNjEHU4GmPWCLJMMLbF2OEBGXX6iHnMLzuU5Hm4UOQ/edit?usp=sharing"", ""Expenses Short!""&amp;K207)"),0.0)</f>
        <v>0</v>
      </c>
      <c r="I9" s="160">
        <f>IFERROR(__xludf.DUMMYFUNCTION("IMPORTRANGE(""https://docs.google.com/spreadsheets/d/14QNjEHU4GmPWCLJMMLbF2OEBGXX6iHnMLzuU5Hm4UOQ/edit?usp=sharing"", ""Expenses Short!""&amp;L207)"),0.0)</f>
        <v>0</v>
      </c>
      <c r="J9" s="160">
        <f>IFERROR(__xludf.DUMMYFUNCTION("IMPORTRANGE(""https://docs.google.com/spreadsheets/d/14QNjEHU4GmPWCLJMMLbF2OEBGXX6iHnMLzuU5Hm4UOQ/edit?usp=sharing"", ""Expenses Short!""&amp;M207)"),0.0)</f>
        <v>0</v>
      </c>
      <c r="K9" s="160">
        <f>IFERROR(__xludf.DUMMYFUNCTION("IMPORTRANGE(""https://docs.google.com/spreadsheets/d/14QNjEHU4GmPWCLJMMLbF2OEBGXX6iHnMLzuU5Hm4UOQ/edit?usp=sharing"", ""Expenses Short!""&amp;N207)"),0.0)</f>
        <v>0</v>
      </c>
      <c r="L9" s="160">
        <f>IFERROR(__xludf.DUMMYFUNCTION("IMPORTRANGE(""https://docs.google.com/spreadsheets/d/14QNjEHU4GmPWCLJMMLbF2OEBGXX6iHnMLzuU5Hm4UOQ/edit?usp=sharing"", ""Expenses Short!""&amp;O207)"),0.0)</f>
        <v>0</v>
      </c>
      <c r="M9" s="160">
        <f>IFERROR(__xludf.DUMMYFUNCTION("IMPORTRANGE(""https://docs.google.com/spreadsheets/d/14QNjEHU4GmPWCLJMMLbF2OEBGXX6iHnMLzuU5Hm4UOQ/edit?usp=sharing"", ""Expenses Short!""&amp;P207)"),0.0)</f>
        <v>0</v>
      </c>
      <c r="N9" s="160">
        <f>IFERROR(__xludf.DUMMYFUNCTION("IMPORTRANGE(""https://docs.google.com/spreadsheets/d/1XryBLk_O1ktEJvbUdIeFlUqVhVMWKuQ3iwr0stjHxBc/edit?usp=sharing"", ""Expenses Short!""&amp;E207)"),0.0)</f>
        <v>0</v>
      </c>
      <c r="O9" s="160">
        <f>IFERROR(__xludf.DUMMYFUNCTION("IMPORTRANGE(""https://docs.google.com/spreadsheets/d/1XryBLk_O1ktEJvbUdIeFlUqVhVMWKuQ3iwr0stjHxBc/edit?usp=sharing"", ""Expenses Short!""&amp;F207)"),0.0)</f>
        <v>0</v>
      </c>
      <c r="P9" s="160">
        <f>IFERROR(__xludf.DUMMYFUNCTION("IMPORTRANGE(""https://docs.google.com/spreadsheets/d/1XryBLk_O1ktEJvbUdIeFlUqVhVMWKuQ3iwr0stjHxBc/edit?usp=sharing"", ""Expenses Short!""&amp;G207)"),0.0)</f>
        <v>0</v>
      </c>
      <c r="Q9" s="160">
        <f>IFERROR(__xludf.DUMMYFUNCTION("IMPORTRANGE(""https://docs.google.com/spreadsheets/d/1XryBLk_O1ktEJvbUdIeFlUqVhVMWKuQ3iwr0stjHxBc/edit?usp=sharing"", ""Expenses Short!""&amp;H207)"),0.0)</f>
        <v>0</v>
      </c>
      <c r="R9" s="160">
        <f>IFERROR(__xludf.DUMMYFUNCTION("IMPORTRANGE(""https://docs.google.com/spreadsheets/d/1XryBLk_O1ktEJvbUdIeFlUqVhVMWKuQ3iwr0stjHxBc/edit?usp=sharing"", ""Expenses Short!""&amp;I207)"),0.0)</f>
        <v>0</v>
      </c>
      <c r="S9" s="160">
        <f>IFERROR(__xludf.DUMMYFUNCTION("IMPORTRANGE(""https://docs.google.com/spreadsheets/d/1XryBLk_O1ktEJvbUdIeFlUqVhVMWKuQ3iwr0stjHxBc/edit?usp=sharing"", ""Expenses Short!""&amp;J207)"),0.0)</f>
        <v>0</v>
      </c>
      <c r="T9" s="160">
        <f>IFERROR(__xludf.DUMMYFUNCTION("IMPORTRANGE(""https://docs.google.com/spreadsheets/d/1XryBLk_O1ktEJvbUdIeFlUqVhVMWKuQ3iwr0stjHxBc/edit?usp=sharing"", ""Expenses Short!""&amp;K207)"),0.0)</f>
        <v>0</v>
      </c>
      <c r="U9" s="160">
        <f>IFERROR(__xludf.DUMMYFUNCTION("IMPORTRANGE(""https://docs.google.com/spreadsheets/d/1XryBLk_O1ktEJvbUdIeFlUqVhVMWKuQ3iwr0stjHxBc/edit?usp=sharing"", ""Expenses Short!""&amp;L207)"),0.0)</f>
        <v>0</v>
      </c>
      <c r="V9" s="160">
        <f>IFERROR(__xludf.DUMMYFUNCTION("IMPORTRANGE(""https://docs.google.com/spreadsheets/d/1XryBLk_O1ktEJvbUdIeFlUqVhVMWKuQ3iwr0stjHxBc/edit?usp=sharing"", ""Expenses Short!""&amp;M207)"),0.0)</f>
        <v>0</v>
      </c>
      <c r="W9" s="160">
        <f>IFERROR(__xludf.DUMMYFUNCTION("IMPORTRANGE(""https://docs.google.com/spreadsheets/d/1XryBLk_O1ktEJvbUdIeFlUqVhVMWKuQ3iwr0stjHxBc/edit?usp=sharing"", ""Expenses Short!""&amp;N207)"),0.0)</f>
        <v>0</v>
      </c>
      <c r="X9" s="160">
        <f>IFERROR(__xludf.DUMMYFUNCTION("IMPORTRANGE(""https://docs.google.com/spreadsheets/d/1XryBLk_O1ktEJvbUdIeFlUqVhVMWKuQ3iwr0stjHxBc/edit?usp=sharing"", ""Expenses Short!""&amp;O207)"),0.0)</f>
        <v>0</v>
      </c>
      <c r="Y9" s="160">
        <f>IFERROR(__xludf.DUMMYFUNCTION("IMPORTRANGE(""https://docs.google.com/spreadsheets/d/1XryBLk_O1ktEJvbUdIeFlUqVhVMWKuQ3iwr0stjHxBc/edit?usp=sharing"", ""Expenses Short!""&amp;P207)"),0.0)</f>
        <v>0</v>
      </c>
      <c r="Z9" s="160"/>
      <c r="AQ9" s="161"/>
      <c r="AR9" s="161"/>
      <c r="AS9" s="161"/>
      <c r="AT9" s="161"/>
      <c r="AU9" s="165"/>
      <c r="AV9" s="165"/>
      <c r="AW9" s="165"/>
      <c r="AX9" s="165"/>
      <c r="AY9" s="165"/>
      <c r="AZ9" s="165"/>
      <c r="BA9" s="165"/>
      <c r="BB9" s="165"/>
      <c r="BC9" s="165"/>
      <c r="BD9" s="166"/>
      <c r="BE9" s="166"/>
      <c r="BF9" s="166"/>
      <c r="BG9" s="166"/>
      <c r="BH9" s="166"/>
      <c r="BI9" s="166"/>
      <c r="BJ9" s="166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27"/>
      <c r="BY9" s="127"/>
      <c r="BZ9" s="148"/>
      <c r="CC9" s="148"/>
      <c r="CD9" s="148"/>
      <c r="CE9" s="148"/>
      <c r="CF9" s="148"/>
    </row>
    <row r="10">
      <c r="A10" s="136" t="s">
        <v>111</v>
      </c>
      <c r="B10" s="160">
        <f>IFERROR(__xludf.DUMMYFUNCTION("IMPORTRANGE(""https://docs.google.com/spreadsheets/d/14QNjEHU4GmPWCLJMMLbF2OEBGXX6iHnMLzuU5Hm4UOQ/edit?usp=sharing"", ""Expenses Short!""&amp;E208)"),0.0)</f>
        <v>0</v>
      </c>
      <c r="C10" s="160">
        <f>IFERROR(__xludf.DUMMYFUNCTION("IMPORTRANGE(""https://docs.google.com/spreadsheets/d/14QNjEHU4GmPWCLJMMLbF2OEBGXX6iHnMLzuU5Hm4UOQ/edit?usp=sharing"", ""Expenses Short!""&amp;F208)"),0.0)</f>
        <v>0</v>
      </c>
      <c r="D10" s="160">
        <f>IFERROR(__xludf.DUMMYFUNCTION("IMPORTRANGE(""https://docs.google.com/spreadsheets/d/14QNjEHU4GmPWCLJMMLbF2OEBGXX6iHnMLzuU5Hm4UOQ/edit?usp=sharing"", ""Expenses Short!""&amp;G208)"),0.0)</f>
        <v>0</v>
      </c>
      <c r="E10" s="160">
        <f>IFERROR(__xludf.DUMMYFUNCTION("IMPORTRANGE(""https://docs.google.com/spreadsheets/d/14QNjEHU4GmPWCLJMMLbF2OEBGXX6iHnMLzuU5Hm4UOQ/edit?usp=sharing"", ""Expenses Short!""&amp;H208)"),302.84)</f>
        <v>302.84</v>
      </c>
      <c r="F10" s="160">
        <f>IFERROR(__xludf.DUMMYFUNCTION("IMPORTRANGE(""https://docs.google.com/spreadsheets/d/14QNjEHU4GmPWCLJMMLbF2OEBGXX6iHnMLzuU5Hm4UOQ/edit?usp=sharing"", ""Expenses Short!""&amp;I208)"),15.0)</f>
        <v>15</v>
      </c>
      <c r="G10" s="160">
        <f>IFERROR(__xludf.DUMMYFUNCTION("IMPORTRANGE(""https://docs.google.com/spreadsheets/d/14QNjEHU4GmPWCLJMMLbF2OEBGXX6iHnMLzuU5Hm4UOQ/edit?usp=sharing"", ""Expenses Short!""&amp;J208)"),261.0)</f>
        <v>261</v>
      </c>
      <c r="H10" s="160">
        <f>IFERROR(__xludf.DUMMYFUNCTION("IMPORTRANGE(""https://docs.google.com/spreadsheets/d/14QNjEHU4GmPWCLJMMLbF2OEBGXX6iHnMLzuU5Hm4UOQ/edit?usp=sharing"", ""Expenses Short!""&amp;K208)"),0.0)</f>
        <v>0</v>
      </c>
      <c r="I10" s="160">
        <f>IFERROR(__xludf.DUMMYFUNCTION("IMPORTRANGE(""https://docs.google.com/spreadsheets/d/14QNjEHU4GmPWCLJMMLbF2OEBGXX6iHnMLzuU5Hm4UOQ/edit?usp=sharing"", ""Expenses Short!""&amp;L208)"),0.0)</f>
        <v>0</v>
      </c>
      <c r="J10" s="160">
        <f>IFERROR(__xludf.DUMMYFUNCTION("IMPORTRANGE(""https://docs.google.com/spreadsheets/d/14QNjEHU4GmPWCLJMMLbF2OEBGXX6iHnMLzuU5Hm4UOQ/edit?usp=sharing"", ""Expenses Short!""&amp;M208)"),0.0)</f>
        <v>0</v>
      </c>
      <c r="K10" s="160">
        <f>IFERROR(__xludf.DUMMYFUNCTION("IMPORTRANGE(""https://docs.google.com/spreadsheets/d/14QNjEHU4GmPWCLJMMLbF2OEBGXX6iHnMLzuU5Hm4UOQ/edit?usp=sharing"", ""Expenses Short!""&amp;N208)"),0.0)</f>
        <v>0</v>
      </c>
      <c r="L10" s="160">
        <f>IFERROR(__xludf.DUMMYFUNCTION("IMPORTRANGE(""https://docs.google.com/spreadsheets/d/14QNjEHU4GmPWCLJMMLbF2OEBGXX6iHnMLzuU5Hm4UOQ/edit?usp=sharing"", ""Expenses Short!""&amp;O208)"),0.0)</f>
        <v>0</v>
      </c>
      <c r="M10" s="160">
        <f>IFERROR(__xludf.DUMMYFUNCTION("IMPORTRANGE(""https://docs.google.com/spreadsheets/d/14QNjEHU4GmPWCLJMMLbF2OEBGXX6iHnMLzuU5Hm4UOQ/edit?usp=sharing"", ""Expenses Short!""&amp;P208)"),110.0)</f>
        <v>110</v>
      </c>
      <c r="N10" s="160">
        <f>IFERROR(__xludf.DUMMYFUNCTION("IMPORTRANGE(""https://docs.google.com/spreadsheets/d/1XryBLk_O1ktEJvbUdIeFlUqVhVMWKuQ3iwr0stjHxBc/edit?usp=sharing"", ""Expenses Short!""&amp;E208)"),0.0)</f>
        <v>0</v>
      </c>
      <c r="O10" s="160">
        <f>IFERROR(__xludf.DUMMYFUNCTION("IMPORTRANGE(""https://docs.google.com/spreadsheets/d/1XryBLk_O1ktEJvbUdIeFlUqVhVMWKuQ3iwr0stjHxBc/edit?usp=sharing"", ""Expenses Short!""&amp;F208)"),221.8)</f>
        <v>221.8</v>
      </c>
      <c r="P10" s="160">
        <f>IFERROR(__xludf.DUMMYFUNCTION("IMPORTRANGE(""https://docs.google.com/spreadsheets/d/1XryBLk_O1ktEJvbUdIeFlUqVhVMWKuQ3iwr0stjHxBc/edit?usp=sharing"", ""Expenses Short!""&amp;G208)"),19.2)</f>
        <v>19.2</v>
      </c>
      <c r="Q10" s="160">
        <f>IFERROR(__xludf.DUMMYFUNCTION("IMPORTRANGE(""https://docs.google.com/spreadsheets/d/1XryBLk_O1ktEJvbUdIeFlUqVhVMWKuQ3iwr0stjHxBc/edit?usp=sharing"", ""Expenses Short!""&amp;H208)"),0.0)</f>
        <v>0</v>
      </c>
      <c r="R10" s="160">
        <f>IFERROR(__xludf.DUMMYFUNCTION("IMPORTRANGE(""https://docs.google.com/spreadsheets/d/1XryBLk_O1ktEJvbUdIeFlUqVhVMWKuQ3iwr0stjHxBc/edit?usp=sharing"", ""Expenses Short!""&amp;I208)"),0.0)</f>
        <v>0</v>
      </c>
      <c r="S10" s="160">
        <f>IFERROR(__xludf.DUMMYFUNCTION("IMPORTRANGE(""https://docs.google.com/spreadsheets/d/1XryBLk_O1ktEJvbUdIeFlUqVhVMWKuQ3iwr0stjHxBc/edit?usp=sharing"", ""Expenses Short!""&amp;J208)"),89.9)</f>
        <v>89.9</v>
      </c>
      <c r="T10" s="160">
        <f>IFERROR(__xludf.DUMMYFUNCTION("IMPORTRANGE(""https://docs.google.com/spreadsheets/d/1XryBLk_O1ktEJvbUdIeFlUqVhVMWKuQ3iwr0stjHxBc/edit?usp=sharing"", ""Expenses Short!""&amp;K208)"),188.99)</f>
        <v>188.99</v>
      </c>
      <c r="U10" s="160">
        <f>IFERROR(__xludf.DUMMYFUNCTION("IMPORTRANGE(""https://docs.google.com/spreadsheets/d/1XryBLk_O1ktEJvbUdIeFlUqVhVMWKuQ3iwr0stjHxBc/edit?usp=sharing"", ""Expenses Short!""&amp;L208)"),30.0)</f>
        <v>30</v>
      </c>
      <c r="V10" s="160">
        <f>IFERROR(__xludf.DUMMYFUNCTION("IMPORTRANGE(""https://docs.google.com/spreadsheets/d/1XryBLk_O1ktEJvbUdIeFlUqVhVMWKuQ3iwr0stjHxBc/edit?usp=sharing"", ""Expenses Short!""&amp;M208)"),39.99)</f>
        <v>39.99</v>
      </c>
      <c r="W10" s="160">
        <f>IFERROR(__xludf.DUMMYFUNCTION("IMPORTRANGE(""https://docs.google.com/spreadsheets/d/1XryBLk_O1ktEJvbUdIeFlUqVhVMWKuQ3iwr0stjHxBc/edit?usp=sharing"", ""Expenses Short!""&amp;N208)"),0.0)</f>
        <v>0</v>
      </c>
      <c r="X10" s="160">
        <f>IFERROR(__xludf.DUMMYFUNCTION("IMPORTRANGE(""https://docs.google.com/spreadsheets/d/1XryBLk_O1ktEJvbUdIeFlUqVhVMWKuQ3iwr0stjHxBc/edit?usp=sharing"", ""Expenses Short!""&amp;O208)"),0.0)</f>
        <v>0</v>
      </c>
      <c r="Y10" s="160">
        <f>IFERROR(__xludf.DUMMYFUNCTION("IMPORTRANGE(""https://docs.google.com/spreadsheets/d/1XryBLk_O1ktEJvbUdIeFlUqVhVMWKuQ3iwr0stjHxBc/edit?usp=sharing"", ""Expenses Short!""&amp;P208)"),208.9)</f>
        <v>208.9</v>
      </c>
      <c r="Z10" s="160"/>
      <c r="AQ10" s="161"/>
      <c r="AR10" s="161"/>
      <c r="AS10" s="161"/>
      <c r="AT10" s="161"/>
      <c r="AU10" s="165"/>
      <c r="AV10" s="165"/>
      <c r="AW10" s="165"/>
      <c r="AX10" s="165"/>
      <c r="AY10" s="165"/>
      <c r="AZ10" s="165"/>
      <c r="BA10" s="165"/>
      <c r="BB10" s="165"/>
      <c r="BC10" s="165"/>
      <c r="BD10" s="166"/>
      <c r="BE10" s="166"/>
      <c r="BF10" s="166"/>
      <c r="BG10" s="166"/>
      <c r="BH10" s="166"/>
      <c r="BI10" s="166"/>
      <c r="BJ10" s="166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27"/>
      <c r="BY10" s="127"/>
      <c r="BZ10" s="148"/>
      <c r="CC10" s="148"/>
      <c r="CD10" s="148"/>
      <c r="CE10" s="148"/>
      <c r="CF10" s="148"/>
    </row>
    <row r="11">
      <c r="A11" s="136" t="s">
        <v>112</v>
      </c>
      <c r="B11" s="160">
        <f>IFERROR(__xludf.DUMMYFUNCTION("IMPORTRANGE(""https://docs.google.com/spreadsheets/d/14QNjEHU4GmPWCLJMMLbF2OEBGXX6iHnMLzuU5Hm4UOQ/edit?usp=sharing"", ""Expenses Short!""&amp;E209)"),66.5)</f>
        <v>66.5</v>
      </c>
      <c r="C11" s="160">
        <f>IFERROR(__xludf.DUMMYFUNCTION("IMPORTRANGE(""https://docs.google.com/spreadsheets/d/14QNjEHU4GmPWCLJMMLbF2OEBGXX6iHnMLzuU5Hm4UOQ/edit?usp=sharing"", ""Expenses Short!""&amp;F209)"),42.5)</f>
        <v>42.5</v>
      </c>
      <c r="D11" s="160">
        <f>IFERROR(__xludf.DUMMYFUNCTION("IMPORTRANGE(""https://docs.google.com/spreadsheets/d/14QNjEHU4GmPWCLJMMLbF2OEBGXX6iHnMLzuU5Hm4UOQ/edit?usp=sharing"", ""Expenses Short!""&amp;G209)"),84.5)</f>
        <v>84.5</v>
      </c>
      <c r="E11" s="160">
        <f>IFERROR(__xludf.DUMMYFUNCTION("IMPORTRANGE(""https://docs.google.com/spreadsheets/d/14QNjEHU4GmPWCLJMMLbF2OEBGXX6iHnMLzuU5Hm4UOQ/edit?usp=sharing"", ""Expenses Short!""&amp;H209)"),129.11)</f>
        <v>129.11</v>
      </c>
      <c r="F11" s="160">
        <f>IFERROR(__xludf.DUMMYFUNCTION("IMPORTRANGE(""https://docs.google.com/spreadsheets/d/14QNjEHU4GmPWCLJMMLbF2OEBGXX6iHnMLzuU5Hm4UOQ/edit?usp=sharing"", ""Expenses Short!""&amp;I209)"),234.61)</f>
        <v>234.61</v>
      </c>
      <c r="G11" s="160">
        <f>IFERROR(__xludf.DUMMYFUNCTION("IMPORTRANGE(""https://docs.google.com/spreadsheets/d/14QNjEHU4GmPWCLJMMLbF2OEBGXX6iHnMLzuU5Hm4UOQ/edit?usp=sharing"", ""Expenses Short!""&amp;J209)"),42.9)</f>
        <v>42.9</v>
      </c>
      <c r="H11" s="160">
        <f>IFERROR(__xludf.DUMMYFUNCTION("IMPORTRANGE(""https://docs.google.com/spreadsheets/d/14QNjEHU4GmPWCLJMMLbF2OEBGXX6iHnMLzuU5Hm4UOQ/edit?usp=sharing"", ""Expenses Short!""&amp;K209)"),140.0)</f>
        <v>140</v>
      </c>
      <c r="I11" s="160">
        <f>IFERROR(__xludf.DUMMYFUNCTION("IMPORTRANGE(""https://docs.google.com/spreadsheets/d/14QNjEHU4GmPWCLJMMLbF2OEBGXX6iHnMLzuU5Hm4UOQ/edit?usp=sharing"", ""Expenses Short!""&amp;L209)"),278.98)</f>
        <v>278.98</v>
      </c>
      <c r="J11" s="160">
        <f>IFERROR(__xludf.DUMMYFUNCTION("IMPORTRANGE(""https://docs.google.com/spreadsheets/d/14QNjEHU4GmPWCLJMMLbF2OEBGXX6iHnMLzuU5Hm4UOQ/edit?usp=sharing"", ""Expenses Short!""&amp;M209)"),188.79)</f>
        <v>188.79</v>
      </c>
      <c r="K11" s="160">
        <f>IFERROR(__xludf.DUMMYFUNCTION("IMPORTRANGE(""https://docs.google.com/spreadsheets/d/14QNjEHU4GmPWCLJMMLbF2OEBGXX6iHnMLzuU5Hm4UOQ/edit?usp=sharing"", ""Expenses Short!""&amp;N209)"),192.45999999999998)</f>
        <v>192.46</v>
      </c>
      <c r="L11" s="160">
        <f>IFERROR(__xludf.DUMMYFUNCTION("IMPORTRANGE(""https://docs.google.com/spreadsheets/d/14QNjEHU4GmPWCLJMMLbF2OEBGXX6iHnMLzuU5Hm4UOQ/edit?usp=sharing"", ""Expenses Short!""&amp;O209)"),1080.05)</f>
        <v>1080.05</v>
      </c>
      <c r="M11" s="160">
        <f>IFERROR(__xludf.DUMMYFUNCTION("IMPORTRANGE(""https://docs.google.com/spreadsheets/d/14QNjEHU4GmPWCLJMMLbF2OEBGXX6iHnMLzuU5Hm4UOQ/edit?usp=sharing"", ""Expenses Short!""&amp;P209)"),263.53)</f>
        <v>263.53</v>
      </c>
      <c r="N11" s="160">
        <f>IFERROR(__xludf.DUMMYFUNCTION("IMPORTRANGE(""https://docs.google.com/spreadsheets/d/1XryBLk_O1ktEJvbUdIeFlUqVhVMWKuQ3iwr0stjHxBc/edit?usp=sharing"", ""Expenses Short!""&amp;E209)"),596.53)</f>
        <v>596.53</v>
      </c>
      <c r="O11" s="160">
        <f>IFERROR(__xludf.DUMMYFUNCTION("IMPORTRANGE(""https://docs.google.com/spreadsheets/d/1XryBLk_O1ktEJvbUdIeFlUqVhVMWKuQ3iwr0stjHxBc/edit?usp=sharing"", ""Expenses Short!""&amp;F209)"),451.7)</f>
        <v>451.7</v>
      </c>
      <c r="P11" s="160">
        <f>IFERROR(__xludf.DUMMYFUNCTION("IMPORTRANGE(""https://docs.google.com/spreadsheets/d/1XryBLk_O1ktEJvbUdIeFlUqVhVMWKuQ3iwr0stjHxBc/edit?usp=sharing"", ""Expenses Short!""&amp;G209)"),329.08)</f>
        <v>329.08</v>
      </c>
      <c r="Q11" s="160">
        <f>IFERROR(__xludf.DUMMYFUNCTION("IMPORTRANGE(""https://docs.google.com/spreadsheets/d/1XryBLk_O1ktEJvbUdIeFlUqVhVMWKuQ3iwr0stjHxBc/edit?usp=sharing"", ""Expenses Short!""&amp;H209)"),486.34)</f>
        <v>486.34</v>
      </c>
      <c r="R11" s="160">
        <f>IFERROR(__xludf.DUMMYFUNCTION("IMPORTRANGE(""https://docs.google.com/spreadsheets/d/1XryBLk_O1ktEJvbUdIeFlUqVhVMWKuQ3iwr0stjHxBc/edit?usp=sharing"", ""Expenses Short!""&amp;I209)"),634.68)</f>
        <v>634.68</v>
      </c>
      <c r="S11" s="160">
        <f>IFERROR(__xludf.DUMMYFUNCTION("IMPORTRANGE(""https://docs.google.com/spreadsheets/d/1XryBLk_O1ktEJvbUdIeFlUqVhVMWKuQ3iwr0stjHxBc/edit?usp=sharing"", ""Expenses Short!""&amp;J209)"),410.81)</f>
        <v>410.81</v>
      </c>
      <c r="T11" s="160">
        <f>IFERROR(__xludf.DUMMYFUNCTION("IMPORTRANGE(""https://docs.google.com/spreadsheets/d/1XryBLk_O1ktEJvbUdIeFlUqVhVMWKuQ3iwr0stjHxBc/edit?usp=sharing"", ""Expenses Short!""&amp;K209)"),350.8499999999999)</f>
        <v>350.85</v>
      </c>
      <c r="U11" s="160">
        <f>IFERROR(__xludf.DUMMYFUNCTION("IMPORTRANGE(""https://docs.google.com/spreadsheets/d/1XryBLk_O1ktEJvbUdIeFlUqVhVMWKuQ3iwr0stjHxBc/edit?usp=sharing"", ""Expenses Short!""&amp;L209)"),507.2099999999999)</f>
        <v>507.21</v>
      </c>
      <c r="V11" s="160">
        <f>IFERROR(__xludf.DUMMYFUNCTION("IMPORTRANGE(""https://docs.google.com/spreadsheets/d/1XryBLk_O1ktEJvbUdIeFlUqVhVMWKuQ3iwr0stjHxBc/edit?usp=sharing"", ""Expenses Short!""&amp;M209)"),186.57000000000002)</f>
        <v>186.57</v>
      </c>
      <c r="W11" s="160">
        <f>IFERROR(__xludf.DUMMYFUNCTION("IMPORTRANGE(""https://docs.google.com/spreadsheets/d/1XryBLk_O1ktEJvbUdIeFlUqVhVMWKuQ3iwr0stjHxBc/edit?usp=sharing"", ""Expenses Short!""&amp;N209)"),283.31000000000006)</f>
        <v>283.31</v>
      </c>
      <c r="X11" s="160">
        <f>IFERROR(__xludf.DUMMYFUNCTION("IMPORTRANGE(""https://docs.google.com/spreadsheets/d/1XryBLk_O1ktEJvbUdIeFlUqVhVMWKuQ3iwr0stjHxBc/edit?usp=sharing"", ""Expenses Short!""&amp;O209)"),493.29999999999995)</f>
        <v>493.3</v>
      </c>
      <c r="Y11" s="160">
        <f>IFERROR(__xludf.DUMMYFUNCTION("IMPORTRANGE(""https://docs.google.com/spreadsheets/d/1XryBLk_O1ktEJvbUdIeFlUqVhVMWKuQ3iwr0stjHxBc/edit?usp=sharing"", ""Expenses Short!""&amp;P209)"),334.02000000000004)</f>
        <v>334.02</v>
      </c>
      <c r="Z11" s="160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2"/>
      <c r="AV11" s="162"/>
      <c r="AW11" s="162"/>
      <c r="AX11" s="161"/>
      <c r="AY11" s="162"/>
      <c r="AZ11" s="162"/>
      <c r="BA11" s="162"/>
      <c r="BB11" s="162"/>
      <c r="BC11" s="162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3"/>
      <c r="BY11" s="163"/>
      <c r="BZ11" s="164"/>
      <c r="CC11" s="164"/>
      <c r="CD11" s="164"/>
      <c r="CE11" s="164"/>
      <c r="CF11" s="164"/>
    </row>
    <row r="12">
      <c r="A12" s="136" t="s">
        <v>113</v>
      </c>
      <c r="B12" s="160">
        <f>IFERROR(__xludf.DUMMYFUNCTION("IMPORTRANGE(""https://docs.google.com/spreadsheets/d/14QNjEHU4GmPWCLJMMLbF2OEBGXX6iHnMLzuU5Hm4UOQ/edit?usp=sharing"", ""Expenses Short!""&amp;E210)"),46.97)</f>
        <v>46.97</v>
      </c>
      <c r="C12" s="160">
        <f>IFERROR(__xludf.DUMMYFUNCTION("IMPORTRANGE(""https://docs.google.com/spreadsheets/d/14QNjEHU4GmPWCLJMMLbF2OEBGXX6iHnMLzuU5Hm4UOQ/edit?usp=sharing"", ""Expenses Short!""&amp;F210)"),0.0)</f>
        <v>0</v>
      </c>
      <c r="D12" s="160">
        <f>IFERROR(__xludf.DUMMYFUNCTION("IMPORTRANGE(""https://docs.google.com/spreadsheets/d/14QNjEHU4GmPWCLJMMLbF2OEBGXX6iHnMLzuU5Hm4UOQ/edit?usp=sharing"", ""Expenses Short!""&amp;G210)"),29.99)</f>
        <v>29.99</v>
      </c>
      <c r="E12" s="160">
        <f>IFERROR(__xludf.DUMMYFUNCTION("IMPORTRANGE(""https://docs.google.com/spreadsheets/d/14QNjEHU4GmPWCLJMMLbF2OEBGXX6iHnMLzuU5Hm4UOQ/edit?usp=sharing"", ""Expenses Short!""&amp;H210)"),0.0)</f>
        <v>0</v>
      </c>
      <c r="F12" s="160">
        <f>IFERROR(__xludf.DUMMYFUNCTION("IMPORTRANGE(""https://docs.google.com/spreadsheets/d/14QNjEHU4GmPWCLJMMLbF2OEBGXX6iHnMLzuU5Hm4UOQ/edit?usp=sharing"", ""Expenses Short!""&amp;I210)"),0.0)</f>
        <v>0</v>
      </c>
      <c r="G12" s="160">
        <f>IFERROR(__xludf.DUMMYFUNCTION("IMPORTRANGE(""https://docs.google.com/spreadsheets/d/14QNjEHU4GmPWCLJMMLbF2OEBGXX6iHnMLzuU5Hm4UOQ/edit?usp=sharing"", ""Expenses Short!""&amp;J210)"),11.0)</f>
        <v>11</v>
      </c>
      <c r="H12" s="160">
        <f>IFERROR(__xludf.DUMMYFUNCTION("IMPORTRANGE(""https://docs.google.com/spreadsheets/d/14QNjEHU4GmPWCLJMMLbF2OEBGXX6iHnMLzuU5Hm4UOQ/edit?usp=sharing"", ""Expenses Short!""&amp;K210)"),23.5)</f>
        <v>23.5</v>
      </c>
      <c r="I12" s="160">
        <f>IFERROR(__xludf.DUMMYFUNCTION("IMPORTRANGE(""https://docs.google.com/spreadsheets/d/14QNjEHU4GmPWCLJMMLbF2OEBGXX6iHnMLzuU5Hm4UOQ/edit?usp=sharing"", ""Expenses Short!""&amp;L210)"),0.0)</f>
        <v>0</v>
      </c>
      <c r="J12" s="160">
        <f>IFERROR(__xludf.DUMMYFUNCTION("IMPORTRANGE(""https://docs.google.com/spreadsheets/d/14QNjEHU4GmPWCLJMMLbF2OEBGXX6iHnMLzuU5Hm4UOQ/edit?usp=sharing"", ""Expenses Short!""&amp;M210)"),173.09)</f>
        <v>173.09</v>
      </c>
      <c r="K12" s="160">
        <f>IFERROR(__xludf.DUMMYFUNCTION("IMPORTRANGE(""https://docs.google.com/spreadsheets/d/14QNjEHU4GmPWCLJMMLbF2OEBGXX6iHnMLzuU5Hm4UOQ/edit?usp=sharing"", ""Expenses Short!""&amp;N210)"),15.0)</f>
        <v>15</v>
      </c>
      <c r="L12" s="160">
        <f>IFERROR(__xludf.DUMMYFUNCTION("IMPORTRANGE(""https://docs.google.com/spreadsheets/d/14QNjEHU4GmPWCLJMMLbF2OEBGXX6iHnMLzuU5Hm4UOQ/edit?usp=sharing"", ""Expenses Short!""&amp;O210)"),52.85)</f>
        <v>52.85</v>
      </c>
      <c r="M12" s="160">
        <f>IFERROR(__xludf.DUMMYFUNCTION("IMPORTRANGE(""https://docs.google.com/spreadsheets/d/14QNjEHU4GmPWCLJMMLbF2OEBGXX6iHnMLzuU5Hm4UOQ/edit?usp=sharing"", ""Expenses Short!""&amp;P210)"),101.0)</f>
        <v>101</v>
      </c>
      <c r="N12" s="160">
        <f>IFERROR(__xludf.DUMMYFUNCTION("IMPORTRANGE(""https://docs.google.com/spreadsheets/d/1XryBLk_O1ktEJvbUdIeFlUqVhVMWKuQ3iwr0stjHxBc/edit?usp=sharing"", ""Expenses Short!""&amp;E210)"),73.03)</f>
        <v>73.03</v>
      </c>
      <c r="O12" s="160">
        <f>IFERROR(__xludf.DUMMYFUNCTION("IMPORTRANGE(""https://docs.google.com/spreadsheets/d/1XryBLk_O1ktEJvbUdIeFlUqVhVMWKuQ3iwr0stjHxBc/edit?usp=sharing"", ""Expenses Short!""&amp;F210)"),6.5)</f>
        <v>6.5</v>
      </c>
      <c r="P12" s="160">
        <f>IFERROR(__xludf.DUMMYFUNCTION("IMPORTRANGE(""https://docs.google.com/spreadsheets/d/1XryBLk_O1ktEJvbUdIeFlUqVhVMWKuQ3iwr0stjHxBc/edit?usp=sharing"", ""Expenses Short!""&amp;G210)"),48.92)</f>
        <v>48.92</v>
      </c>
      <c r="Q12" s="160">
        <f>IFERROR(__xludf.DUMMYFUNCTION("IMPORTRANGE(""https://docs.google.com/spreadsheets/d/1XryBLk_O1ktEJvbUdIeFlUqVhVMWKuQ3iwr0stjHxBc/edit?usp=sharing"", ""Expenses Short!""&amp;H210)"),0.0)</f>
        <v>0</v>
      </c>
      <c r="R12" s="160">
        <f>IFERROR(__xludf.DUMMYFUNCTION("IMPORTRANGE(""https://docs.google.com/spreadsheets/d/1XryBLk_O1ktEJvbUdIeFlUqVhVMWKuQ3iwr0stjHxBc/edit?usp=sharing"", ""Expenses Short!""&amp;I210)"),111.95)</f>
        <v>111.95</v>
      </c>
      <c r="S12" s="160">
        <f>IFERROR(__xludf.DUMMYFUNCTION("IMPORTRANGE(""https://docs.google.com/spreadsheets/d/1XryBLk_O1ktEJvbUdIeFlUqVhVMWKuQ3iwr0stjHxBc/edit?usp=sharing"", ""Expenses Short!""&amp;J210)"),20.0)</f>
        <v>20</v>
      </c>
      <c r="T12" s="160">
        <f>IFERROR(__xludf.DUMMYFUNCTION("IMPORTRANGE(""https://docs.google.com/spreadsheets/d/1XryBLk_O1ktEJvbUdIeFlUqVhVMWKuQ3iwr0stjHxBc/edit?usp=sharing"", ""Expenses Short!""&amp;K210)"),30.0)</f>
        <v>30</v>
      </c>
      <c r="U12" s="160">
        <f>IFERROR(__xludf.DUMMYFUNCTION("IMPORTRANGE(""https://docs.google.com/spreadsheets/d/1XryBLk_O1ktEJvbUdIeFlUqVhVMWKuQ3iwr0stjHxBc/edit?usp=sharing"", ""Expenses Short!""&amp;L210)"),156.77)</f>
        <v>156.77</v>
      </c>
      <c r="V12" s="160">
        <f>IFERROR(__xludf.DUMMYFUNCTION("IMPORTRANGE(""https://docs.google.com/spreadsheets/d/1XryBLk_O1ktEJvbUdIeFlUqVhVMWKuQ3iwr0stjHxBc/edit?usp=sharing"", ""Expenses Short!""&amp;M210)"),192.96)</f>
        <v>192.96</v>
      </c>
      <c r="W12" s="160">
        <f>IFERROR(__xludf.DUMMYFUNCTION("IMPORTRANGE(""https://docs.google.com/spreadsheets/d/1XryBLk_O1ktEJvbUdIeFlUqVhVMWKuQ3iwr0stjHxBc/edit?usp=sharing"", ""Expenses Short!""&amp;N210)"),190.95999999999998)</f>
        <v>190.96</v>
      </c>
      <c r="X12" s="160">
        <f>IFERROR(__xludf.DUMMYFUNCTION("IMPORTRANGE(""https://docs.google.com/spreadsheets/d/1XryBLk_O1ktEJvbUdIeFlUqVhVMWKuQ3iwr0stjHxBc/edit?usp=sharing"", ""Expenses Short!""&amp;O210)"),742.6999999999999)</f>
        <v>742.7</v>
      </c>
      <c r="Y12" s="160">
        <f>IFERROR(__xludf.DUMMYFUNCTION("IMPORTRANGE(""https://docs.google.com/spreadsheets/d/1XryBLk_O1ktEJvbUdIeFlUqVhVMWKuQ3iwr0stjHxBc/edit?usp=sharing"", ""Expenses Short!""&amp;P210)"),71.7)</f>
        <v>71.7</v>
      </c>
      <c r="Z12" s="160"/>
      <c r="AM12" s="161"/>
      <c r="AN12" s="161"/>
      <c r="AO12" s="161"/>
      <c r="AP12" s="161"/>
      <c r="AQ12" s="161"/>
      <c r="AR12" s="161"/>
      <c r="AS12" s="161"/>
      <c r="AT12" s="161"/>
      <c r="AU12" s="165"/>
      <c r="AV12" s="165"/>
      <c r="AW12" s="165"/>
      <c r="AX12" s="165"/>
      <c r="AY12" s="165"/>
      <c r="AZ12" s="165"/>
      <c r="BA12" s="165"/>
      <c r="BB12" s="165"/>
      <c r="BC12" s="165"/>
      <c r="BD12" s="166"/>
      <c r="BE12" s="166"/>
      <c r="BF12" s="166"/>
      <c r="BG12" s="166"/>
      <c r="BH12" s="166"/>
      <c r="BI12" s="166"/>
      <c r="BJ12" s="166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27"/>
      <c r="BY12" s="127"/>
      <c r="BZ12" s="148"/>
      <c r="CC12" s="148"/>
      <c r="CD12" s="148"/>
      <c r="CE12" s="148"/>
      <c r="CF12" s="148"/>
    </row>
    <row r="13">
      <c r="A13" s="136" t="s">
        <v>114</v>
      </c>
      <c r="B13" s="160">
        <f>IFERROR(__xludf.DUMMYFUNCTION("IMPORTRANGE(""https://docs.google.com/spreadsheets/d/14QNjEHU4GmPWCLJMMLbF2OEBGXX6iHnMLzuU5Hm4UOQ/edit?usp=sharing"", ""Expenses Short!""&amp;E211)"),98.90999999999998)</f>
        <v>98.91</v>
      </c>
      <c r="C13" s="160">
        <f>IFERROR(__xludf.DUMMYFUNCTION("IMPORTRANGE(""https://docs.google.com/spreadsheets/d/14QNjEHU4GmPWCLJMMLbF2OEBGXX6iHnMLzuU5Hm4UOQ/edit?usp=sharing"", ""Expenses Short!""&amp;F211)"),75.15999999999998)</f>
        <v>75.16</v>
      </c>
      <c r="D13" s="160">
        <f>IFERROR(__xludf.DUMMYFUNCTION("IMPORTRANGE(""https://docs.google.com/spreadsheets/d/14QNjEHU4GmPWCLJMMLbF2OEBGXX6iHnMLzuU5Hm4UOQ/edit?usp=sharing"", ""Expenses Short!""&amp;G211)"),52.93)</f>
        <v>52.93</v>
      </c>
      <c r="E13" s="160">
        <f>IFERROR(__xludf.DUMMYFUNCTION("IMPORTRANGE(""https://docs.google.com/spreadsheets/d/14QNjEHU4GmPWCLJMMLbF2OEBGXX6iHnMLzuU5Hm4UOQ/edit?usp=sharing"", ""Expenses Short!""&amp;H211)"),50.53)</f>
        <v>50.53</v>
      </c>
      <c r="F13" s="160">
        <f>IFERROR(__xludf.DUMMYFUNCTION("IMPORTRANGE(""https://docs.google.com/spreadsheets/d/14QNjEHU4GmPWCLJMMLbF2OEBGXX6iHnMLzuU5Hm4UOQ/edit?usp=sharing"", ""Expenses Short!""&amp;I211)"),66.12)</f>
        <v>66.12</v>
      </c>
      <c r="G13" s="160">
        <f>IFERROR(__xludf.DUMMYFUNCTION("IMPORTRANGE(""https://docs.google.com/spreadsheets/d/14QNjEHU4GmPWCLJMMLbF2OEBGXX6iHnMLzuU5Hm4UOQ/edit?usp=sharing"", ""Expenses Short!""&amp;J211)"),58.53000000000001)</f>
        <v>58.53</v>
      </c>
      <c r="H13" s="160">
        <f>IFERROR(__xludf.DUMMYFUNCTION("IMPORTRANGE(""https://docs.google.com/spreadsheets/d/14QNjEHU4GmPWCLJMMLbF2OEBGXX6iHnMLzuU5Hm4UOQ/edit?usp=sharing"", ""Expenses Short!""&amp;K211)"),32.97)</f>
        <v>32.97</v>
      </c>
      <c r="I13" s="160">
        <f>IFERROR(__xludf.DUMMYFUNCTION("IMPORTRANGE(""https://docs.google.com/spreadsheets/d/14QNjEHU4GmPWCLJMMLbF2OEBGXX6iHnMLzuU5Hm4UOQ/edit?usp=sharing"", ""Expenses Short!""&amp;L211)"),39.96)</f>
        <v>39.96</v>
      </c>
      <c r="J13" s="160">
        <f>IFERROR(__xludf.DUMMYFUNCTION("IMPORTRANGE(""https://docs.google.com/spreadsheets/d/14QNjEHU4GmPWCLJMMLbF2OEBGXX6iHnMLzuU5Hm4UOQ/edit?usp=sharing"", ""Expenses Short!""&amp;M211)"),39.96)</f>
        <v>39.96</v>
      </c>
      <c r="K13" s="160">
        <f>IFERROR(__xludf.DUMMYFUNCTION("IMPORTRANGE(""https://docs.google.com/spreadsheets/d/14QNjEHU4GmPWCLJMMLbF2OEBGXX6iHnMLzuU5Hm4UOQ/edit?usp=sharing"", ""Expenses Short!""&amp;N211)"),216.74)</f>
        <v>216.74</v>
      </c>
      <c r="L13" s="160">
        <f>IFERROR(__xludf.DUMMYFUNCTION("IMPORTRANGE(""https://docs.google.com/spreadsheets/d/14QNjEHU4GmPWCLJMMLbF2OEBGXX6iHnMLzuU5Hm4UOQ/edit?usp=sharing"", ""Expenses Short!""&amp;O211)"),118.25)</f>
        <v>118.25</v>
      </c>
      <c r="M13" s="160">
        <f>IFERROR(__xludf.DUMMYFUNCTION("IMPORTRANGE(""https://docs.google.com/spreadsheets/d/14QNjEHU4GmPWCLJMMLbF2OEBGXX6iHnMLzuU5Hm4UOQ/edit?usp=sharing"", ""Expenses Short!""&amp;P211)"),58.24)</f>
        <v>58.24</v>
      </c>
      <c r="N13" s="160">
        <f>IFERROR(__xludf.DUMMYFUNCTION("IMPORTRANGE(""https://docs.google.com/spreadsheets/d/1XryBLk_O1ktEJvbUdIeFlUqVhVMWKuQ3iwr0stjHxBc/edit?usp=sharing"", ""Expenses Short!""&amp;E211)"),179.53)</f>
        <v>179.53</v>
      </c>
      <c r="O13" s="160">
        <f>IFERROR(__xludf.DUMMYFUNCTION("IMPORTRANGE(""https://docs.google.com/spreadsheets/d/1XryBLk_O1ktEJvbUdIeFlUqVhVMWKuQ3iwr0stjHxBc/edit?usp=sharing"", ""Expenses Short!""&amp;F211)"),39.050000000000004)</f>
        <v>39.05</v>
      </c>
      <c r="P13" s="160">
        <f>IFERROR(__xludf.DUMMYFUNCTION("IMPORTRANGE(""https://docs.google.com/spreadsheets/d/1XryBLk_O1ktEJvbUdIeFlUqVhVMWKuQ3iwr0stjHxBc/edit?usp=sharing"", ""Expenses Short!""&amp;G211)"),101.01)</f>
        <v>101.01</v>
      </c>
      <c r="Q13" s="160">
        <f>IFERROR(__xludf.DUMMYFUNCTION("IMPORTRANGE(""https://docs.google.com/spreadsheets/d/1XryBLk_O1ktEJvbUdIeFlUqVhVMWKuQ3iwr0stjHxBc/edit?usp=sharing"", ""Expenses Short!""&amp;H211)"),61.92000000000001)</f>
        <v>61.92</v>
      </c>
      <c r="R13" s="160">
        <f>IFERROR(__xludf.DUMMYFUNCTION("IMPORTRANGE(""https://docs.google.com/spreadsheets/d/1XryBLk_O1ktEJvbUdIeFlUqVhVMWKuQ3iwr0stjHxBc/edit?usp=sharing"", ""Expenses Short!""&amp;I211)"),64.34)</f>
        <v>64.34</v>
      </c>
      <c r="S13" s="160">
        <f>IFERROR(__xludf.DUMMYFUNCTION("IMPORTRANGE(""https://docs.google.com/spreadsheets/d/1XryBLk_O1ktEJvbUdIeFlUqVhVMWKuQ3iwr0stjHxBc/edit?usp=sharing"", ""Expenses Short!""&amp;J211)"),60.56)</f>
        <v>60.56</v>
      </c>
      <c r="T13" s="160">
        <f>IFERROR(__xludf.DUMMYFUNCTION("IMPORTRANGE(""https://docs.google.com/spreadsheets/d/1XryBLk_O1ktEJvbUdIeFlUqVhVMWKuQ3iwr0stjHxBc/edit?usp=sharing"", ""Expenses Short!""&amp;K211)"),47.260000000000005)</f>
        <v>47.26</v>
      </c>
      <c r="U13" s="160">
        <f>IFERROR(__xludf.DUMMYFUNCTION("IMPORTRANGE(""https://docs.google.com/spreadsheets/d/1XryBLk_O1ktEJvbUdIeFlUqVhVMWKuQ3iwr0stjHxBc/edit?usp=sharing"", ""Expenses Short!""&amp;L211)"),58.73000000000001)</f>
        <v>58.73</v>
      </c>
      <c r="V13" s="160">
        <f>IFERROR(__xludf.DUMMYFUNCTION("IMPORTRANGE(""https://docs.google.com/spreadsheets/d/1XryBLk_O1ktEJvbUdIeFlUqVhVMWKuQ3iwr0stjHxBc/edit?usp=sharing"", ""Expenses Short!""&amp;M211)"),43.74000000000001)</f>
        <v>43.74</v>
      </c>
      <c r="W13" s="160">
        <f>IFERROR(__xludf.DUMMYFUNCTION("IMPORTRANGE(""https://docs.google.com/spreadsheets/d/1XryBLk_O1ktEJvbUdIeFlUqVhVMWKuQ3iwr0stjHxBc/edit?usp=sharing"", ""Expenses Short!""&amp;N211)"),225.74)</f>
        <v>225.74</v>
      </c>
      <c r="X13" s="160">
        <f>IFERROR(__xludf.DUMMYFUNCTION("IMPORTRANGE(""https://docs.google.com/spreadsheets/d/1XryBLk_O1ktEJvbUdIeFlUqVhVMWKuQ3iwr0stjHxBc/edit?usp=sharing"", ""Expenses Short!""&amp;O211)"),116.50999999999998)</f>
        <v>116.51</v>
      </c>
      <c r="Y13" s="160">
        <f>IFERROR(__xludf.DUMMYFUNCTION("IMPORTRANGE(""https://docs.google.com/spreadsheets/d/1XryBLk_O1ktEJvbUdIeFlUqVhVMWKuQ3iwr0stjHxBc/edit?usp=sharing"", ""Expenses Short!""&amp;P211)"),80.10999999999997)</f>
        <v>80.11</v>
      </c>
      <c r="Z13" s="160"/>
      <c r="AM13" s="161"/>
      <c r="AN13" s="161"/>
      <c r="AO13" s="161"/>
      <c r="AP13" s="161"/>
      <c r="AQ13" s="161"/>
      <c r="AR13" s="161"/>
      <c r="AS13" s="161"/>
      <c r="AT13" s="161"/>
      <c r="AU13" s="165"/>
      <c r="AV13" s="165"/>
      <c r="AW13" s="165"/>
      <c r="AX13" s="165"/>
      <c r="AY13" s="165"/>
      <c r="AZ13" s="165"/>
      <c r="BA13" s="165"/>
      <c r="BB13" s="165"/>
      <c r="BC13" s="165"/>
      <c r="BD13" s="166"/>
      <c r="BE13" s="166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3"/>
      <c r="BY13" s="163"/>
      <c r="BZ13" s="148"/>
      <c r="CC13" s="148"/>
      <c r="CD13" s="148"/>
      <c r="CE13" s="148"/>
      <c r="CF13" s="148"/>
    </row>
    <row r="14">
      <c r="A14" s="136" t="s">
        <v>115</v>
      </c>
      <c r="B14" s="160">
        <f>IFERROR(__xludf.DUMMYFUNCTION("IMPORTRANGE(""https://docs.google.com/spreadsheets/d/14QNjEHU4GmPWCLJMMLbF2OEBGXX6iHnMLzuU5Hm4UOQ/edit?usp=sharing"", ""Expenses Short!""&amp;E212)"),28.51)</f>
        <v>28.51</v>
      </c>
      <c r="C14" s="160">
        <f>IFERROR(__xludf.DUMMYFUNCTION("IMPORTRANGE(""https://docs.google.com/spreadsheets/d/14QNjEHU4GmPWCLJMMLbF2OEBGXX6iHnMLzuU5Hm4UOQ/edit?usp=sharing"", ""Expenses Short!""&amp;F212)"),228.73999999999998)</f>
        <v>228.74</v>
      </c>
      <c r="D14" s="160">
        <f>IFERROR(__xludf.DUMMYFUNCTION("IMPORTRANGE(""https://docs.google.com/spreadsheets/d/14QNjEHU4GmPWCLJMMLbF2OEBGXX6iHnMLzuU5Hm4UOQ/edit?usp=sharing"", ""Expenses Short!""&amp;G212)"),876.3900000000001)</f>
        <v>876.39</v>
      </c>
      <c r="E14" s="160">
        <f>IFERROR(__xludf.DUMMYFUNCTION("IMPORTRANGE(""https://docs.google.com/spreadsheets/d/14QNjEHU4GmPWCLJMMLbF2OEBGXX6iHnMLzuU5Hm4UOQ/edit?usp=sharing"", ""Expenses Short!""&amp;H212)"),87.71000000000001)</f>
        <v>87.71</v>
      </c>
      <c r="F14" s="160">
        <f>IFERROR(__xludf.DUMMYFUNCTION("IMPORTRANGE(""https://docs.google.com/spreadsheets/d/14QNjEHU4GmPWCLJMMLbF2OEBGXX6iHnMLzuU5Hm4UOQ/edit?usp=sharing"", ""Expenses Short!""&amp;I212)"),158.17000000000002)</f>
        <v>158.17</v>
      </c>
      <c r="G14" s="160">
        <f>IFERROR(__xludf.DUMMYFUNCTION("IMPORTRANGE(""https://docs.google.com/spreadsheets/d/14QNjEHU4GmPWCLJMMLbF2OEBGXX6iHnMLzuU5Hm4UOQ/edit?usp=sharing"", ""Expenses Short!""&amp;J212)"),26.81)</f>
        <v>26.81</v>
      </c>
      <c r="H14" s="160">
        <f>IFERROR(__xludf.DUMMYFUNCTION("IMPORTRANGE(""https://docs.google.com/spreadsheets/d/14QNjEHU4GmPWCLJMMLbF2OEBGXX6iHnMLzuU5Hm4UOQ/edit?usp=sharing"", ""Expenses Short!""&amp;K212)"),644.29)</f>
        <v>644.29</v>
      </c>
      <c r="I14" s="160">
        <f>IFERROR(__xludf.DUMMYFUNCTION("IMPORTRANGE(""https://docs.google.com/spreadsheets/d/14QNjEHU4GmPWCLJMMLbF2OEBGXX6iHnMLzuU5Hm4UOQ/edit?usp=sharing"", ""Expenses Short!""&amp;L212)"),70.51)</f>
        <v>70.51</v>
      </c>
      <c r="J14" s="160">
        <f>IFERROR(__xludf.DUMMYFUNCTION("IMPORTRANGE(""https://docs.google.com/spreadsheets/d/14QNjEHU4GmPWCLJMMLbF2OEBGXX6iHnMLzuU5Hm4UOQ/edit?usp=sharing"", ""Expenses Short!""&amp;M212)"),507.65)</f>
        <v>507.65</v>
      </c>
      <c r="K14" s="160">
        <f>IFERROR(__xludf.DUMMYFUNCTION("IMPORTRANGE(""https://docs.google.com/spreadsheets/d/14QNjEHU4GmPWCLJMMLbF2OEBGXX6iHnMLzuU5Hm4UOQ/edit?usp=sharing"", ""Expenses Short!""&amp;N212)"),0.0)</f>
        <v>0</v>
      </c>
      <c r="L14" s="160">
        <f>IFERROR(__xludf.DUMMYFUNCTION("IMPORTRANGE(""https://docs.google.com/spreadsheets/d/14QNjEHU4GmPWCLJMMLbF2OEBGXX6iHnMLzuU5Hm4UOQ/edit?usp=sharing"", ""Expenses Short!""&amp;O212)"),0.0)</f>
        <v>0</v>
      </c>
      <c r="M14" s="160">
        <f>IFERROR(__xludf.DUMMYFUNCTION("IMPORTRANGE(""https://docs.google.com/spreadsheets/d/14QNjEHU4GmPWCLJMMLbF2OEBGXX6iHnMLzuU5Hm4UOQ/edit?usp=sharing"", ""Expenses Short!""&amp;P212)"),0.0)</f>
        <v>0</v>
      </c>
      <c r="N14" s="160">
        <f>IFERROR(__xludf.DUMMYFUNCTION("IMPORTRANGE(""https://docs.google.com/spreadsheets/d/1XryBLk_O1ktEJvbUdIeFlUqVhVMWKuQ3iwr0stjHxBc/edit?usp=sharing"", ""Expenses Short!""&amp;E212)"),512.0)</f>
        <v>512</v>
      </c>
      <c r="O14" s="160">
        <f>IFERROR(__xludf.DUMMYFUNCTION("IMPORTRANGE(""https://docs.google.com/spreadsheets/d/1XryBLk_O1ktEJvbUdIeFlUqVhVMWKuQ3iwr0stjHxBc/edit?usp=sharing"", ""Expenses Short!""&amp;F212)"),0.0)</f>
        <v>0</v>
      </c>
      <c r="P14" s="160">
        <f>IFERROR(__xludf.DUMMYFUNCTION("IMPORTRANGE(""https://docs.google.com/spreadsheets/d/1XryBLk_O1ktEJvbUdIeFlUqVhVMWKuQ3iwr0stjHxBc/edit?usp=sharing"", ""Expenses Short!""&amp;G212)"),516.31)</f>
        <v>516.31</v>
      </c>
      <c r="Q14" s="160">
        <f>IFERROR(__xludf.DUMMYFUNCTION("IMPORTRANGE(""https://docs.google.com/spreadsheets/d/1XryBLk_O1ktEJvbUdIeFlUqVhVMWKuQ3iwr0stjHxBc/edit?usp=sharing"", ""Expenses Short!""&amp;H212)"),0.0)</f>
        <v>0</v>
      </c>
      <c r="R14" s="160">
        <f>IFERROR(__xludf.DUMMYFUNCTION("IMPORTRANGE(""https://docs.google.com/spreadsheets/d/1XryBLk_O1ktEJvbUdIeFlUqVhVMWKuQ3iwr0stjHxBc/edit?usp=sharing"", ""Expenses Short!""&amp;I212)"),0.0)</f>
        <v>0</v>
      </c>
      <c r="S14" s="160">
        <f>IFERROR(__xludf.DUMMYFUNCTION("IMPORTRANGE(""https://docs.google.com/spreadsheets/d/1XryBLk_O1ktEJvbUdIeFlUqVhVMWKuQ3iwr0stjHxBc/edit?usp=sharing"", ""Expenses Short!""&amp;J212)"),520.64)</f>
        <v>520.64</v>
      </c>
      <c r="T14" s="160">
        <f>IFERROR(__xludf.DUMMYFUNCTION("IMPORTRANGE(""https://docs.google.com/spreadsheets/d/1XryBLk_O1ktEJvbUdIeFlUqVhVMWKuQ3iwr0stjHxBc/edit?usp=sharing"", ""Expenses Short!""&amp;K212)"),0.0)</f>
        <v>0</v>
      </c>
      <c r="U14" s="160">
        <f>IFERROR(__xludf.DUMMYFUNCTION("IMPORTRANGE(""https://docs.google.com/spreadsheets/d/1XryBLk_O1ktEJvbUdIeFlUqVhVMWKuQ3iwr0stjHxBc/edit?usp=sharing"", ""Expenses Short!""&amp;L212)"),0.0)</f>
        <v>0</v>
      </c>
      <c r="V14" s="160">
        <f>IFERROR(__xludf.DUMMYFUNCTION("IMPORTRANGE(""https://docs.google.com/spreadsheets/d/1XryBLk_O1ktEJvbUdIeFlUqVhVMWKuQ3iwr0stjHxBc/edit?usp=sharing"", ""Expenses Short!""&amp;M212)"),0.0)</f>
        <v>0</v>
      </c>
      <c r="W14" s="160">
        <f>IFERROR(__xludf.DUMMYFUNCTION("IMPORTRANGE(""https://docs.google.com/spreadsheets/d/1XryBLk_O1ktEJvbUdIeFlUqVhVMWKuQ3iwr0stjHxBc/edit?usp=sharing"", ""Expenses Short!""&amp;N212)"),525.02)</f>
        <v>525.02</v>
      </c>
      <c r="X14" s="160">
        <f>IFERROR(__xludf.DUMMYFUNCTION("IMPORTRANGE(""https://docs.google.com/spreadsheets/d/1XryBLk_O1ktEJvbUdIeFlUqVhVMWKuQ3iwr0stjHxBc/edit?usp=sharing"", ""Expenses Short!""&amp;O212)"),199.73)</f>
        <v>199.73</v>
      </c>
      <c r="Y14" s="160">
        <f>IFERROR(__xludf.DUMMYFUNCTION("IMPORTRANGE(""https://docs.google.com/spreadsheets/d/1XryBLk_O1ktEJvbUdIeFlUqVhVMWKuQ3iwr0stjHxBc/edit?usp=sharing"", ""Expenses Short!""&amp;P212)"),0.0)</f>
        <v>0</v>
      </c>
      <c r="Z14" s="160"/>
      <c r="AM14" s="161"/>
      <c r="AN14" s="161"/>
      <c r="AO14" s="161"/>
      <c r="AP14" s="161"/>
      <c r="AQ14" s="161"/>
      <c r="AR14" s="161"/>
      <c r="AS14" s="161"/>
      <c r="AT14" s="161"/>
      <c r="AU14" s="165"/>
      <c r="AV14" s="162"/>
      <c r="AW14" s="165"/>
      <c r="AX14" s="161"/>
      <c r="AY14" s="162"/>
      <c r="AZ14" s="161"/>
      <c r="BA14" s="161"/>
      <c r="BB14" s="161"/>
      <c r="BC14" s="165"/>
      <c r="BD14" s="166"/>
      <c r="BE14" s="166"/>
      <c r="BF14" s="160"/>
      <c r="BG14" s="160"/>
      <c r="BH14" s="160"/>
      <c r="BI14" s="166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27"/>
      <c r="BY14" s="127"/>
      <c r="BZ14" s="148"/>
      <c r="CC14" s="148"/>
      <c r="CD14" s="148"/>
      <c r="CE14" s="148"/>
      <c r="CF14" s="148"/>
    </row>
    <row r="15">
      <c r="A15" s="136" t="s">
        <v>116</v>
      </c>
      <c r="B15" s="127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48"/>
      <c r="AZ15" s="148"/>
      <c r="BA15" s="148"/>
      <c r="BB15" s="148"/>
      <c r="BC15" s="148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48"/>
      <c r="CC15" s="148"/>
      <c r="CD15" s="148"/>
      <c r="CE15" s="148"/>
      <c r="CF15" s="148"/>
    </row>
    <row r="16">
      <c r="A16" s="136" t="s">
        <v>117</v>
      </c>
      <c r="B16" s="163">
        <f t="shared" ref="B16:Y16" si="2">sum(B2:B15)</f>
        <v>2082.59</v>
      </c>
      <c r="C16" s="163">
        <f t="shared" si="2"/>
        <v>2403.88</v>
      </c>
      <c r="D16" s="163">
        <f t="shared" si="2"/>
        <v>2791.6</v>
      </c>
      <c r="E16" s="163">
        <f t="shared" si="2"/>
        <v>1690.89</v>
      </c>
      <c r="F16" s="163">
        <f t="shared" si="2"/>
        <v>2216</v>
      </c>
      <c r="G16" s="163">
        <f t="shared" si="2"/>
        <v>2384.98</v>
      </c>
      <c r="H16" s="163">
        <f t="shared" si="2"/>
        <v>2279.34</v>
      </c>
      <c r="I16" s="163">
        <f t="shared" si="2"/>
        <v>2247.97</v>
      </c>
      <c r="J16" s="163">
        <f t="shared" si="2"/>
        <v>2514.96</v>
      </c>
      <c r="K16" s="163">
        <f t="shared" si="2"/>
        <v>1729.04</v>
      </c>
      <c r="L16" s="163">
        <f t="shared" si="2"/>
        <v>2851.07</v>
      </c>
      <c r="M16" s="163">
        <f t="shared" si="2"/>
        <v>1908.29</v>
      </c>
      <c r="N16" s="163">
        <f t="shared" si="2"/>
        <v>2876.89</v>
      </c>
      <c r="O16" s="163">
        <f t="shared" si="2"/>
        <v>2022.2</v>
      </c>
      <c r="P16" s="163">
        <f t="shared" si="2"/>
        <v>2526.78</v>
      </c>
      <c r="Q16" s="163">
        <f t="shared" si="2"/>
        <v>2237.03</v>
      </c>
      <c r="R16" s="163">
        <f t="shared" si="2"/>
        <v>2320.71</v>
      </c>
      <c r="S16" s="163">
        <f t="shared" si="2"/>
        <v>3206.81</v>
      </c>
      <c r="T16" s="163">
        <f t="shared" si="2"/>
        <v>2921.21</v>
      </c>
      <c r="U16" s="163">
        <f t="shared" si="2"/>
        <v>4428.29</v>
      </c>
      <c r="V16" s="163">
        <f t="shared" si="2"/>
        <v>1724.87</v>
      </c>
      <c r="W16" s="163">
        <f t="shared" si="2"/>
        <v>2130.54</v>
      </c>
      <c r="X16" s="163">
        <f t="shared" si="2"/>
        <v>2740.5</v>
      </c>
      <c r="Y16" s="163">
        <f t="shared" si="2"/>
        <v>1669.38</v>
      </c>
      <c r="Z16" s="163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64"/>
      <c r="AZ16" s="164"/>
      <c r="BA16" s="164"/>
      <c r="BB16" s="164"/>
      <c r="BC16" s="164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4"/>
      <c r="CC16" s="164"/>
      <c r="CD16" s="164"/>
      <c r="CE16" s="164"/>
      <c r="CF16" s="164"/>
    </row>
    <row r="17">
      <c r="B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50"/>
    </row>
    <row r="18">
      <c r="B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0"/>
      <c r="BQ18" s="150"/>
      <c r="BR18" s="150"/>
      <c r="BS18" s="150"/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/>
      <c r="CF18" s="150"/>
    </row>
    <row r="19"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</row>
    <row r="20"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</row>
    <row r="21"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</row>
    <row r="24"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</row>
    <row r="26"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</row>
    <row r="97">
      <c r="A97" s="136">
        <v>1.0</v>
      </c>
      <c r="B97" s="136">
        <f>BV97+1</f>
        <v>74</v>
      </c>
      <c r="C97" s="136">
        <f>A97+1</f>
        <v>2</v>
      </c>
      <c r="D97" s="136">
        <f t="shared" ref="D97:BV97" si="3">C97+1</f>
        <v>3</v>
      </c>
      <c r="E97" s="136">
        <f t="shared" si="3"/>
        <v>4</v>
      </c>
      <c r="F97" s="136">
        <f t="shared" si="3"/>
        <v>5</v>
      </c>
      <c r="G97" s="136">
        <f t="shared" si="3"/>
        <v>6</v>
      </c>
      <c r="H97" s="136">
        <f t="shared" si="3"/>
        <v>7</v>
      </c>
      <c r="I97" s="136">
        <f t="shared" si="3"/>
        <v>8</v>
      </c>
      <c r="J97" s="136">
        <f t="shared" si="3"/>
        <v>9</v>
      </c>
      <c r="K97" s="136">
        <f t="shared" si="3"/>
        <v>10</v>
      </c>
      <c r="L97" s="136">
        <f t="shared" si="3"/>
        <v>11</v>
      </c>
      <c r="M97" s="136">
        <f t="shared" si="3"/>
        <v>12</v>
      </c>
      <c r="N97" s="136">
        <f t="shared" si="3"/>
        <v>13</v>
      </c>
      <c r="O97" s="136">
        <f t="shared" si="3"/>
        <v>14</v>
      </c>
      <c r="P97" s="136">
        <f t="shared" si="3"/>
        <v>15</v>
      </c>
      <c r="Q97" s="136">
        <f t="shared" si="3"/>
        <v>16</v>
      </c>
      <c r="R97" s="136">
        <f t="shared" si="3"/>
        <v>17</v>
      </c>
      <c r="S97" s="136">
        <f t="shared" si="3"/>
        <v>18</v>
      </c>
      <c r="T97" s="136">
        <f t="shared" si="3"/>
        <v>19</v>
      </c>
      <c r="U97" s="136">
        <f t="shared" si="3"/>
        <v>20</v>
      </c>
      <c r="V97" s="136">
        <f t="shared" si="3"/>
        <v>21</v>
      </c>
      <c r="W97" s="136">
        <f t="shared" si="3"/>
        <v>22</v>
      </c>
      <c r="X97" s="136">
        <f t="shared" si="3"/>
        <v>23</v>
      </c>
      <c r="Y97" s="136">
        <f t="shared" si="3"/>
        <v>24</v>
      </c>
      <c r="Z97" s="136">
        <f t="shared" si="3"/>
        <v>25</v>
      </c>
      <c r="AA97" s="136">
        <f t="shared" si="3"/>
        <v>26</v>
      </c>
      <c r="AB97" s="136">
        <f t="shared" si="3"/>
        <v>27</v>
      </c>
      <c r="AC97" s="136">
        <f t="shared" si="3"/>
        <v>28</v>
      </c>
      <c r="AD97" s="136">
        <f t="shared" si="3"/>
        <v>29</v>
      </c>
      <c r="AE97" s="136">
        <f t="shared" si="3"/>
        <v>30</v>
      </c>
      <c r="AF97" s="136">
        <f t="shared" si="3"/>
        <v>31</v>
      </c>
      <c r="AG97" s="136">
        <f t="shared" si="3"/>
        <v>32</v>
      </c>
      <c r="AH97" s="136">
        <f t="shared" si="3"/>
        <v>33</v>
      </c>
      <c r="AI97" s="136">
        <f t="shared" si="3"/>
        <v>34</v>
      </c>
      <c r="AJ97" s="136">
        <f t="shared" si="3"/>
        <v>35</v>
      </c>
      <c r="AK97" s="136">
        <f t="shared" si="3"/>
        <v>36</v>
      </c>
      <c r="AL97" s="136">
        <f t="shared" si="3"/>
        <v>37</v>
      </c>
      <c r="AM97" s="136">
        <f t="shared" si="3"/>
        <v>38</v>
      </c>
      <c r="AN97" s="136">
        <f t="shared" si="3"/>
        <v>39</v>
      </c>
      <c r="AO97" s="136">
        <f t="shared" si="3"/>
        <v>40</v>
      </c>
      <c r="AP97" s="136">
        <f t="shared" si="3"/>
        <v>41</v>
      </c>
      <c r="AQ97" s="136">
        <f t="shared" si="3"/>
        <v>42</v>
      </c>
      <c r="AR97" s="136">
        <f t="shared" si="3"/>
        <v>43</v>
      </c>
      <c r="AS97" s="136">
        <f t="shared" si="3"/>
        <v>44</v>
      </c>
      <c r="AT97" s="136">
        <f t="shared" si="3"/>
        <v>45</v>
      </c>
      <c r="AU97" s="136">
        <f t="shared" si="3"/>
        <v>46</v>
      </c>
      <c r="AV97" s="136">
        <f t="shared" si="3"/>
        <v>47</v>
      </c>
      <c r="AW97" s="136">
        <f t="shared" si="3"/>
        <v>48</v>
      </c>
      <c r="AX97" s="136">
        <f t="shared" si="3"/>
        <v>49</v>
      </c>
      <c r="AY97" s="136">
        <f t="shared" si="3"/>
        <v>50</v>
      </c>
      <c r="AZ97" s="136">
        <f t="shared" si="3"/>
        <v>51</v>
      </c>
      <c r="BA97" s="136">
        <f t="shared" si="3"/>
        <v>52</v>
      </c>
      <c r="BB97" s="136">
        <f t="shared" si="3"/>
        <v>53</v>
      </c>
      <c r="BC97" s="136">
        <f t="shared" si="3"/>
        <v>54</v>
      </c>
      <c r="BD97" s="136">
        <f t="shared" si="3"/>
        <v>55</v>
      </c>
      <c r="BE97" s="136">
        <f t="shared" si="3"/>
        <v>56</v>
      </c>
      <c r="BF97" s="136">
        <f t="shared" si="3"/>
        <v>57</v>
      </c>
      <c r="BG97" s="136">
        <f t="shared" si="3"/>
        <v>58</v>
      </c>
      <c r="BH97" s="136">
        <f t="shared" si="3"/>
        <v>59</v>
      </c>
      <c r="BI97" s="136">
        <f t="shared" si="3"/>
        <v>60</v>
      </c>
      <c r="BJ97" s="136">
        <f t="shared" si="3"/>
        <v>61</v>
      </c>
      <c r="BK97" s="136">
        <f t="shared" si="3"/>
        <v>62</v>
      </c>
      <c r="BL97" s="136">
        <f t="shared" si="3"/>
        <v>63</v>
      </c>
      <c r="BM97" s="136">
        <f t="shared" si="3"/>
        <v>64</v>
      </c>
      <c r="BN97" s="136">
        <f t="shared" si="3"/>
        <v>65</v>
      </c>
      <c r="BO97" s="136">
        <f t="shared" si="3"/>
        <v>66</v>
      </c>
      <c r="BP97" s="136">
        <f t="shared" si="3"/>
        <v>67</v>
      </c>
      <c r="BQ97" s="136">
        <f t="shared" si="3"/>
        <v>68</v>
      </c>
      <c r="BR97" s="136">
        <f t="shared" si="3"/>
        <v>69</v>
      </c>
      <c r="BS97" s="136">
        <f t="shared" si="3"/>
        <v>70</v>
      </c>
      <c r="BT97" s="136">
        <f t="shared" si="3"/>
        <v>71</v>
      </c>
      <c r="BU97" s="136">
        <f t="shared" si="3"/>
        <v>72</v>
      </c>
      <c r="BV97" s="136">
        <f t="shared" si="3"/>
        <v>73</v>
      </c>
      <c r="BW97" s="136">
        <f>B97+1</f>
        <v>75</v>
      </c>
      <c r="BX97" s="136">
        <f t="shared" ref="BX97:CE97" si="4">BW97+1</f>
        <v>76</v>
      </c>
      <c r="BY97" s="136">
        <f t="shared" si="4"/>
        <v>77</v>
      </c>
      <c r="BZ97" s="136">
        <f t="shared" si="4"/>
        <v>78</v>
      </c>
      <c r="CA97" s="136">
        <f t="shared" si="4"/>
        <v>79</v>
      </c>
      <c r="CB97" s="136">
        <f t="shared" si="4"/>
        <v>80</v>
      </c>
      <c r="CC97" s="136">
        <f t="shared" si="4"/>
        <v>81</v>
      </c>
      <c r="CD97" s="136">
        <f t="shared" si="4"/>
        <v>82</v>
      </c>
      <c r="CE97" s="136">
        <f t="shared" si="4"/>
        <v>83</v>
      </c>
    </row>
    <row r="98">
      <c r="A98" s="168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69"/>
      <c r="AQ98" s="169"/>
      <c r="AR98" s="169"/>
      <c r="AS98" s="169"/>
      <c r="AT98" s="169"/>
      <c r="AU98" s="169"/>
      <c r="AV98" s="169"/>
      <c r="AW98" s="169"/>
      <c r="AX98" s="169"/>
      <c r="AY98" s="169"/>
      <c r="AZ98" s="169"/>
      <c r="BA98" s="169"/>
      <c r="BB98" s="169"/>
      <c r="BC98" s="169"/>
      <c r="BD98" s="169"/>
      <c r="BE98" s="169"/>
      <c r="BF98" s="169"/>
      <c r="BG98" s="169"/>
      <c r="BH98" s="169"/>
      <c r="BI98" s="169"/>
      <c r="BJ98" s="169"/>
      <c r="BK98" s="169"/>
      <c r="BL98" s="169"/>
      <c r="BM98" s="169"/>
      <c r="BN98" s="169"/>
      <c r="BO98" s="169"/>
      <c r="BP98" s="169"/>
      <c r="BQ98" s="169"/>
      <c r="BR98" s="169"/>
      <c r="BS98" s="169"/>
      <c r="BT98" s="169"/>
      <c r="BU98" s="169"/>
      <c r="BV98" s="169"/>
      <c r="BW98" s="169"/>
      <c r="BX98" s="169"/>
      <c r="BY98" s="169"/>
      <c r="BZ98" s="169"/>
      <c r="CA98" s="169"/>
      <c r="CB98" s="169"/>
      <c r="CC98" s="169"/>
      <c r="CD98" s="169"/>
      <c r="CE98" s="169"/>
      <c r="CF98" s="169"/>
    </row>
    <row r="99">
      <c r="A99" s="168" t="s">
        <v>118</v>
      </c>
      <c r="B99" s="169">
        <f t="shared" ref="B99:CF99" si="5">B1</f>
        <v>44562</v>
      </c>
      <c r="C99" s="169">
        <f t="shared" si="5"/>
        <v>44593</v>
      </c>
      <c r="D99" s="169">
        <f t="shared" si="5"/>
        <v>44621</v>
      </c>
      <c r="E99" s="169">
        <f t="shared" si="5"/>
        <v>44652</v>
      </c>
      <c r="F99" s="169">
        <f t="shared" si="5"/>
        <v>44682</v>
      </c>
      <c r="G99" s="169">
        <f t="shared" si="5"/>
        <v>44713</v>
      </c>
      <c r="H99" s="169">
        <f t="shared" si="5"/>
        <v>44743</v>
      </c>
      <c r="I99" s="169">
        <f t="shared" si="5"/>
        <v>44774</v>
      </c>
      <c r="J99" s="169">
        <f t="shared" si="5"/>
        <v>44805</v>
      </c>
      <c r="K99" s="169">
        <f t="shared" si="5"/>
        <v>44835</v>
      </c>
      <c r="L99" s="169">
        <f t="shared" si="5"/>
        <v>44866</v>
      </c>
      <c r="M99" s="169">
        <f t="shared" si="5"/>
        <v>44896</v>
      </c>
      <c r="N99" s="169">
        <f t="shared" si="5"/>
        <v>44927</v>
      </c>
      <c r="O99" s="169">
        <f t="shared" si="5"/>
        <v>44958</v>
      </c>
      <c r="P99" s="169">
        <f t="shared" si="5"/>
        <v>44986</v>
      </c>
      <c r="Q99" s="169">
        <f t="shared" si="5"/>
        <v>45017</v>
      </c>
      <c r="R99" s="169">
        <f t="shared" si="5"/>
        <v>45047</v>
      </c>
      <c r="S99" s="169">
        <f t="shared" si="5"/>
        <v>45078</v>
      </c>
      <c r="T99" s="169">
        <f t="shared" si="5"/>
        <v>45108</v>
      </c>
      <c r="U99" s="169">
        <f t="shared" si="5"/>
        <v>45139</v>
      </c>
      <c r="V99" s="169">
        <f t="shared" si="5"/>
        <v>45170</v>
      </c>
      <c r="W99" s="169">
        <f t="shared" si="5"/>
        <v>45200</v>
      </c>
      <c r="X99" s="169">
        <f t="shared" si="5"/>
        <v>45231</v>
      </c>
      <c r="Y99" s="169">
        <f t="shared" si="5"/>
        <v>45261</v>
      </c>
      <c r="Z99" s="169" t="str">
        <f t="shared" si="5"/>
        <v/>
      </c>
      <c r="AA99" s="169" t="str">
        <f t="shared" si="5"/>
        <v/>
      </c>
      <c r="AB99" s="169" t="str">
        <f t="shared" si="5"/>
        <v/>
      </c>
      <c r="AC99" s="169" t="str">
        <f t="shared" si="5"/>
        <v/>
      </c>
      <c r="AD99" s="169" t="str">
        <f t="shared" si="5"/>
        <v/>
      </c>
      <c r="AE99" s="169" t="str">
        <f t="shared" si="5"/>
        <v/>
      </c>
      <c r="AF99" s="169" t="str">
        <f t="shared" si="5"/>
        <v/>
      </c>
      <c r="AG99" s="169" t="str">
        <f t="shared" si="5"/>
        <v/>
      </c>
      <c r="AH99" s="169" t="str">
        <f t="shared" si="5"/>
        <v/>
      </c>
      <c r="AI99" s="169" t="str">
        <f t="shared" si="5"/>
        <v/>
      </c>
      <c r="AJ99" s="169" t="str">
        <f t="shared" si="5"/>
        <v/>
      </c>
      <c r="AK99" s="169" t="str">
        <f t="shared" si="5"/>
        <v/>
      </c>
      <c r="AL99" s="169" t="str">
        <f t="shared" si="5"/>
        <v/>
      </c>
      <c r="AM99" s="169" t="str">
        <f t="shared" si="5"/>
        <v/>
      </c>
      <c r="AN99" s="169" t="str">
        <f t="shared" si="5"/>
        <v/>
      </c>
      <c r="AO99" s="169" t="str">
        <f t="shared" si="5"/>
        <v/>
      </c>
      <c r="AP99" s="169" t="str">
        <f t="shared" si="5"/>
        <v/>
      </c>
      <c r="AQ99" s="169" t="str">
        <f t="shared" si="5"/>
        <v/>
      </c>
      <c r="AR99" s="169" t="str">
        <f t="shared" si="5"/>
        <v/>
      </c>
      <c r="AS99" s="169" t="str">
        <f t="shared" si="5"/>
        <v/>
      </c>
      <c r="AT99" s="169" t="str">
        <f t="shared" si="5"/>
        <v/>
      </c>
      <c r="AU99" s="169" t="str">
        <f t="shared" si="5"/>
        <v/>
      </c>
      <c r="AV99" s="169" t="str">
        <f t="shared" si="5"/>
        <v/>
      </c>
      <c r="AW99" s="169" t="str">
        <f t="shared" si="5"/>
        <v/>
      </c>
      <c r="AX99" s="169" t="str">
        <f t="shared" si="5"/>
        <v/>
      </c>
      <c r="AY99" s="169" t="str">
        <f t="shared" si="5"/>
        <v/>
      </c>
      <c r="AZ99" s="169" t="str">
        <f t="shared" si="5"/>
        <v/>
      </c>
      <c r="BA99" s="169" t="str">
        <f t="shared" si="5"/>
        <v/>
      </c>
      <c r="BB99" s="169" t="str">
        <f t="shared" si="5"/>
        <v/>
      </c>
      <c r="BC99" s="169" t="str">
        <f t="shared" si="5"/>
        <v/>
      </c>
      <c r="BD99" s="169" t="str">
        <f t="shared" si="5"/>
        <v/>
      </c>
      <c r="BE99" s="169" t="str">
        <f t="shared" si="5"/>
        <v/>
      </c>
      <c r="BF99" s="169" t="str">
        <f t="shared" si="5"/>
        <v/>
      </c>
      <c r="BG99" s="169" t="str">
        <f t="shared" si="5"/>
        <v/>
      </c>
      <c r="BH99" s="169" t="str">
        <f t="shared" si="5"/>
        <v/>
      </c>
      <c r="BI99" s="169" t="str">
        <f t="shared" si="5"/>
        <v/>
      </c>
      <c r="BJ99" s="169" t="str">
        <f t="shared" si="5"/>
        <v/>
      </c>
      <c r="BK99" s="169" t="str">
        <f t="shared" si="5"/>
        <v/>
      </c>
      <c r="BL99" s="169" t="str">
        <f t="shared" si="5"/>
        <v/>
      </c>
      <c r="BM99" s="169" t="str">
        <f t="shared" si="5"/>
        <v/>
      </c>
      <c r="BN99" s="169" t="str">
        <f t="shared" si="5"/>
        <v/>
      </c>
      <c r="BO99" s="169" t="str">
        <f t="shared" si="5"/>
        <v/>
      </c>
      <c r="BP99" s="169" t="str">
        <f t="shared" si="5"/>
        <v/>
      </c>
      <c r="BQ99" s="169" t="str">
        <f t="shared" si="5"/>
        <v/>
      </c>
      <c r="BR99" s="169" t="str">
        <f t="shared" si="5"/>
        <v/>
      </c>
      <c r="BS99" s="169" t="str">
        <f t="shared" si="5"/>
        <v/>
      </c>
      <c r="BT99" s="169" t="str">
        <f t="shared" si="5"/>
        <v/>
      </c>
      <c r="BU99" s="169" t="str">
        <f t="shared" si="5"/>
        <v/>
      </c>
      <c r="BV99" s="169" t="str">
        <f t="shared" si="5"/>
        <v/>
      </c>
      <c r="BW99" s="169" t="str">
        <f t="shared" si="5"/>
        <v/>
      </c>
      <c r="BX99" s="169" t="str">
        <f t="shared" si="5"/>
        <v/>
      </c>
      <c r="BY99" s="169" t="str">
        <f t="shared" si="5"/>
        <v/>
      </c>
      <c r="BZ99" s="169" t="str">
        <f t="shared" si="5"/>
        <v/>
      </c>
      <c r="CA99" s="169" t="str">
        <f t="shared" si="5"/>
        <v/>
      </c>
      <c r="CB99" s="169" t="str">
        <f t="shared" si="5"/>
        <v/>
      </c>
      <c r="CC99" s="169" t="str">
        <f t="shared" si="5"/>
        <v/>
      </c>
      <c r="CD99" s="169" t="str">
        <f t="shared" si="5"/>
        <v/>
      </c>
      <c r="CE99" s="169" t="str">
        <f t="shared" si="5"/>
        <v/>
      </c>
      <c r="CF99" s="169" t="str">
        <f t="shared" si="5"/>
        <v/>
      </c>
    </row>
    <row r="100">
      <c r="A100" s="170" t="s">
        <v>104</v>
      </c>
      <c r="B100" s="171" t="str">
        <f t="shared" ref="B100:CE100" si="6">VLOOKUP($A100, $A$3:$CF$16, B$97, false)</f>
        <v/>
      </c>
      <c r="C100" s="171">
        <f t="shared" si="6"/>
        <v>643.95</v>
      </c>
      <c r="D100" s="171">
        <f t="shared" si="6"/>
        <v>1022.27</v>
      </c>
      <c r="E100" s="171">
        <f t="shared" si="6"/>
        <v>881.95</v>
      </c>
      <c r="F100" s="171">
        <f t="shared" si="6"/>
        <v>674.74</v>
      </c>
      <c r="G100" s="171">
        <f t="shared" si="6"/>
        <v>860.99</v>
      </c>
      <c r="H100" s="171">
        <f t="shared" si="6"/>
        <v>659.74</v>
      </c>
      <c r="I100" s="171">
        <f t="shared" si="6"/>
        <v>752.95</v>
      </c>
      <c r="J100" s="171">
        <f t="shared" si="6"/>
        <v>653.75</v>
      </c>
      <c r="K100" s="171">
        <f t="shared" si="6"/>
        <v>742.83</v>
      </c>
      <c r="L100" s="171">
        <f t="shared" si="6"/>
        <v>652.74</v>
      </c>
      <c r="M100" s="171">
        <f t="shared" si="6"/>
        <v>890.68</v>
      </c>
      <c r="N100" s="171">
        <f t="shared" si="6"/>
        <v>726.02</v>
      </c>
      <c r="O100" s="171">
        <f t="shared" si="6"/>
        <v>1055.43</v>
      </c>
      <c r="P100" s="171">
        <f t="shared" si="6"/>
        <v>751.51</v>
      </c>
      <c r="Q100" s="171">
        <f t="shared" si="6"/>
        <v>908.79</v>
      </c>
      <c r="R100" s="171">
        <f t="shared" si="6"/>
        <v>642.89</v>
      </c>
      <c r="S100" s="171">
        <f t="shared" si="6"/>
        <v>656.6</v>
      </c>
      <c r="T100" s="171">
        <f t="shared" si="6"/>
        <v>1113.89</v>
      </c>
      <c r="U100" s="171">
        <f t="shared" si="6"/>
        <v>1109.48</v>
      </c>
      <c r="V100" s="171">
        <f t="shared" si="6"/>
        <v>814.94</v>
      </c>
      <c r="W100" s="171">
        <f t="shared" si="6"/>
        <v>127.97</v>
      </c>
      <c r="X100" s="171">
        <f t="shared" si="6"/>
        <v>139.17</v>
      </c>
      <c r="Y100" s="171">
        <f t="shared" si="6"/>
        <v>255.32</v>
      </c>
      <c r="Z100" s="171">
        <f t="shared" si="6"/>
        <v>90.31</v>
      </c>
      <c r="AA100" s="171" t="str">
        <f t="shared" si="6"/>
        <v/>
      </c>
      <c r="AB100" s="171" t="str">
        <f t="shared" si="6"/>
        <v/>
      </c>
      <c r="AC100" s="171" t="str">
        <f t="shared" si="6"/>
        <v/>
      </c>
      <c r="AD100" s="171" t="str">
        <f t="shared" si="6"/>
        <v/>
      </c>
      <c r="AE100" s="171" t="str">
        <f t="shared" si="6"/>
        <v/>
      </c>
      <c r="AF100" s="171" t="str">
        <f t="shared" si="6"/>
        <v/>
      </c>
      <c r="AG100" s="171" t="str">
        <f t="shared" si="6"/>
        <v/>
      </c>
      <c r="AH100" s="171" t="str">
        <f t="shared" si="6"/>
        <v/>
      </c>
      <c r="AI100" s="171" t="str">
        <f t="shared" si="6"/>
        <v/>
      </c>
      <c r="AJ100" s="171" t="str">
        <f t="shared" si="6"/>
        <v/>
      </c>
      <c r="AK100" s="171" t="str">
        <f t="shared" si="6"/>
        <v/>
      </c>
      <c r="AL100" s="171" t="str">
        <f t="shared" si="6"/>
        <v/>
      </c>
      <c r="AM100" s="171" t="str">
        <f t="shared" si="6"/>
        <v/>
      </c>
      <c r="AN100" s="171" t="str">
        <f t="shared" si="6"/>
        <v/>
      </c>
      <c r="AO100" s="171" t="str">
        <f t="shared" si="6"/>
        <v/>
      </c>
      <c r="AP100" s="171" t="str">
        <f t="shared" si="6"/>
        <v/>
      </c>
      <c r="AQ100" s="171" t="str">
        <f t="shared" si="6"/>
        <v/>
      </c>
      <c r="AR100" s="171" t="str">
        <f t="shared" si="6"/>
        <v/>
      </c>
      <c r="AS100" s="171" t="str">
        <f t="shared" si="6"/>
        <v/>
      </c>
      <c r="AT100" s="171" t="str">
        <f t="shared" si="6"/>
        <v/>
      </c>
      <c r="AU100" s="171" t="str">
        <f t="shared" si="6"/>
        <v/>
      </c>
      <c r="AV100" s="171" t="str">
        <f t="shared" si="6"/>
        <v/>
      </c>
      <c r="AW100" s="171" t="str">
        <f t="shared" si="6"/>
        <v/>
      </c>
      <c r="AX100" s="171" t="str">
        <f t="shared" si="6"/>
        <v/>
      </c>
      <c r="AY100" s="171" t="str">
        <f t="shared" si="6"/>
        <v/>
      </c>
      <c r="AZ100" s="171" t="str">
        <f t="shared" si="6"/>
        <v/>
      </c>
      <c r="BA100" s="171" t="str">
        <f t="shared" si="6"/>
        <v/>
      </c>
      <c r="BB100" s="171" t="str">
        <f t="shared" si="6"/>
        <v/>
      </c>
      <c r="BC100" s="171" t="str">
        <f t="shared" si="6"/>
        <v/>
      </c>
      <c r="BD100" s="171" t="str">
        <f t="shared" si="6"/>
        <v/>
      </c>
      <c r="BE100" s="171" t="str">
        <f t="shared" si="6"/>
        <v/>
      </c>
      <c r="BF100" s="171" t="str">
        <f t="shared" si="6"/>
        <v/>
      </c>
      <c r="BG100" s="171" t="str">
        <f t="shared" si="6"/>
        <v/>
      </c>
      <c r="BH100" s="171" t="str">
        <f t="shared" si="6"/>
        <v/>
      </c>
      <c r="BI100" s="171" t="str">
        <f t="shared" si="6"/>
        <v/>
      </c>
      <c r="BJ100" s="171" t="str">
        <f t="shared" si="6"/>
        <v/>
      </c>
      <c r="BK100" s="171" t="str">
        <f t="shared" si="6"/>
        <v/>
      </c>
      <c r="BL100" s="171" t="str">
        <f t="shared" si="6"/>
        <v/>
      </c>
      <c r="BM100" s="171" t="str">
        <f t="shared" si="6"/>
        <v/>
      </c>
      <c r="BN100" s="171" t="str">
        <f t="shared" si="6"/>
        <v/>
      </c>
      <c r="BO100" s="171" t="str">
        <f t="shared" si="6"/>
        <v/>
      </c>
      <c r="BP100" s="171" t="str">
        <f t="shared" si="6"/>
        <v/>
      </c>
      <c r="BQ100" s="171" t="str">
        <f t="shared" si="6"/>
        <v/>
      </c>
      <c r="BR100" s="171" t="str">
        <f t="shared" si="6"/>
        <v/>
      </c>
      <c r="BS100" s="171" t="str">
        <f t="shared" si="6"/>
        <v/>
      </c>
      <c r="BT100" s="171" t="str">
        <f t="shared" si="6"/>
        <v/>
      </c>
      <c r="BU100" s="171" t="str">
        <f t="shared" si="6"/>
        <v/>
      </c>
      <c r="BV100" s="171" t="str">
        <f t="shared" si="6"/>
        <v/>
      </c>
      <c r="BW100" s="171" t="str">
        <f t="shared" si="6"/>
        <v/>
      </c>
      <c r="BX100" s="171" t="str">
        <f t="shared" si="6"/>
        <v/>
      </c>
      <c r="BY100" s="171" t="str">
        <f t="shared" si="6"/>
        <v/>
      </c>
      <c r="BZ100" s="171" t="str">
        <f t="shared" si="6"/>
        <v/>
      </c>
      <c r="CA100" s="171" t="str">
        <f t="shared" si="6"/>
        <v/>
      </c>
      <c r="CB100" s="171" t="str">
        <f t="shared" si="6"/>
        <v/>
      </c>
      <c r="CC100" s="171" t="str">
        <f t="shared" si="6"/>
        <v/>
      </c>
      <c r="CD100" s="171" t="str">
        <f t="shared" si="6"/>
        <v/>
      </c>
      <c r="CE100" s="171" t="str">
        <f t="shared" si="6"/>
        <v/>
      </c>
      <c r="CF100" s="171"/>
    </row>
    <row r="101">
      <c r="A101" s="170" t="s">
        <v>106</v>
      </c>
      <c r="B101" s="171" t="str">
        <f t="shared" ref="B101:CE101" si="7">VLOOKUP($A101, $A$3:$CF$16, B$97, false)</f>
        <v/>
      </c>
      <c r="C101" s="171">
        <f t="shared" si="7"/>
        <v>127.62</v>
      </c>
      <c r="D101" s="171">
        <f t="shared" si="7"/>
        <v>122.81</v>
      </c>
      <c r="E101" s="171">
        <f t="shared" si="7"/>
        <v>185.05</v>
      </c>
      <c r="F101" s="171">
        <f t="shared" si="7"/>
        <v>94.02</v>
      </c>
      <c r="G101" s="171">
        <f t="shared" si="7"/>
        <v>71.62</v>
      </c>
      <c r="H101" s="171">
        <f t="shared" si="7"/>
        <v>6.05</v>
      </c>
      <c r="I101" s="171">
        <f t="shared" si="7"/>
        <v>7.47</v>
      </c>
      <c r="J101" s="171">
        <f t="shared" si="7"/>
        <v>8.17</v>
      </c>
      <c r="K101" s="171">
        <f t="shared" si="7"/>
        <v>28.69</v>
      </c>
      <c r="L101" s="171">
        <f t="shared" si="7"/>
        <v>17.71</v>
      </c>
      <c r="M101" s="171">
        <f t="shared" si="7"/>
        <v>74.83</v>
      </c>
      <c r="N101" s="171">
        <f t="shared" si="7"/>
        <v>178.88</v>
      </c>
      <c r="O101" s="171">
        <f t="shared" si="7"/>
        <v>67.23</v>
      </c>
      <c r="P101" s="171">
        <f t="shared" si="7"/>
        <v>65.96</v>
      </c>
      <c r="Q101" s="171">
        <f t="shared" si="7"/>
        <v>85.01</v>
      </c>
      <c r="R101" s="171">
        <f t="shared" si="7"/>
        <v>36.87</v>
      </c>
      <c r="S101" s="171">
        <f t="shared" si="7"/>
        <v>57.6</v>
      </c>
      <c r="T101" s="171">
        <f t="shared" si="7"/>
        <v>123.67</v>
      </c>
      <c r="U101" s="171">
        <f t="shared" si="7"/>
        <v>7.64</v>
      </c>
      <c r="V101" s="171">
        <f t="shared" si="7"/>
        <v>2.96</v>
      </c>
      <c r="W101" s="171">
        <f t="shared" si="7"/>
        <v>61.17</v>
      </c>
      <c r="X101" s="171">
        <f t="shared" si="7"/>
        <v>134.03</v>
      </c>
      <c r="Y101" s="171">
        <f t="shared" si="7"/>
        <v>0</v>
      </c>
      <c r="Z101" s="171">
        <f t="shared" si="7"/>
        <v>102.89</v>
      </c>
      <c r="AA101" s="171" t="str">
        <f t="shared" si="7"/>
        <v/>
      </c>
      <c r="AB101" s="171" t="str">
        <f t="shared" si="7"/>
        <v/>
      </c>
      <c r="AC101" s="171" t="str">
        <f t="shared" si="7"/>
        <v/>
      </c>
      <c r="AD101" s="171" t="str">
        <f t="shared" si="7"/>
        <v/>
      </c>
      <c r="AE101" s="171" t="str">
        <f t="shared" si="7"/>
        <v/>
      </c>
      <c r="AF101" s="171" t="str">
        <f t="shared" si="7"/>
        <v/>
      </c>
      <c r="AG101" s="171" t="str">
        <f t="shared" si="7"/>
        <v/>
      </c>
      <c r="AH101" s="171" t="str">
        <f t="shared" si="7"/>
        <v/>
      </c>
      <c r="AI101" s="171" t="str">
        <f t="shared" si="7"/>
        <v/>
      </c>
      <c r="AJ101" s="171" t="str">
        <f t="shared" si="7"/>
        <v/>
      </c>
      <c r="AK101" s="171" t="str">
        <f t="shared" si="7"/>
        <v/>
      </c>
      <c r="AL101" s="171" t="str">
        <f t="shared" si="7"/>
        <v/>
      </c>
      <c r="AM101" s="171" t="str">
        <f t="shared" si="7"/>
        <v/>
      </c>
      <c r="AN101" s="171" t="str">
        <f t="shared" si="7"/>
        <v/>
      </c>
      <c r="AO101" s="171" t="str">
        <f t="shared" si="7"/>
        <v/>
      </c>
      <c r="AP101" s="171" t="str">
        <f t="shared" si="7"/>
        <v/>
      </c>
      <c r="AQ101" s="171" t="str">
        <f t="shared" si="7"/>
        <v/>
      </c>
      <c r="AR101" s="171" t="str">
        <f t="shared" si="7"/>
        <v/>
      </c>
      <c r="AS101" s="171" t="str">
        <f t="shared" si="7"/>
        <v/>
      </c>
      <c r="AT101" s="171" t="str">
        <f t="shared" si="7"/>
        <v/>
      </c>
      <c r="AU101" s="171" t="str">
        <f t="shared" si="7"/>
        <v/>
      </c>
      <c r="AV101" s="171" t="str">
        <f t="shared" si="7"/>
        <v/>
      </c>
      <c r="AW101" s="171" t="str">
        <f t="shared" si="7"/>
        <v/>
      </c>
      <c r="AX101" s="171" t="str">
        <f t="shared" si="7"/>
        <v/>
      </c>
      <c r="AY101" s="171" t="str">
        <f t="shared" si="7"/>
        <v/>
      </c>
      <c r="AZ101" s="171" t="str">
        <f t="shared" si="7"/>
        <v/>
      </c>
      <c r="BA101" s="171" t="str">
        <f t="shared" si="7"/>
        <v/>
      </c>
      <c r="BB101" s="171" t="str">
        <f t="shared" si="7"/>
        <v/>
      </c>
      <c r="BC101" s="171" t="str">
        <f t="shared" si="7"/>
        <v/>
      </c>
      <c r="BD101" s="171" t="str">
        <f t="shared" si="7"/>
        <v/>
      </c>
      <c r="BE101" s="171" t="str">
        <f t="shared" si="7"/>
        <v/>
      </c>
      <c r="BF101" s="171" t="str">
        <f t="shared" si="7"/>
        <v/>
      </c>
      <c r="BG101" s="171" t="str">
        <f t="shared" si="7"/>
        <v/>
      </c>
      <c r="BH101" s="171" t="str">
        <f t="shared" si="7"/>
        <v/>
      </c>
      <c r="BI101" s="171" t="str">
        <f t="shared" si="7"/>
        <v/>
      </c>
      <c r="BJ101" s="171" t="str">
        <f t="shared" si="7"/>
        <v/>
      </c>
      <c r="BK101" s="171" t="str">
        <f t="shared" si="7"/>
        <v/>
      </c>
      <c r="BL101" s="171" t="str">
        <f t="shared" si="7"/>
        <v/>
      </c>
      <c r="BM101" s="171" t="str">
        <f t="shared" si="7"/>
        <v/>
      </c>
      <c r="BN101" s="171" t="str">
        <f t="shared" si="7"/>
        <v/>
      </c>
      <c r="BO101" s="171" t="str">
        <f t="shared" si="7"/>
        <v/>
      </c>
      <c r="BP101" s="171" t="str">
        <f t="shared" si="7"/>
        <v/>
      </c>
      <c r="BQ101" s="171" t="str">
        <f t="shared" si="7"/>
        <v/>
      </c>
      <c r="BR101" s="171" t="str">
        <f t="shared" si="7"/>
        <v/>
      </c>
      <c r="BS101" s="171" t="str">
        <f t="shared" si="7"/>
        <v/>
      </c>
      <c r="BT101" s="171" t="str">
        <f t="shared" si="7"/>
        <v/>
      </c>
      <c r="BU101" s="171" t="str">
        <f t="shared" si="7"/>
        <v/>
      </c>
      <c r="BV101" s="171" t="str">
        <f t="shared" si="7"/>
        <v/>
      </c>
      <c r="BW101" s="171" t="str">
        <f t="shared" si="7"/>
        <v/>
      </c>
      <c r="BX101" s="171" t="str">
        <f t="shared" si="7"/>
        <v/>
      </c>
      <c r="BY101" s="171" t="str">
        <f t="shared" si="7"/>
        <v/>
      </c>
      <c r="BZ101" s="171" t="str">
        <f t="shared" si="7"/>
        <v/>
      </c>
      <c r="CA101" s="171" t="str">
        <f t="shared" si="7"/>
        <v/>
      </c>
      <c r="CB101" s="171" t="str">
        <f t="shared" si="7"/>
        <v/>
      </c>
      <c r="CC101" s="171" t="str">
        <f t="shared" si="7"/>
        <v/>
      </c>
      <c r="CD101" s="171" t="str">
        <f t="shared" si="7"/>
        <v/>
      </c>
      <c r="CE101" s="171" t="str">
        <f t="shared" si="7"/>
        <v/>
      </c>
      <c r="CF101" s="171"/>
    </row>
    <row r="102">
      <c r="A102" s="170" t="s">
        <v>108</v>
      </c>
      <c r="B102" s="171" t="str">
        <f t="shared" ref="B102:CE102" si="8">VLOOKUP($A102, $A$3:$CF$16, B$97, false)</f>
        <v/>
      </c>
      <c r="C102" s="171">
        <f t="shared" si="8"/>
        <v>536.78</v>
      </c>
      <c r="D102" s="171">
        <f t="shared" si="8"/>
        <v>402.53</v>
      </c>
      <c r="E102" s="171">
        <f t="shared" si="8"/>
        <v>318.74</v>
      </c>
      <c r="F102" s="171">
        <f t="shared" si="8"/>
        <v>253.74</v>
      </c>
      <c r="G102" s="171">
        <f t="shared" si="8"/>
        <v>468.59</v>
      </c>
      <c r="H102" s="171">
        <f t="shared" si="8"/>
        <v>458.02</v>
      </c>
      <c r="I102" s="171">
        <f t="shared" si="8"/>
        <v>305.97</v>
      </c>
      <c r="J102" s="171">
        <f t="shared" si="8"/>
        <v>311.76</v>
      </c>
      <c r="K102" s="171">
        <f t="shared" si="8"/>
        <v>591.96</v>
      </c>
      <c r="L102" s="171">
        <f t="shared" si="8"/>
        <v>509.79</v>
      </c>
      <c r="M102" s="171">
        <f t="shared" si="8"/>
        <v>437.39</v>
      </c>
      <c r="N102" s="171">
        <f t="shared" si="8"/>
        <v>372.17</v>
      </c>
      <c r="O102" s="171">
        <f t="shared" si="8"/>
        <v>273.74</v>
      </c>
      <c r="P102" s="171">
        <f t="shared" si="8"/>
        <v>358.78</v>
      </c>
      <c r="Q102" s="171">
        <f t="shared" si="8"/>
        <v>394.16</v>
      </c>
      <c r="R102" s="171">
        <f t="shared" si="8"/>
        <v>816.03</v>
      </c>
      <c r="S102" s="171">
        <f t="shared" si="8"/>
        <v>574.19</v>
      </c>
      <c r="T102" s="171">
        <f t="shared" si="8"/>
        <v>772.79</v>
      </c>
      <c r="U102" s="171">
        <f t="shared" si="8"/>
        <v>1020.34</v>
      </c>
      <c r="V102" s="171">
        <f t="shared" si="8"/>
        <v>236.73</v>
      </c>
      <c r="W102" s="171">
        <f t="shared" si="8"/>
        <v>497.56</v>
      </c>
      <c r="X102" s="171">
        <f t="shared" si="8"/>
        <v>338.82</v>
      </c>
      <c r="Y102" s="171">
        <f t="shared" si="8"/>
        <v>605.94</v>
      </c>
      <c r="Z102" s="171">
        <f t="shared" si="8"/>
        <v>445.59</v>
      </c>
      <c r="AA102" s="171" t="str">
        <f t="shared" si="8"/>
        <v/>
      </c>
      <c r="AB102" s="171" t="str">
        <f t="shared" si="8"/>
        <v/>
      </c>
      <c r="AC102" s="171" t="str">
        <f t="shared" si="8"/>
        <v/>
      </c>
      <c r="AD102" s="171" t="str">
        <f t="shared" si="8"/>
        <v/>
      </c>
      <c r="AE102" s="171" t="str">
        <f t="shared" si="8"/>
        <v/>
      </c>
      <c r="AF102" s="171" t="str">
        <f t="shared" si="8"/>
        <v/>
      </c>
      <c r="AG102" s="171" t="str">
        <f t="shared" si="8"/>
        <v/>
      </c>
      <c r="AH102" s="171" t="str">
        <f t="shared" si="8"/>
        <v/>
      </c>
      <c r="AI102" s="171" t="str">
        <f t="shared" si="8"/>
        <v/>
      </c>
      <c r="AJ102" s="171" t="str">
        <f t="shared" si="8"/>
        <v/>
      </c>
      <c r="AK102" s="171" t="str">
        <f t="shared" si="8"/>
        <v/>
      </c>
      <c r="AL102" s="171" t="str">
        <f t="shared" si="8"/>
        <v/>
      </c>
      <c r="AM102" s="171" t="str">
        <f t="shared" si="8"/>
        <v/>
      </c>
      <c r="AN102" s="171" t="str">
        <f t="shared" si="8"/>
        <v/>
      </c>
      <c r="AO102" s="171" t="str">
        <f t="shared" si="8"/>
        <v/>
      </c>
      <c r="AP102" s="171" t="str">
        <f t="shared" si="8"/>
        <v/>
      </c>
      <c r="AQ102" s="171" t="str">
        <f t="shared" si="8"/>
        <v/>
      </c>
      <c r="AR102" s="171" t="str">
        <f t="shared" si="8"/>
        <v/>
      </c>
      <c r="AS102" s="171" t="str">
        <f t="shared" si="8"/>
        <v/>
      </c>
      <c r="AT102" s="171" t="str">
        <f t="shared" si="8"/>
        <v/>
      </c>
      <c r="AU102" s="171" t="str">
        <f t="shared" si="8"/>
        <v/>
      </c>
      <c r="AV102" s="171" t="str">
        <f t="shared" si="8"/>
        <v/>
      </c>
      <c r="AW102" s="171" t="str">
        <f t="shared" si="8"/>
        <v/>
      </c>
      <c r="AX102" s="171" t="str">
        <f t="shared" si="8"/>
        <v/>
      </c>
      <c r="AY102" s="171" t="str">
        <f t="shared" si="8"/>
        <v/>
      </c>
      <c r="AZ102" s="171" t="str">
        <f t="shared" si="8"/>
        <v/>
      </c>
      <c r="BA102" s="171" t="str">
        <f t="shared" si="8"/>
        <v/>
      </c>
      <c r="BB102" s="171" t="str">
        <f t="shared" si="8"/>
        <v/>
      </c>
      <c r="BC102" s="171" t="str">
        <f t="shared" si="8"/>
        <v/>
      </c>
      <c r="BD102" s="171" t="str">
        <f t="shared" si="8"/>
        <v/>
      </c>
      <c r="BE102" s="171" t="str">
        <f t="shared" si="8"/>
        <v/>
      </c>
      <c r="BF102" s="171" t="str">
        <f t="shared" si="8"/>
        <v/>
      </c>
      <c r="BG102" s="171" t="str">
        <f t="shared" si="8"/>
        <v/>
      </c>
      <c r="BH102" s="171" t="str">
        <f t="shared" si="8"/>
        <v/>
      </c>
      <c r="BI102" s="171" t="str">
        <f t="shared" si="8"/>
        <v/>
      </c>
      <c r="BJ102" s="171" t="str">
        <f t="shared" si="8"/>
        <v/>
      </c>
      <c r="BK102" s="171" t="str">
        <f t="shared" si="8"/>
        <v/>
      </c>
      <c r="BL102" s="171" t="str">
        <f t="shared" si="8"/>
        <v/>
      </c>
      <c r="BM102" s="171" t="str">
        <f t="shared" si="8"/>
        <v/>
      </c>
      <c r="BN102" s="171" t="str">
        <f t="shared" si="8"/>
        <v/>
      </c>
      <c r="BO102" s="171" t="str">
        <f t="shared" si="8"/>
        <v/>
      </c>
      <c r="BP102" s="171" t="str">
        <f t="shared" si="8"/>
        <v/>
      </c>
      <c r="BQ102" s="171" t="str">
        <f t="shared" si="8"/>
        <v/>
      </c>
      <c r="BR102" s="171" t="str">
        <f t="shared" si="8"/>
        <v/>
      </c>
      <c r="BS102" s="171" t="str">
        <f t="shared" si="8"/>
        <v/>
      </c>
      <c r="BT102" s="171" t="str">
        <f t="shared" si="8"/>
        <v/>
      </c>
      <c r="BU102" s="171" t="str">
        <f t="shared" si="8"/>
        <v/>
      </c>
      <c r="BV102" s="171" t="str">
        <f t="shared" si="8"/>
        <v/>
      </c>
      <c r="BW102" s="171" t="str">
        <f t="shared" si="8"/>
        <v/>
      </c>
      <c r="BX102" s="171" t="str">
        <f t="shared" si="8"/>
        <v/>
      </c>
      <c r="BY102" s="171" t="str">
        <f t="shared" si="8"/>
        <v/>
      </c>
      <c r="BZ102" s="171" t="str">
        <f t="shared" si="8"/>
        <v/>
      </c>
      <c r="CA102" s="171" t="str">
        <f t="shared" si="8"/>
        <v/>
      </c>
      <c r="CB102" s="171" t="str">
        <f t="shared" si="8"/>
        <v/>
      </c>
      <c r="CC102" s="171" t="str">
        <f t="shared" si="8"/>
        <v/>
      </c>
      <c r="CD102" s="171" t="str">
        <f t="shared" si="8"/>
        <v/>
      </c>
      <c r="CE102" s="171" t="str">
        <f t="shared" si="8"/>
        <v/>
      </c>
      <c r="CF102" s="171"/>
    </row>
    <row r="103">
      <c r="A103" s="170" t="s">
        <v>116</v>
      </c>
      <c r="B103" s="171" t="str">
        <f t="shared" ref="B103:CE103" si="9">VLOOKUP($A103, $A$3:$CF$16, B$97, false)</f>
        <v/>
      </c>
      <c r="C103" s="171" t="str">
        <f t="shared" si="9"/>
        <v/>
      </c>
      <c r="D103" s="171" t="str">
        <f t="shared" si="9"/>
        <v/>
      </c>
      <c r="E103" s="171" t="str">
        <f t="shared" si="9"/>
        <v/>
      </c>
      <c r="F103" s="171" t="str">
        <f t="shared" si="9"/>
        <v/>
      </c>
      <c r="G103" s="171" t="str">
        <f t="shared" si="9"/>
        <v/>
      </c>
      <c r="H103" s="171" t="str">
        <f t="shared" si="9"/>
        <v/>
      </c>
      <c r="I103" s="171" t="str">
        <f t="shared" si="9"/>
        <v/>
      </c>
      <c r="J103" s="171" t="str">
        <f t="shared" si="9"/>
        <v/>
      </c>
      <c r="K103" s="171" t="str">
        <f t="shared" si="9"/>
        <v/>
      </c>
      <c r="L103" s="171" t="str">
        <f t="shared" si="9"/>
        <v/>
      </c>
      <c r="M103" s="171" t="str">
        <f t="shared" si="9"/>
        <v/>
      </c>
      <c r="N103" s="171" t="str">
        <f t="shared" si="9"/>
        <v/>
      </c>
      <c r="O103" s="171" t="str">
        <f t="shared" si="9"/>
        <v/>
      </c>
      <c r="P103" s="171" t="str">
        <f t="shared" si="9"/>
        <v/>
      </c>
      <c r="Q103" s="171" t="str">
        <f t="shared" si="9"/>
        <v/>
      </c>
      <c r="R103" s="171" t="str">
        <f t="shared" si="9"/>
        <v/>
      </c>
      <c r="S103" s="171" t="str">
        <f t="shared" si="9"/>
        <v/>
      </c>
      <c r="T103" s="171" t="str">
        <f t="shared" si="9"/>
        <v/>
      </c>
      <c r="U103" s="171" t="str">
        <f t="shared" si="9"/>
        <v/>
      </c>
      <c r="V103" s="171" t="str">
        <f t="shared" si="9"/>
        <v/>
      </c>
      <c r="W103" s="171" t="str">
        <f t="shared" si="9"/>
        <v/>
      </c>
      <c r="X103" s="171" t="str">
        <f t="shared" si="9"/>
        <v/>
      </c>
      <c r="Y103" s="171" t="str">
        <f t="shared" si="9"/>
        <v/>
      </c>
      <c r="Z103" s="171" t="str">
        <f t="shared" si="9"/>
        <v/>
      </c>
      <c r="AA103" s="171" t="str">
        <f t="shared" si="9"/>
        <v/>
      </c>
      <c r="AB103" s="171" t="str">
        <f t="shared" si="9"/>
        <v/>
      </c>
      <c r="AC103" s="171" t="str">
        <f t="shared" si="9"/>
        <v/>
      </c>
      <c r="AD103" s="171" t="str">
        <f t="shared" si="9"/>
        <v/>
      </c>
      <c r="AE103" s="171" t="str">
        <f t="shared" si="9"/>
        <v/>
      </c>
      <c r="AF103" s="171" t="str">
        <f t="shared" si="9"/>
        <v/>
      </c>
      <c r="AG103" s="171" t="str">
        <f t="shared" si="9"/>
        <v/>
      </c>
      <c r="AH103" s="171" t="str">
        <f t="shared" si="9"/>
        <v/>
      </c>
      <c r="AI103" s="171" t="str">
        <f t="shared" si="9"/>
        <v/>
      </c>
      <c r="AJ103" s="171" t="str">
        <f t="shared" si="9"/>
        <v/>
      </c>
      <c r="AK103" s="171" t="str">
        <f t="shared" si="9"/>
        <v/>
      </c>
      <c r="AL103" s="171" t="str">
        <f t="shared" si="9"/>
        <v/>
      </c>
      <c r="AM103" s="171" t="str">
        <f t="shared" si="9"/>
        <v/>
      </c>
      <c r="AN103" s="171" t="str">
        <f t="shared" si="9"/>
        <v/>
      </c>
      <c r="AO103" s="171" t="str">
        <f t="shared" si="9"/>
        <v/>
      </c>
      <c r="AP103" s="171" t="str">
        <f t="shared" si="9"/>
        <v/>
      </c>
      <c r="AQ103" s="171" t="str">
        <f t="shared" si="9"/>
        <v/>
      </c>
      <c r="AR103" s="171" t="str">
        <f t="shared" si="9"/>
        <v/>
      </c>
      <c r="AS103" s="171" t="str">
        <f t="shared" si="9"/>
        <v/>
      </c>
      <c r="AT103" s="171" t="str">
        <f t="shared" si="9"/>
        <v/>
      </c>
      <c r="AU103" s="171" t="str">
        <f t="shared" si="9"/>
        <v/>
      </c>
      <c r="AV103" s="171" t="str">
        <f t="shared" si="9"/>
        <v/>
      </c>
      <c r="AW103" s="171" t="str">
        <f t="shared" si="9"/>
        <v/>
      </c>
      <c r="AX103" s="171" t="str">
        <f t="shared" si="9"/>
        <v/>
      </c>
      <c r="AY103" s="171" t="str">
        <f t="shared" si="9"/>
        <v/>
      </c>
      <c r="AZ103" s="171" t="str">
        <f t="shared" si="9"/>
        <v/>
      </c>
      <c r="BA103" s="171" t="str">
        <f t="shared" si="9"/>
        <v/>
      </c>
      <c r="BB103" s="171" t="str">
        <f t="shared" si="9"/>
        <v/>
      </c>
      <c r="BC103" s="171" t="str">
        <f t="shared" si="9"/>
        <v/>
      </c>
      <c r="BD103" s="171" t="str">
        <f t="shared" si="9"/>
        <v/>
      </c>
      <c r="BE103" s="171" t="str">
        <f t="shared" si="9"/>
        <v/>
      </c>
      <c r="BF103" s="171" t="str">
        <f t="shared" si="9"/>
        <v/>
      </c>
      <c r="BG103" s="171" t="str">
        <f t="shared" si="9"/>
        <v/>
      </c>
      <c r="BH103" s="171" t="str">
        <f t="shared" si="9"/>
        <v/>
      </c>
      <c r="BI103" s="171" t="str">
        <f t="shared" si="9"/>
        <v/>
      </c>
      <c r="BJ103" s="171" t="str">
        <f t="shared" si="9"/>
        <v/>
      </c>
      <c r="BK103" s="171" t="str">
        <f t="shared" si="9"/>
        <v/>
      </c>
      <c r="BL103" s="171" t="str">
        <f t="shared" si="9"/>
        <v/>
      </c>
      <c r="BM103" s="171" t="str">
        <f t="shared" si="9"/>
        <v/>
      </c>
      <c r="BN103" s="171" t="str">
        <f t="shared" si="9"/>
        <v/>
      </c>
      <c r="BO103" s="171" t="str">
        <f t="shared" si="9"/>
        <v/>
      </c>
      <c r="BP103" s="171" t="str">
        <f t="shared" si="9"/>
        <v/>
      </c>
      <c r="BQ103" s="171" t="str">
        <f t="shared" si="9"/>
        <v/>
      </c>
      <c r="BR103" s="171" t="str">
        <f t="shared" si="9"/>
        <v/>
      </c>
      <c r="BS103" s="171" t="str">
        <f t="shared" si="9"/>
        <v/>
      </c>
      <c r="BT103" s="171" t="str">
        <f t="shared" si="9"/>
        <v/>
      </c>
      <c r="BU103" s="171" t="str">
        <f t="shared" si="9"/>
        <v/>
      </c>
      <c r="BV103" s="171" t="str">
        <f t="shared" si="9"/>
        <v/>
      </c>
      <c r="BW103" s="171" t="str">
        <f t="shared" si="9"/>
        <v/>
      </c>
      <c r="BX103" s="171" t="str">
        <f t="shared" si="9"/>
        <v/>
      </c>
      <c r="BY103" s="171" t="str">
        <f t="shared" si="9"/>
        <v/>
      </c>
      <c r="BZ103" s="171" t="str">
        <f t="shared" si="9"/>
        <v/>
      </c>
      <c r="CA103" s="171" t="str">
        <f t="shared" si="9"/>
        <v/>
      </c>
      <c r="CB103" s="171" t="str">
        <f t="shared" si="9"/>
        <v/>
      </c>
      <c r="CC103" s="171" t="str">
        <f t="shared" si="9"/>
        <v/>
      </c>
      <c r="CD103" s="171" t="str">
        <f t="shared" si="9"/>
        <v/>
      </c>
      <c r="CE103" s="171" t="str">
        <f t="shared" si="9"/>
        <v/>
      </c>
    </row>
    <row r="104">
      <c r="A104" s="170" t="s">
        <v>116</v>
      </c>
      <c r="B104" s="171" t="str">
        <f t="shared" ref="B104:CE104" si="10">VLOOKUP($A104, $A$3:$CF$16, B$97, false)</f>
        <v/>
      </c>
      <c r="C104" s="171" t="str">
        <f t="shared" si="10"/>
        <v/>
      </c>
      <c r="D104" s="171" t="str">
        <f t="shared" si="10"/>
        <v/>
      </c>
      <c r="E104" s="171" t="str">
        <f t="shared" si="10"/>
        <v/>
      </c>
      <c r="F104" s="171" t="str">
        <f t="shared" si="10"/>
        <v/>
      </c>
      <c r="G104" s="171" t="str">
        <f t="shared" si="10"/>
        <v/>
      </c>
      <c r="H104" s="171" t="str">
        <f t="shared" si="10"/>
        <v/>
      </c>
      <c r="I104" s="171" t="str">
        <f t="shared" si="10"/>
        <v/>
      </c>
      <c r="J104" s="171" t="str">
        <f t="shared" si="10"/>
        <v/>
      </c>
      <c r="K104" s="171" t="str">
        <f t="shared" si="10"/>
        <v/>
      </c>
      <c r="L104" s="171" t="str">
        <f t="shared" si="10"/>
        <v/>
      </c>
      <c r="M104" s="171" t="str">
        <f t="shared" si="10"/>
        <v/>
      </c>
      <c r="N104" s="171" t="str">
        <f t="shared" si="10"/>
        <v/>
      </c>
      <c r="O104" s="171" t="str">
        <f t="shared" si="10"/>
        <v/>
      </c>
      <c r="P104" s="171" t="str">
        <f t="shared" si="10"/>
        <v/>
      </c>
      <c r="Q104" s="171" t="str">
        <f t="shared" si="10"/>
        <v/>
      </c>
      <c r="R104" s="171" t="str">
        <f t="shared" si="10"/>
        <v/>
      </c>
      <c r="S104" s="171" t="str">
        <f t="shared" si="10"/>
        <v/>
      </c>
      <c r="T104" s="171" t="str">
        <f t="shared" si="10"/>
        <v/>
      </c>
      <c r="U104" s="171" t="str">
        <f t="shared" si="10"/>
        <v/>
      </c>
      <c r="V104" s="171" t="str">
        <f t="shared" si="10"/>
        <v/>
      </c>
      <c r="W104" s="171" t="str">
        <f t="shared" si="10"/>
        <v/>
      </c>
      <c r="X104" s="171" t="str">
        <f t="shared" si="10"/>
        <v/>
      </c>
      <c r="Y104" s="171" t="str">
        <f t="shared" si="10"/>
        <v/>
      </c>
      <c r="Z104" s="171" t="str">
        <f t="shared" si="10"/>
        <v/>
      </c>
      <c r="AA104" s="171" t="str">
        <f t="shared" si="10"/>
        <v/>
      </c>
      <c r="AB104" s="171" t="str">
        <f t="shared" si="10"/>
        <v/>
      </c>
      <c r="AC104" s="171" t="str">
        <f t="shared" si="10"/>
        <v/>
      </c>
      <c r="AD104" s="171" t="str">
        <f t="shared" si="10"/>
        <v/>
      </c>
      <c r="AE104" s="171" t="str">
        <f t="shared" si="10"/>
        <v/>
      </c>
      <c r="AF104" s="171" t="str">
        <f t="shared" si="10"/>
        <v/>
      </c>
      <c r="AG104" s="171" t="str">
        <f t="shared" si="10"/>
        <v/>
      </c>
      <c r="AH104" s="171" t="str">
        <f t="shared" si="10"/>
        <v/>
      </c>
      <c r="AI104" s="171" t="str">
        <f t="shared" si="10"/>
        <v/>
      </c>
      <c r="AJ104" s="171" t="str">
        <f t="shared" si="10"/>
        <v/>
      </c>
      <c r="AK104" s="171" t="str">
        <f t="shared" si="10"/>
        <v/>
      </c>
      <c r="AL104" s="171" t="str">
        <f t="shared" si="10"/>
        <v/>
      </c>
      <c r="AM104" s="171" t="str">
        <f t="shared" si="10"/>
        <v/>
      </c>
      <c r="AN104" s="171" t="str">
        <f t="shared" si="10"/>
        <v/>
      </c>
      <c r="AO104" s="171" t="str">
        <f t="shared" si="10"/>
        <v/>
      </c>
      <c r="AP104" s="171" t="str">
        <f t="shared" si="10"/>
        <v/>
      </c>
      <c r="AQ104" s="171" t="str">
        <f t="shared" si="10"/>
        <v/>
      </c>
      <c r="AR104" s="171" t="str">
        <f t="shared" si="10"/>
        <v/>
      </c>
      <c r="AS104" s="171" t="str">
        <f t="shared" si="10"/>
        <v/>
      </c>
      <c r="AT104" s="171" t="str">
        <f t="shared" si="10"/>
        <v/>
      </c>
      <c r="AU104" s="171" t="str">
        <f t="shared" si="10"/>
        <v/>
      </c>
      <c r="AV104" s="171" t="str">
        <f t="shared" si="10"/>
        <v/>
      </c>
      <c r="AW104" s="171" t="str">
        <f t="shared" si="10"/>
        <v/>
      </c>
      <c r="AX104" s="171" t="str">
        <f t="shared" si="10"/>
        <v/>
      </c>
      <c r="AY104" s="171" t="str">
        <f t="shared" si="10"/>
        <v/>
      </c>
      <c r="AZ104" s="171" t="str">
        <f t="shared" si="10"/>
        <v/>
      </c>
      <c r="BA104" s="171" t="str">
        <f t="shared" si="10"/>
        <v/>
      </c>
      <c r="BB104" s="171" t="str">
        <f t="shared" si="10"/>
        <v/>
      </c>
      <c r="BC104" s="171" t="str">
        <f t="shared" si="10"/>
        <v/>
      </c>
      <c r="BD104" s="171" t="str">
        <f t="shared" si="10"/>
        <v/>
      </c>
      <c r="BE104" s="171" t="str">
        <f t="shared" si="10"/>
        <v/>
      </c>
      <c r="BF104" s="171" t="str">
        <f t="shared" si="10"/>
        <v/>
      </c>
      <c r="BG104" s="171" t="str">
        <f t="shared" si="10"/>
        <v/>
      </c>
      <c r="BH104" s="171" t="str">
        <f t="shared" si="10"/>
        <v/>
      </c>
      <c r="BI104" s="171" t="str">
        <f t="shared" si="10"/>
        <v/>
      </c>
      <c r="BJ104" s="171" t="str">
        <f t="shared" si="10"/>
        <v/>
      </c>
      <c r="BK104" s="171" t="str">
        <f t="shared" si="10"/>
        <v/>
      </c>
      <c r="BL104" s="171" t="str">
        <f t="shared" si="10"/>
        <v/>
      </c>
      <c r="BM104" s="171" t="str">
        <f t="shared" si="10"/>
        <v/>
      </c>
      <c r="BN104" s="171" t="str">
        <f t="shared" si="10"/>
        <v/>
      </c>
      <c r="BO104" s="171" t="str">
        <f t="shared" si="10"/>
        <v/>
      </c>
      <c r="BP104" s="171" t="str">
        <f t="shared" si="10"/>
        <v/>
      </c>
      <c r="BQ104" s="171" t="str">
        <f t="shared" si="10"/>
        <v/>
      </c>
      <c r="BR104" s="171" t="str">
        <f t="shared" si="10"/>
        <v/>
      </c>
      <c r="BS104" s="171" t="str">
        <f t="shared" si="10"/>
        <v/>
      </c>
      <c r="BT104" s="171" t="str">
        <f t="shared" si="10"/>
        <v/>
      </c>
      <c r="BU104" s="171" t="str">
        <f t="shared" si="10"/>
        <v/>
      </c>
      <c r="BV104" s="171" t="str">
        <f t="shared" si="10"/>
        <v/>
      </c>
      <c r="BW104" s="171" t="str">
        <f t="shared" si="10"/>
        <v/>
      </c>
      <c r="BX104" s="171" t="str">
        <f t="shared" si="10"/>
        <v/>
      </c>
      <c r="BY104" s="171" t="str">
        <f t="shared" si="10"/>
        <v/>
      </c>
      <c r="BZ104" s="171" t="str">
        <f t="shared" si="10"/>
        <v/>
      </c>
      <c r="CA104" s="171" t="str">
        <f t="shared" si="10"/>
        <v/>
      </c>
      <c r="CB104" s="171" t="str">
        <f t="shared" si="10"/>
        <v/>
      </c>
      <c r="CC104" s="171" t="str">
        <f t="shared" si="10"/>
        <v/>
      </c>
      <c r="CD104" s="171" t="str">
        <f t="shared" si="10"/>
        <v/>
      </c>
      <c r="CE104" s="171" t="str">
        <f t="shared" si="10"/>
        <v/>
      </c>
    </row>
    <row r="105">
      <c r="A105" s="170" t="s">
        <v>116</v>
      </c>
      <c r="B105" s="171" t="str">
        <f t="shared" ref="B105:CE105" si="11">VLOOKUP($A105, $A$3:$CF$16, B$97, false)</f>
        <v/>
      </c>
      <c r="C105" s="171" t="str">
        <f t="shared" si="11"/>
        <v/>
      </c>
      <c r="D105" s="171" t="str">
        <f t="shared" si="11"/>
        <v/>
      </c>
      <c r="E105" s="171" t="str">
        <f t="shared" si="11"/>
        <v/>
      </c>
      <c r="F105" s="171" t="str">
        <f t="shared" si="11"/>
        <v/>
      </c>
      <c r="G105" s="171" t="str">
        <f t="shared" si="11"/>
        <v/>
      </c>
      <c r="H105" s="171" t="str">
        <f t="shared" si="11"/>
        <v/>
      </c>
      <c r="I105" s="171" t="str">
        <f t="shared" si="11"/>
        <v/>
      </c>
      <c r="J105" s="171" t="str">
        <f t="shared" si="11"/>
        <v/>
      </c>
      <c r="K105" s="171" t="str">
        <f t="shared" si="11"/>
        <v/>
      </c>
      <c r="L105" s="171" t="str">
        <f t="shared" si="11"/>
        <v/>
      </c>
      <c r="M105" s="171" t="str">
        <f t="shared" si="11"/>
        <v/>
      </c>
      <c r="N105" s="171" t="str">
        <f t="shared" si="11"/>
        <v/>
      </c>
      <c r="O105" s="171" t="str">
        <f t="shared" si="11"/>
        <v/>
      </c>
      <c r="P105" s="171" t="str">
        <f t="shared" si="11"/>
        <v/>
      </c>
      <c r="Q105" s="171" t="str">
        <f t="shared" si="11"/>
        <v/>
      </c>
      <c r="R105" s="171" t="str">
        <f t="shared" si="11"/>
        <v/>
      </c>
      <c r="S105" s="171" t="str">
        <f t="shared" si="11"/>
        <v/>
      </c>
      <c r="T105" s="171" t="str">
        <f t="shared" si="11"/>
        <v/>
      </c>
      <c r="U105" s="171" t="str">
        <f t="shared" si="11"/>
        <v/>
      </c>
      <c r="V105" s="171" t="str">
        <f t="shared" si="11"/>
        <v/>
      </c>
      <c r="W105" s="171" t="str">
        <f t="shared" si="11"/>
        <v/>
      </c>
      <c r="X105" s="171" t="str">
        <f t="shared" si="11"/>
        <v/>
      </c>
      <c r="Y105" s="171" t="str">
        <f t="shared" si="11"/>
        <v/>
      </c>
      <c r="Z105" s="171" t="str">
        <f t="shared" si="11"/>
        <v/>
      </c>
      <c r="AA105" s="171" t="str">
        <f t="shared" si="11"/>
        <v/>
      </c>
      <c r="AB105" s="171" t="str">
        <f t="shared" si="11"/>
        <v/>
      </c>
      <c r="AC105" s="171" t="str">
        <f t="shared" si="11"/>
        <v/>
      </c>
      <c r="AD105" s="171" t="str">
        <f t="shared" si="11"/>
        <v/>
      </c>
      <c r="AE105" s="171" t="str">
        <f t="shared" si="11"/>
        <v/>
      </c>
      <c r="AF105" s="171" t="str">
        <f t="shared" si="11"/>
        <v/>
      </c>
      <c r="AG105" s="171" t="str">
        <f t="shared" si="11"/>
        <v/>
      </c>
      <c r="AH105" s="171" t="str">
        <f t="shared" si="11"/>
        <v/>
      </c>
      <c r="AI105" s="171" t="str">
        <f t="shared" si="11"/>
        <v/>
      </c>
      <c r="AJ105" s="171" t="str">
        <f t="shared" si="11"/>
        <v/>
      </c>
      <c r="AK105" s="171" t="str">
        <f t="shared" si="11"/>
        <v/>
      </c>
      <c r="AL105" s="171" t="str">
        <f t="shared" si="11"/>
        <v/>
      </c>
      <c r="AM105" s="171" t="str">
        <f t="shared" si="11"/>
        <v/>
      </c>
      <c r="AN105" s="171" t="str">
        <f t="shared" si="11"/>
        <v/>
      </c>
      <c r="AO105" s="171" t="str">
        <f t="shared" si="11"/>
        <v/>
      </c>
      <c r="AP105" s="171" t="str">
        <f t="shared" si="11"/>
        <v/>
      </c>
      <c r="AQ105" s="171" t="str">
        <f t="shared" si="11"/>
        <v/>
      </c>
      <c r="AR105" s="171" t="str">
        <f t="shared" si="11"/>
        <v/>
      </c>
      <c r="AS105" s="171" t="str">
        <f t="shared" si="11"/>
        <v/>
      </c>
      <c r="AT105" s="171" t="str">
        <f t="shared" si="11"/>
        <v/>
      </c>
      <c r="AU105" s="171" t="str">
        <f t="shared" si="11"/>
        <v/>
      </c>
      <c r="AV105" s="171" t="str">
        <f t="shared" si="11"/>
        <v/>
      </c>
      <c r="AW105" s="171" t="str">
        <f t="shared" si="11"/>
        <v/>
      </c>
      <c r="AX105" s="171" t="str">
        <f t="shared" si="11"/>
        <v/>
      </c>
      <c r="AY105" s="171" t="str">
        <f t="shared" si="11"/>
        <v/>
      </c>
      <c r="AZ105" s="171" t="str">
        <f t="shared" si="11"/>
        <v/>
      </c>
      <c r="BA105" s="171" t="str">
        <f t="shared" si="11"/>
        <v/>
      </c>
      <c r="BB105" s="171" t="str">
        <f t="shared" si="11"/>
        <v/>
      </c>
      <c r="BC105" s="171" t="str">
        <f t="shared" si="11"/>
        <v/>
      </c>
      <c r="BD105" s="171" t="str">
        <f t="shared" si="11"/>
        <v/>
      </c>
      <c r="BE105" s="171" t="str">
        <f t="shared" si="11"/>
        <v/>
      </c>
      <c r="BF105" s="171" t="str">
        <f t="shared" si="11"/>
        <v/>
      </c>
      <c r="BG105" s="171" t="str">
        <f t="shared" si="11"/>
        <v/>
      </c>
      <c r="BH105" s="171" t="str">
        <f t="shared" si="11"/>
        <v/>
      </c>
      <c r="BI105" s="171" t="str">
        <f t="shared" si="11"/>
        <v/>
      </c>
      <c r="BJ105" s="171" t="str">
        <f t="shared" si="11"/>
        <v/>
      </c>
      <c r="BK105" s="171" t="str">
        <f t="shared" si="11"/>
        <v/>
      </c>
      <c r="BL105" s="171" t="str">
        <f t="shared" si="11"/>
        <v/>
      </c>
      <c r="BM105" s="171" t="str">
        <f t="shared" si="11"/>
        <v/>
      </c>
      <c r="BN105" s="171" t="str">
        <f t="shared" si="11"/>
        <v/>
      </c>
      <c r="BO105" s="171" t="str">
        <f t="shared" si="11"/>
        <v/>
      </c>
      <c r="BP105" s="171" t="str">
        <f t="shared" si="11"/>
        <v/>
      </c>
      <c r="BQ105" s="171" t="str">
        <f t="shared" si="11"/>
        <v/>
      </c>
      <c r="BR105" s="171" t="str">
        <f t="shared" si="11"/>
        <v/>
      </c>
      <c r="BS105" s="171" t="str">
        <f t="shared" si="11"/>
        <v/>
      </c>
      <c r="BT105" s="171" t="str">
        <f t="shared" si="11"/>
        <v/>
      </c>
      <c r="BU105" s="171" t="str">
        <f t="shared" si="11"/>
        <v/>
      </c>
      <c r="BV105" s="171" t="str">
        <f t="shared" si="11"/>
        <v/>
      </c>
      <c r="BW105" s="171" t="str">
        <f t="shared" si="11"/>
        <v/>
      </c>
      <c r="BX105" s="171" t="str">
        <f t="shared" si="11"/>
        <v/>
      </c>
      <c r="BY105" s="171" t="str">
        <f t="shared" si="11"/>
        <v/>
      </c>
      <c r="BZ105" s="171" t="str">
        <f t="shared" si="11"/>
        <v/>
      </c>
      <c r="CA105" s="171" t="str">
        <f t="shared" si="11"/>
        <v/>
      </c>
      <c r="CB105" s="171" t="str">
        <f t="shared" si="11"/>
        <v/>
      </c>
      <c r="CC105" s="171" t="str">
        <f t="shared" si="11"/>
        <v/>
      </c>
      <c r="CD105" s="171" t="str">
        <f t="shared" si="11"/>
        <v/>
      </c>
      <c r="CE105" s="171" t="str">
        <f t="shared" si="11"/>
        <v/>
      </c>
    </row>
    <row r="106">
      <c r="A106" s="152"/>
    </row>
    <row r="113">
      <c r="C113" s="152"/>
    </row>
    <row r="199">
      <c r="D199" s="136" t="s">
        <v>119</v>
      </c>
      <c r="E199" s="136" t="s">
        <v>120</v>
      </c>
      <c r="F199" s="136" t="s">
        <v>121</v>
      </c>
      <c r="G199" s="136" t="s">
        <v>22</v>
      </c>
      <c r="H199" s="136" t="s">
        <v>26</v>
      </c>
      <c r="I199" s="136" t="s">
        <v>122</v>
      </c>
      <c r="J199" s="136" t="s">
        <v>123</v>
      </c>
      <c r="K199" s="136" t="s">
        <v>124</v>
      </c>
      <c r="L199" s="136" t="s">
        <v>125</v>
      </c>
      <c r="M199" s="136" t="s">
        <v>126</v>
      </c>
      <c r="N199" s="136" t="s">
        <v>127</v>
      </c>
      <c r="O199" s="136" t="s">
        <v>128</v>
      </c>
      <c r="P199" s="136" t="s">
        <v>42</v>
      </c>
      <c r="Q199" s="136" t="s">
        <v>129</v>
      </c>
      <c r="R199" s="136" t="s">
        <v>130</v>
      </c>
      <c r="S199" s="136" t="s">
        <v>131</v>
      </c>
      <c r="T199" s="136" t="s">
        <v>132</v>
      </c>
      <c r="U199" s="136" t="s">
        <v>133</v>
      </c>
    </row>
    <row r="200">
      <c r="C200" s="136">
        <v>1.0</v>
      </c>
      <c r="D200" t="str">
        <f t="shared" ref="D200:U200" si="12">CONCAT(D$199,$C200)</f>
        <v>A1</v>
      </c>
      <c r="E200" t="str">
        <f t="shared" si="12"/>
        <v>B1</v>
      </c>
      <c r="F200" t="str">
        <f t="shared" si="12"/>
        <v>C1</v>
      </c>
      <c r="G200" t="str">
        <f t="shared" si="12"/>
        <v>D1</v>
      </c>
      <c r="H200" t="str">
        <f t="shared" si="12"/>
        <v>E1</v>
      </c>
      <c r="I200" t="str">
        <f t="shared" si="12"/>
        <v>F1</v>
      </c>
      <c r="J200" t="str">
        <f t="shared" si="12"/>
        <v>G1</v>
      </c>
      <c r="K200" t="str">
        <f t="shared" si="12"/>
        <v>H1</v>
      </c>
      <c r="L200" t="str">
        <f t="shared" si="12"/>
        <v>I1</v>
      </c>
      <c r="M200" t="str">
        <f t="shared" si="12"/>
        <v>J1</v>
      </c>
      <c r="N200" t="str">
        <f t="shared" si="12"/>
        <v>K1</v>
      </c>
      <c r="O200" t="str">
        <f t="shared" si="12"/>
        <v>L1</v>
      </c>
      <c r="P200" t="str">
        <f t="shared" si="12"/>
        <v>M1</v>
      </c>
      <c r="Q200" t="str">
        <f t="shared" si="12"/>
        <v>N1</v>
      </c>
      <c r="R200" t="str">
        <f t="shared" si="12"/>
        <v>O1</v>
      </c>
      <c r="S200" t="str">
        <f t="shared" si="12"/>
        <v>P1</v>
      </c>
      <c r="T200" t="str">
        <f t="shared" si="12"/>
        <v>Q1</v>
      </c>
      <c r="U200" t="str">
        <f t="shared" si="12"/>
        <v>R1</v>
      </c>
    </row>
    <row r="201">
      <c r="C201" s="136">
        <v>2.0</v>
      </c>
      <c r="D201" t="str">
        <f t="shared" ref="D201:U201" si="13">CONCAT(D$199,$C201)</f>
        <v>A2</v>
      </c>
      <c r="E201" t="str">
        <f t="shared" si="13"/>
        <v>B2</v>
      </c>
      <c r="F201" t="str">
        <f t="shared" si="13"/>
        <v>C2</v>
      </c>
      <c r="G201" t="str">
        <f t="shared" si="13"/>
        <v>D2</v>
      </c>
      <c r="H201" t="str">
        <f t="shared" si="13"/>
        <v>E2</v>
      </c>
      <c r="I201" t="str">
        <f t="shared" si="13"/>
        <v>F2</v>
      </c>
      <c r="J201" t="str">
        <f t="shared" si="13"/>
        <v>G2</v>
      </c>
      <c r="K201" t="str">
        <f t="shared" si="13"/>
        <v>H2</v>
      </c>
      <c r="L201" t="str">
        <f t="shared" si="13"/>
        <v>I2</v>
      </c>
      <c r="M201" t="str">
        <f t="shared" si="13"/>
        <v>J2</v>
      </c>
      <c r="N201" t="str">
        <f t="shared" si="13"/>
        <v>K2</v>
      </c>
      <c r="O201" t="str">
        <f t="shared" si="13"/>
        <v>L2</v>
      </c>
      <c r="P201" t="str">
        <f t="shared" si="13"/>
        <v>M2</v>
      </c>
      <c r="Q201" t="str">
        <f t="shared" si="13"/>
        <v>N2</v>
      </c>
      <c r="R201" t="str">
        <f t="shared" si="13"/>
        <v>O2</v>
      </c>
      <c r="S201" t="str">
        <f t="shared" si="13"/>
        <v>P2</v>
      </c>
      <c r="T201" t="str">
        <f t="shared" si="13"/>
        <v>Q2</v>
      </c>
      <c r="U201" t="str">
        <f t="shared" si="13"/>
        <v>R2</v>
      </c>
    </row>
    <row r="202">
      <c r="C202" s="136">
        <v>3.0</v>
      </c>
      <c r="D202" t="str">
        <f t="shared" ref="D202:U202" si="14">CONCAT(D$199,$C202)</f>
        <v>A3</v>
      </c>
      <c r="E202" t="str">
        <f t="shared" si="14"/>
        <v>B3</v>
      </c>
      <c r="F202" t="str">
        <f t="shared" si="14"/>
        <v>C3</v>
      </c>
      <c r="G202" t="str">
        <f t="shared" si="14"/>
        <v>D3</v>
      </c>
      <c r="H202" t="str">
        <f t="shared" si="14"/>
        <v>E3</v>
      </c>
      <c r="I202" t="str">
        <f t="shared" si="14"/>
        <v>F3</v>
      </c>
      <c r="J202" t="str">
        <f t="shared" si="14"/>
        <v>G3</v>
      </c>
      <c r="K202" t="str">
        <f t="shared" si="14"/>
        <v>H3</v>
      </c>
      <c r="L202" t="str">
        <f t="shared" si="14"/>
        <v>I3</v>
      </c>
      <c r="M202" t="str">
        <f t="shared" si="14"/>
        <v>J3</v>
      </c>
      <c r="N202" t="str">
        <f t="shared" si="14"/>
        <v>K3</v>
      </c>
      <c r="O202" t="str">
        <f t="shared" si="14"/>
        <v>L3</v>
      </c>
      <c r="P202" t="str">
        <f t="shared" si="14"/>
        <v>M3</v>
      </c>
      <c r="Q202" t="str">
        <f t="shared" si="14"/>
        <v>N3</v>
      </c>
      <c r="R202" t="str">
        <f t="shared" si="14"/>
        <v>O3</v>
      </c>
      <c r="S202" t="str">
        <f t="shared" si="14"/>
        <v>P3</v>
      </c>
      <c r="T202" t="str">
        <f t="shared" si="14"/>
        <v>Q3</v>
      </c>
      <c r="U202" t="str">
        <f t="shared" si="14"/>
        <v>R3</v>
      </c>
    </row>
    <row r="203">
      <c r="C203" s="136">
        <v>4.0</v>
      </c>
      <c r="D203" t="str">
        <f t="shared" ref="D203:U203" si="15">CONCAT(D$199,$C203)</f>
        <v>A4</v>
      </c>
      <c r="E203" t="str">
        <f t="shared" si="15"/>
        <v>B4</v>
      </c>
      <c r="F203" t="str">
        <f t="shared" si="15"/>
        <v>C4</v>
      </c>
      <c r="G203" t="str">
        <f t="shared" si="15"/>
        <v>D4</v>
      </c>
      <c r="H203" t="str">
        <f t="shared" si="15"/>
        <v>E4</v>
      </c>
      <c r="I203" t="str">
        <f t="shared" si="15"/>
        <v>F4</v>
      </c>
      <c r="J203" t="str">
        <f t="shared" si="15"/>
        <v>G4</v>
      </c>
      <c r="K203" t="str">
        <f t="shared" si="15"/>
        <v>H4</v>
      </c>
      <c r="L203" t="str">
        <f t="shared" si="15"/>
        <v>I4</v>
      </c>
      <c r="M203" t="str">
        <f t="shared" si="15"/>
        <v>J4</v>
      </c>
      <c r="N203" t="str">
        <f t="shared" si="15"/>
        <v>K4</v>
      </c>
      <c r="O203" t="str">
        <f t="shared" si="15"/>
        <v>L4</v>
      </c>
      <c r="P203" t="str">
        <f t="shared" si="15"/>
        <v>M4</v>
      </c>
      <c r="Q203" t="str">
        <f t="shared" si="15"/>
        <v>N4</v>
      </c>
      <c r="R203" t="str">
        <f t="shared" si="15"/>
        <v>O4</v>
      </c>
      <c r="S203" t="str">
        <f t="shared" si="15"/>
        <v>P4</v>
      </c>
      <c r="T203" t="str">
        <f t="shared" si="15"/>
        <v>Q4</v>
      </c>
      <c r="U203" t="str">
        <f t="shared" si="15"/>
        <v>R4</v>
      </c>
    </row>
    <row r="204">
      <c r="C204" s="136">
        <v>5.0</v>
      </c>
      <c r="D204" t="str">
        <f t="shared" ref="D204:U204" si="16">CONCAT(D$199,$C204)</f>
        <v>A5</v>
      </c>
      <c r="E204" t="str">
        <f t="shared" si="16"/>
        <v>B5</v>
      </c>
      <c r="F204" t="str">
        <f t="shared" si="16"/>
        <v>C5</v>
      </c>
      <c r="G204" t="str">
        <f t="shared" si="16"/>
        <v>D5</v>
      </c>
      <c r="H204" t="str">
        <f t="shared" si="16"/>
        <v>E5</v>
      </c>
      <c r="I204" t="str">
        <f t="shared" si="16"/>
        <v>F5</v>
      </c>
      <c r="J204" t="str">
        <f t="shared" si="16"/>
        <v>G5</v>
      </c>
      <c r="K204" t="str">
        <f t="shared" si="16"/>
        <v>H5</v>
      </c>
      <c r="L204" t="str">
        <f t="shared" si="16"/>
        <v>I5</v>
      </c>
      <c r="M204" t="str">
        <f t="shared" si="16"/>
        <v>J5</v>
      </c>
      <c r="N204" t="str">
        <f t="shared" si="16"/>
        <v>K5</v>
      </c>
      <c r="O204" t="str">
        <f t="shared" si="16"/>
        <v>L5</v>
      </c>
      <c r="P204" t="str">
        <f t="shared" si="16"/>
        <v>M5</v>
      </c>
      <c r="Q204" t="str">
        <f t="shared" si="16"/>
        <v>N5</v>
      </c>
      <c r="R204" t="str">
        <f t="shared" si="16"/>
        <v>O5</v>
      </c>
      <c r="S204" t="str">
        <f t="shared" si="16"/>
        <v>P5</v>
      </c>
      <c r="T204" t="str">
        <f t="shared" si="16"/>
        <v>Q5</v>
      </c>
      <c r="U204" t="str">
        <f t="shared" si="16"/>
        <v>R5</v>
      </c>
    </row>
    <row r="205">
      <c r="C205" s="136">
        <v>6.0</v>
      </c>
      <c r="D205" t="str">
        <f t="shared" ref="D205:U205" si="17">CONCAT(D$199,$C205)</f>
        <v>A6</v>
      </c>
      <c r="E205" t="str">
        <f t="shared" si="17"/>
        <v>B6</v>
      </c>
      <c r="F205" t="str">
        <f t="shared" si="17"/>
        <v>C6</v>
      </c>
      <c r="G205" t="str">
        <f t="shared" si="17"/>
        <v>D6</v>
      </c>
      <c r="H205" t="str">
        <f t="shared" si="17"/>
        <v>E6</v>
      </c>
      <c r="I205" t="str">
        <f t="shared" si="17"/>
        <v>F6</v>
      </c>
      <c r="J205" t="str">
        <f t="shared" si="17"/>
        <v>G6</v>
      </c>
      <c r="K205" t="str">
        <f t="shared" si="17"/>
        <v>H6</v>
      </c>
      <c r="L205" t="str">
        <f t="shared" si="17"/>
        <v>I6</v>
      </c>
      <c r="M205" t="str">
        <f t="shared" si="17"/>
        <v>J6</v>
      </c>
      <c r="N205" t="str">
        <f t="shared" si="17"/>
        <v>K6</v>
      </c>
      <c r="O205" t="str">
        <f t="shared" si="17"/>
        <v>L6</v>
      </c>
      <c r="P205" t="str">
        <f t="shared" si="17"/>
        <v>M6</v>
      </c>
      <c r="Q205" t="str">
        <f t="shared" si="17"/>
        <v>N6</v>
      </c>
      <c r="R205" t="str">
        <f t="shared" si="17"/>
        <v>O6</v>
      </c>
      <c r="S205" t="str">
        <f t="shared" si="17"/>
        <v>P6</v>
      </c>
      <c r="T205" t="str">
        <f t="shared" si="17"/>
        <v>Q6</v>
      </c>
      <c r="U205" t="str">
        <f t="shared" si="17"/>
        <v>R6</v>
      </c>
    </row>
    <row r="206">
      <c r="C206" s="136">
        <v>7.0</v>
      </c>
      <c r="D206" t="str">
        <f t="shared" ref="D206:U206" si="18">CONCAT(D$199,$C206)</f>
        <v>A7</v>
      </c>
      <c r="E206" t="str">
        <f t="shared" si="18"/>
        <v>B7</v>
      </c>
      <c r="F206" t="str">
        <f t="shared" si="18"/>
        <v>C7</v>
      </c>
      <c r="G206" t="str">
        <f t="shared" si="18"/>
        <v>D7</v>
      </c>
      <c r="H206" t="str">
        <f t="shared" si="18"/>
        <v>E7</v>
      </c>
      <c r="I206" t="str">
        <f t="shared" si="18"/>
        <v>F7</v>
      </c>
      <c r="J206" t="str">
        <f t="shared" si="18"/>
        <v>G7</v>
      </c>
      <c r="K206" t="str">
        <f t="shared" si="18"/>
        <v>H7</v>
      </c>
      <c r="L206" t="str">
        <f t="shared" si="18"/>
        <v>I7</v>
      </c>
      <c r="M206" t="str">
        <f t="shared" si="18"/>
        <v>J7</v>
      </c>
      <c r="N206" t="str">
        <f t="shared" si="18"/>
        <v>K7</v>
      </c>
      <c r="O206" t="str">
        <f t="shared" si="18"/>
        <v>L7</v>
      </c>
      <c r="P206" t="str">
        <f t="shared" si="18"/>
        <v>M7</v>
      </c>
      <c r="Q206" t="str">
        <f t="shared" si="18"/>
        <v>N7</v>
      </c>
      <c r="R206" t="str">
        <f t="shared" si="18"/>
        <v>O7</v>
      </c>
      <c r="S206" t="str">
        <f t="shared" si="18"/>
        <v>P7</v>
      </c>
      <c r="T206" t="str">
        <f t="shared" si="18"/>
        <v>Q7</v>
      </c>
      <c r="U206" t="str">
        <f t="shared" si="18"/>
        <v>R7</v>
      </c>
    </row>
    <row r="207">
      <c r="C207" s="136">
        <v>8.0</v>
      </c>
      <c r="D207" t="str">
        <f t="shared" ref="D207:U207" si="19">CONCAT(D$199,$C207)</f>
        <v>A8</v>
      </c>
      <c r="E207" t="str">
        <f t="shared" si="19"/>
        <v>B8</v>
      </c>
      <c r="F207" t="str">
        <f t="shared" si="19"/>
        <v>C8</v>
      </c>
      <c r="G207" t="str">
        <f t="shared" si="19"/>
        <v>D8</v>
      </c>
      <c r="H207" t="str">
        <f t="shared" si="19"/>
        <v>E8</v>
      </c>
      <c r="I207" t="str">
        <f t="shared" si="19"/>
        <v>F8</v>
      </c>
      <c r="J207" t="str">
        <f t="shared" si="19"/>
        <v>G8</v>
      </c>
      <c r="K207" t="str">
        <f t="shared" si="19"/>
        <v>H8</v>
      </c>
      <c r="L207" t="str">
        <f t="shared" si="19"/>
        <v>I8</v>
      </c>
      <c r="M207" t="str">
        <f t="shared" si="19"/>
        <v>J8</v>
      </c>
      <c r="N207" t="str">
        <f t="shared" si="19"/>
        <v>K8</v>
      </c>
      <c r="O207" t="str">
        <f t="shared" si="19"/>
        <v>L8</v>
      </c>
      <c r="P207" t="str">
        <f t="shared" si="19"/>
        <v>M8</v>
      </c>
      <c r="Q207" t="str">
        <f t="shared" si="19"/>
        <v>N8</v>
      </c>
      <c r="R207" t="str">
        <f t="shared" si="19"/>
        <v>O8</v>
      </c>
      <c r="S207" t="str">
        <f t="shared" si="19"/>
        <v>P8</v>
      </c>
      <c r="T207" t="str">
        <f t="shared" si="19"/>
        <v>Q8</v>
      </c>
      <c r="U207" t="str">
        <f t="shared" si="19"/>
        <v>R8</v>
      </c>
    </row>
    <row r="208">
      <c r="C208" s="136">
        <v>9.0</v>
      </c>
      <c r="D208" t="str">
        <f t="shared" ref="D208:U208" si="20">CONCAT(D$199,$C208)</f>
        <v>A9</v>
      </c>
      <c r="E208" t="str">
        <f t="shared" si="20"/>
        <v>B9</v>
      </c>
      <c r="F208" t="str">
        <f t="shared" si="20"/>
        <v>C9</v>
      </c>
      <c r="G208" t="str">
        <f t="shared" si="20"/>
        <v>D9</v>
      </c>
      <c r="H208" t="str">
        <f t="shared" si="20"/>
        <v>E9</v>
      </c>
      <c r="I208" t="str">
        <f t="shared" si="20"/>
        <v>F9</v>
      </c>
      <c r="J208" t="str">
        <f t="shared" si="20"/>
        <v>G9</v>
      </c>
      <c r="K208" t="str">
        <f t="shared" si="20"/>
        <v>H9</v>
      </c>
      <c r="L208" t="str">
        <f t="shared" si="20"/>
        <v>I9</v>
      </c>
      <c r="M208" t="str">
        <f t="shared" si="20"/>
        <v>J9</v>
      </c>
      <c r="N208" t="str">
        <f t="shared" si="20"/>
        <v>K9</v>
      </c>
      <c r="O208" t="str">
        <f t="shared" si="20"/>
        <v>L9</v>
      </c>
      <c r="P208" t="str">
        <f t="shared" si="20"/>
        <v>M9</v>
      </c>
      <c r="Q208" t="str">
        <f t="shared" si="20"/>
        <v>N9</v>
      </c>
      <c r="R208" t="str">
        <f t="shared" si="20"/>
        <v>O9</v>
      </c>
      <c r="S208" t="str">
        <f t="shared" si="20"/>
        <v>P9</v>
      </c>
      <c r="T208" t="str">
        <f t="shared" si="20"/>
        <v>Q9</v>
      </c>
      <c r="U208" t="str">
        <f t="shared" si="20"/>
        <v>R9</v>
      </c>
    </row>
    <row r="209">
      <c r="C209" s="136">
        <v>10.0</v>
      </c>
      <c r="D209" t="str">
        <f t="shared" ref="D209:U209" si="21">CONCAT(D$199,$C209)</f>
        <v>A10</v>
      </c>
      <c r="E209" t="str">
        <f t="shared" si="21"/>
        <v>B10</v>
      </c>
      <c r="F209" t="str">
        <f t="shared" si="21"/>
        <v>C10</v>
      </c>
      <c r="G209" t="str">
        <f t="shared" si="21"/>
        <v>D10</v>
      </c>
      <c r="H209" t="str">
        <f t="shared" si="21"/>
        <v>E10</v>
      </c>
      <c r="I209" t="str">
        <f t="shared" si="21"/>
        <v>F10</v>
      </c>
      <c r="J209" t="str">
        <f t="shared" si="21"/>
        <v>G10</v>
      </c>
      <c r="K209" t="str">
        <f t="shared" si="21"/>
        <v>H10</v>
      </c>
      <c r="L209" t="str">
        <f t="shared" si="21"/>
        <v>I10</v>
      </c>
      <c r="M209" t="str">
        <f t="shared" si="21"/>
        <v>J10</v>
      </c>
      <c r="N209" t="str">
        <f t="shared" si="21"/>
        <v>K10</v>
      </c>
      <c r="O209" t="str">
        <f t="shared" si="21"/>
        <v>L10</v>
      </c>
      <c r="P209" t="str">
        <f t="shared" si="21"/>
        <v>M10</v>
      </c>
      <c r="Q209" t="str">
        <f t="shared" si="21"/>
        <v>N10</v>
      </c>
      <c r="R209" t="str">
        <f t="shared" si="21"/>
        <v>O10</v>
      </c>
      <c r="S209" t="str">
        <f t="shared" si="21"/>
        <v>P10</v>
      </c>
      <c r="T209" t="str">
        <f t="shared" si="21"/>
        <v>Q10</v>
      </c>
      <c r="U209" t="str">
        <f t="shared" si="21"/>
        <v>R10</v>
      </c>
    </row>
    <row r="210">
      <c r="C210" s="136">
        <v>11.0</v>
      </c>
      <c r="D210" t="str">
        <f t="shared" ref="D210:U210" si="22">CONCAT(D$199,$C210)</f>
        <v>A11</v>
      </c>
      <c r="E210" t="str">
        <f t="shared" si="22"/>
        <v>B11</v>
      </c>
      <c r="F210" t="str">
        <f t="shared" si="22"/>
        <v>C11</v>
      </c>
      <c r="G210" t="str">
        <f t="shared" si="22"/>
        <v>D11</v>
      </c>
      <c r="H210" t="str">
        <f t="shared" si="22"/>
        <v>E11</v>
      </c>
      <c r="I210" t="str">
        <f t="shared" si="22"/>
        <v>F11</v>
      </c>
      <c r="J210" t="str">
        <f t="shared" si="22"/>
        <v>G11</v>
      </c>
      <c r="K210" t="str">
        <f t="shared" si="22"/>
        <v>H11</v>
      </c>
      <c r="L210" t="str">
        <f t="shared" si="22"/>
        <v>I11</v>
      </c>
      <c r="M210" t="str">
        <f t="shared" si="22"/>
        <v>J11</v>
      </c>
      <c r="N210" t="str">
        <f t="shared" si="22"/>
        <v>K11</v>
      </c>
      <c r="O210" t="str">
        <f t="shared" si="22"/>
        <v>L11</v>
      </c>
      <c r="P210" t="str">
        <f t="shared" si="22"/>
        <v>M11</v>
      </c>
      <c r="Q210" t="str">
        <f t="shared" si="22"/>
        <v>N11</v>
      </c>
      <c r="R210" t="str">
        <f t="shared" si="22"/>
        <v>O11</v>
      </c>
      <c r="S210" t="str">
        <f t="shared" si="22"/>
        <v>P11</v>
      </c>
      <c r="T210" t="str">
        <f t="shared" si="22"/>
        <v>Q11</v>
      </c>
      <c r="U210" t="str">
        <f t="shared" si="22"/>
        <v>R11</v>
      </c>
    </row>
    <row r="211">
      <c r="C211" s="136">
        <v>12.0</v>
      </c>
      <c r="D211" t="str">
        <f t="shared" ref="D211:U211" si="23">CONCAT(D$199,$C211)</f>
        <v>A12</v>
      </c>
      <c r="E211" t="str">
        <f t="shared" si="23"/>
        <v>B12</v>
      </c>
      <c r="F211" t="str">
        <f t="shared" si="23"/>
        <v>C12</v>
      </c>
      <c r="G211" t="str">
        <f t="shared" si="23"/>
        <v>D12</v>
      </c>
      <c r="H211" t="str">
        <f t="shared" si="23"/>
        <v>E12</v>
      </c>
      <c r="I211" t="str">
        <f t="shared" si="23"/>
        <v>F12</v>
      </c>
      <c r="J211" t="str">
        <f t="shared" si="23"/>
        <v>G12</v>
      </c>
      <c r="K211" t="str">
        <f t="shared" si="23"/>
        <v>H12</v>
      </c>
      <c r="L211" t="str">
        <f t="shared" si="23"/>
        <v>I12</v>
      </c>
      <c r="M211" t="str">
        <f t="shared" si="23"/>
        <v>J12</v>
      </c>
      <c r="N211" t="str">
        <f t="shared" si="23"/>
        <v>K12</v>
      </c>
      <c r="O211" t="str">
        <f t="shared" si="23"/>
        <v>L12</v>
      </c>
      <c r="P211" t="str">
        <f t="shared" si="23"/>
        <v>M12</v>
      </c>
      <c r="Q211" t="str">
        <f t="shared" si="23"/>
        <v>N12</v>
      </c>
      <c r="R211" t="str">
        <f t="shared" si="23"/>
        <v>O12</v>
      </c>
      <c r="S211" t="str">
        <f t="shared" si="23"/>
        <v>P12</v>
      </c>
      <c r="T211" t="str">
        <f t="shared" si="23"/>
        <v>Q12</v>
      </c>
      <c r="U211" t="str">
        <f t="shared" si="23"/>
        <v>R12</v>
      </c>
    </row>
    <row r="212">
      <c r="C212" s="136">
        <v>13.0</v>
      </c>
      <c r="D212" t="str">
        <f t="shared" ref="D212:U212" si="24">CONCAT(D$199,$C212)</f>
        <v>A13</v>
      </c>
      <c r="E212" t="str">
        <f t="shared" si="24"/>
        <v>B13</v>
      </c>
      <c r="F212" t="str">
        <f t="shared" si="24"/>
        <v>C13</v>
      </c>
      <c r="G212" t="str">
        <f t="shared" si="24"/>
        <v>D13</v>
      </c>
      <c r="H212" t="str">
        <f t="shared" si="24"/>
        <v>E13</v>
      </c>
      <c r="I212" t="str">
        <f t="shared" si="24"/>
        <v>F13</v>
      </c>
      <c r="J212" t="str">
        <f t="shared" si="24"/>
        <v>G13</v>
      </c>
      <c r="K212" t="str">
        <f t="shared" si="24"/>
        <v>H13</v>
      </c>
      <c r="L212" t="str">
        <f t="shared" si="24"/>
        <v>I13</v>
      </c>
      <c r="M212" t="str">
        <f t="shared" si="24"/>
        <v>J13</v>
      </c>
      <c r="N212" t="str">
        <f t="shared" si="24"/>
        <v>K13</v>
      </c>
      <c r="O212" t="str">
        <f t="shared" si="24"/>
        <v>L13</v>
      </c>
      <c r="P212" t="str">
        <f t="shared" si="24"/>
        <v>M13</v>
      </c>
      <c r="Q212" t="str">
        <f t="shared" si="24"/>
        <v>N13</v>
      </c>
      <c r="R212" t="str">
        <f t="shared" si="24"/>
        <v>O13</v>
      </c>
      <c r="S212" t="str">
        <f t="shared" si="24"/>
        <v>P13</v>
      </c>
      <c r="T212" t="str">
        <f t="shared" si="24"/>
        <v>Q13</v>
      </c>
      <c r="U212" t="str">
        <f t="shared" si="24"/>
        <v>R13</v>
      </c>
    </row>
    <row r="213">
      <c r="C213" s="136">
        <v>14.0</v>
      </c>
      <c r="D213" t="str">
        <f t="shared" ref="D213:U213" si="25">CONCAT(D$199,$C213)</f>
        <v>A14</v>
      </c>
      <c r="E213" t="str">
        <f t="shared" si="25"/>
        <v>B14</v>
      </c>
      <c r="F213" t="str">
        <f t="shared" si="25"/>
        <v>C14</v>
      </c>
      <c r="G213" t="str">
        <f t="shared" si="25"/>
        <v>D14</v>
      </c>
      <c r="H213" t="str">
        <f t="shared" si="25"/>
        <v>E14</v>
      </c>
      <c r="I213" t="str">
        <f t="shared" si="25"/>
        <v>F14</v>
      </c>
      <c r="J213" t="str">
        <f t="shared" si="25"/>
        <v>G14</v>
      </c>
      <c r="K213" t="str">
        <f t="shared" si="25"/>
        <v>H14</v>
      </c>
      <c r="L213" t="str">
        <f t="shared" si="25"/>
        <v>I14</v>
      </c>
      <c r="M213" t="str">
        <f t="shared" si="25"/>
        <v>J14</v>
      </c>
      <c r="N213" t="str">
        <f t="shared" si="25"/>
        <v>K14</v>
      </c>
      <c r="O213" t="str">
        <f t="shared" si="25"/>
        <v>L14</v>
      </c>
      <c r="P213" t="str">
        <f t="shared" si="25"/>
        <v>M14</v>
      </c>
      <c r="Q213" t="str">
        <f t="shared" si="25"/>
        <v>N14</v>
      </c>
      <c r="R213" t="str">
        <f t="shared" si="25"/>
        <v>O14</v>
      </c>
      <c r="S213" t="str">
        <f t="shared" si="25"/>
        <v>P14</v>
      </c>
      <c r="T213" t="str">
        <f t="shared" si="25"/>
        <v>Q14</v>
      </c>
      <c r="U213" t="str">
        <f t="shared" si="25"/>
        <v>R14</v>
      </c>
    </row>
    <row r="214">
      <c r="C214" s="136">
        <v>15.0</v>
      </c>
      <c r="D214" t="str">
        <f t="shared" ref="D214:U214" si="26">CONCAT(D$199,$C214)</f>
        <v>A15</v>
      </c>
      <c r="E214" t="str">
        <f t="shared" si="26"/>
        <v>B15</v>
      </c>
      <c r="F214" t="str">
        <f t="shared" si="26"/>
        <v>C15</v>
      </c>
      <c r="G214" t="str">
        <f t="shared" si="26"/>
        <v>D15</v>
      </c>
      <c r="H214" t="str">
        <f t="shared" si="26"/>
        <v>E15</v>
      </c>
      <c r="I214" t="str">
        <f t="shared" si="26"/>
        <v>F15</v>
      </c>
      <c r="J214" t="str">
        <f t="shared" si="26"/>
        <v>G15</v>
      </c>
      <c r="K214" t="str">
        <f t="shared" si="26"/>
        <v>H15</v>
      </c>
      <c r="L214" t="str">
        <f t="shared" si="26"/>
        <v>I15</v>
      </c>
      <c r="M214" t="str">
        <f t="shared" si="26"/>
        <v>J15</v>
      </c>
      <c r="N214" t="str">
        <f t="shared" si="26"/>
        <v>K15</v>
      </c>
      <c r="O214" t="str">
        <f t="shared" si="26"/>
        <v>L15</v>
      </c>
      <c r="P214" t="str">
        <f t="shared" si="26"/>
        <v>M15</v>
      </c>
      <c r="Q214" t="str">
        <f t="shared" si="26"/>
        <v>N15</v>
      </c>
      <c r="R214" t="str">
        <f t="shared" si="26"/>
        <v>O15</v>
      </c>
      <c r="S214" t="str">
        <f t="shared" si="26"/>
        <v>P15</v>
      </c>
      <c r="T214" t="str">
        <f t="shared" si="26"/>
        <v>Q15</v>
      </c>
      <c r="U214" t="str">
        <f t="shared" si="26"/>
        <v>R15</v>
      </c>
    </row>
    <row r="215">
      <c r="C215" s="136">
        <v>16.0</v>
      </c>
      <c r="D215" t="str">
        <f t="shared" ref="D215:U215" si="27">CONCAT(D$199,$C215)</f>
        <v>A16</v>
      </c>
      <c r="E215" t="str">
        <f t="shared" si="27"/>
        <v>B16</v>
      </c>
      <c r="F215" t="str">
        <f t="shared" si="27"/>
        <v>C16</v>
      </c>
      <c r="G215" t="str">
        <f t="shared" si="27"/>
        <v>D16</v>
      </c>
      <c r="H215" t="str">
        <f t="shared" si="27"/>
        <v>E16</v>
      </c>
      <c r="I215" t="str">
        <f t="shared" si="27"/>
        <v>F16</v>
      </c>
      <c r="J215" t="str">
        <f t="shared" si="27"/>
        <v>G16</v>
      </c>
      <c r="K215" t="str">
        <f t="shared" si="27"/>
        <v>H16</v>
      </c>
      <c r="L215" t="str">
        <f t="shared" si="27"/>
        <v>I16</v>
      </c>
      <c r="M215" t="str">
        <f t="shared" si="27"/>
        <v>J16</v>
      </c>
      <c r="N215" t="str">
        <f t="shared" si="27"/>
        <v>K16</v>
      </c>
      <c r="O215" t="str">
        <f t="shared" si="27"/>
        <v>L16</v>
      </c>
      <c r="P215" t="str">
        <f t="shared" si="27"/>
        <v>M16</v>
      </c>
      <c r="Q215" t="str">
        <f t="shared" si="27"/>
        <v>N16</v>
      </c>
      <c r="R215" t="str">
        <f t="shared" si="27"/>
        <v>O16</v>
      </c>
      <c r="S215" t="str">
        <f t="shared" si="27"/>
        <v>P16</v>
      </c>
      <c r="T215" t="str">
        <f t="shared" si="27"/>
        <v>Q16</v>
      </c>
      <c r="U215" t="str">
        <f t="shared" si="27"/>
        <v>R16</v>
      </c>
    </row>
  </sheetData>
  <dataValidations>
    <dataValidation type="list" allowBlank="1" showErrorMessage="1" sqref="A100:A105">
      <formula1>'2021 Exp - Deprecated'!$A$3:$A$17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63"/>
    <col customWidth="1" min="2" max="3" width="8.25"/>
  </cols>
  <sheetData>
    <row r="1">
      <c r="A1" s="136" t="s">
        <v>134</v>
      </c>
      <c r="B1" s="136" t="s">
        <v>135</v>
      </c>
      <c r="C1" s="136" t="s">
        <v>136</v>
      </c>
      <c r="W1">
        <f>0.516457</f>
        <v>0.516457</v>
      </c>
    </row>
    <row r="2">
      <c r="A2" s="172"/>
      <c r="B2" s="116"/>
      <c r="C2" s="116"/>
    </row>
    <row r="3">
      <c r="A3" s="172">
        <f t="shared" ref="A3:A25" si="1">date(year(A4), month(A4)+1, 1)</f>
        <v>45261</v>
      </c>
      <c r="B3" s="116">
        <f>'2023'!O37</f>
        <v>6724.02838</v>
      </c>
      <c r="C3" s="116">
        <f>'2023'!O43</f>
        <v>7795.523013</v>
      </c>
    </row>
    <row r="4">
      <c r="A4" s="172">
        <f t="shared" si="1"/>
        <v>45231</v>
      </c>
      <c r="B4" s="116">
        <f>'2023'!N$37</f>
        <v>4302.908468</v>
      </c>
      <c r="C4" s="116">
        <f>'2023'!N$43</f>
        <v>4684.942196</v>
      </c>
    </row>
    <row r="5">
      <c r="A5" s="172">
        <f t="shared" si="1"/>
        <v>45200</v>
      </c>
      <c r="B5" s="116">
        <f>'2023'!M37</f>
        <v>4810.835222</v>
      </c>
      <c r="C5" s="116">
        <f>'2023'!M43</f>
        <v>5155.050482</v>
      </c>
    </row>
    <row r="6">
      <c r="A6" s="172">
        <f t="shared" si="1"/>
        <v>45170</v>
      </c>
      <c r="B6" s="116">
        <f>'2023'!L37</f>
        <v>4643.872974</v>
      </c>
      <c r="C6" s="116">
        <f>'2023'!L43</f>
        <v>4916.236124</v>
      </c>
    </row>
    <row r="7">
      <c r="A7" s="172">
        <f t="shared" si="1"/>
        <v>45139</v>
      </c>
      <c r="B7" s="116">
        <f>'2023'!K37</f>
        <v>5184.465512</v>
      </c>
      <c r="C7" s="116">
        <f>'2023'!K43</f>
        <v>5597.926637</v>
      </c>
    </row>
    <row r="8">
      <c r="A8" s="172">
        <f t="shared" si="1"/>
        <v>45108</v>
      </c>
      <c r="B8" s="116">
        <f>'2023'!J37</f>
        <v>5658.226199</v>
      </c>
      <c r="C8" s="116">
        <f>'2023'!J43</f>
        <v>6191.231107</v>
      </c>
    </row>
    <row r="9">
      <c r="A9" s="172">
        <f t="shared" si="1"/>
        <v>45078</v>
      </c>
      <c r="B9" s="116">
        <f>'2023'!I37</f>
        <v>7379.95641</v>
      </c>
      <c r="C9" s="116">
        <f>'2023'!I43</f>
        <v>8122.933521</v>
      </c>
    </row>
    <row r="10">
      <c r="A10" s="172">
        <f t="shared" si="1"/>
        <v>45047</v>
      </c>
      <c r="B10" s="116">
        <f>'2023'!H37</f>
        <v>7686.031079</v>
      </c>
      <c r="C10" s="116">
        <f>'2023'!H43</f>
        <v>8243.652634</v>
      </c>
    </row>
    <row r="11">
      <c r="A11" s="172">
        <f t="shared" si="1"/>
        <v>45017</v>
      </c>
      <c r="B11" s="116">
        <f>'2023'!G37</f>
        <v>4372.044426</v>
      </c>
      <c r="C11" s="116">
        <f>'2023'!G43</f>
        <v>4804.658222</v>
      </c>
    </row>
    <row r="12">
      <c r="A12" s="172">
        <f t="shared" si="1"/>
        <v>44986</v>
      </c>
      <c r="B12" s="116">
        <f>'2023'!F37</f>
        <v>4135.978113</v>
      </c>
      <c r="C12" s="116">
        <f>'2023'!F43</f>
        <v>4514.213312</v>
      </c>
    </row>
    <row r="13">
      <c r="A13" s="172">
        <f t="shared" si="1"/>
        <v>44958</v>
      </c>
      <c r="B13" s="116">
        <f>'2023'!E37</f>
        <v>4198.341499</v>
      </c>
      <c r="C13" s="116">
        <f>'2023'!E43</f>
        <v>4447.051249</v>
      </c>
    </row>
    <row r="14">
      <c r="A14" s="172">
        <f t="shared" si="1"/>
        <v>44927</v>
      </c>
      <c r="B14" s="116">
        <f>'2023'!D37</f>
        <v>4527.28173</v>
      </c>
      <c r="C14" s="116">
        <f>'2023'!D43</f>
        <v>4913.164589</v>
      </c>
    </row>
    <row r="15">
      <c r="A15" s="172">
        <f t="shared" si="1"/>
        <v>44896</v>
      </c>
      <c r="B15" s="116">
        <f>'2022'!O38</f>
        <v>5377.729941</v>
      </c>
      <c r="C15" s="116">
        <f>'2022'!O44</f>
        <v>5768.422022</v>
      </c>
    </row>
    <row r="16">
      <c r="A16" s="172">
        <f t="shared" si="1"/>
        <v>44866</v>
      </c>
      <c r="B16" s="116">
        <f>'2022'!N38</f>
        <v>3753.854267</v>
      </c>
      <c r="C16" s="116">
        <f>'2022'!N44</f>
        <v>3906.392135</v>
      </c>
    </row>
    <row r="17">
      <c r="A17" s="172">
        <f t="shared" si="1"/>
        <v>44835</v>
      </c>
      <c r="B17" s="116">
        <f>'2022'!M38</f>
        <v>3497.675504</v>
      </c>
      <c r="C17" s="116">
        <f>'2022'!M44</f>
        <v>3461.82433</v>
      </c>
    </row>
    <row r="18">
      <c r="A18" s="172">
        <f t="shared" si="1"/>
        <v>44805</v>
      </c>
      <c r="B18" s="116">
        <f>'2022'!L38</f>
        <v>3168.999494</v>
      </c>
      <c r="C18" s="116">
        <f>'2022'!L44</f>
        <v>3088.190007</v>
      </c>
    </row>
    <row r="19">
      <c r="A19" s="172">
        <f t="shared" si="1"/>
        <v>44774</v>
      </c>
      <c r="B19" s="116">
        <f>'2022'!K38</f>
        <v>3883.672225</v>
      </c>
      <c r="C19" s="116">
        <f>'2022'!K44</f>
        <v>3902.857566</v>
      </c>
    </row>
    <row r="20">
      <c r="A20" s="172">
        <f t="shared" si="1"/>
        <v>44743</v>
      </c>
      <c r="B20" s="116">
        <f>'2022'!J38</f>
        <v>4408.101661</v>
      </c>
      <c r="C20" s="116">
        <f>'2022'!J44</f>
        <v>4501.641578</v>
      </c>
    </row>
    <row r="21">
      <c r="A21" s="172">
        <f t="shared" si="1"/>
        <v>44713</v>
      </c>
      <c r="B21" s="116">
        <f>'2022'!I38</f>
        <v>3344.291546</v>
      </c>
      <c r="C21" s="116">
        <f>'2022'!I44</f>
        <v>3415.257412</v>
      </c>
    </row>
    <row r="22">
      <c r="A22" s="172">
        <f t="shared" si="1"/>
        <v>44682</v>
      </c>
      <c r="B22" s="116">
        <f>'2022'!H38</f>
        <v>4842.933198</v>
      </c>
      <c r="C22" s="116">
        <f>'2022'!H44</f>
        <v>5196.225175</v>
      </c>
    </row>
    <row r="23">
      <c r="A23" s="172">
        <f t="shared" si="1"/>
        <v>44652</v>
      </c>
      <c r="B23" s="116">
        <f>'2022'!G38</f>
        <v>4735.508759</v>
      </c>
      <c r="C23" s="116">
        <f>'2022'!G44</f>
        <v>4992.97837</v>
      </c>
    </row>
    <row r="24">
      <c r="A24" s="172">
        <f t="shared" si="1"/>
        <v>44621</v>
      </c>
      <c r="B24" s="116">
        <f>'2022'!F38</f>
        <v>2886.63694</v>
      </c>
      <c r="C24" s="116">
        <f>'2022'!F44</f>
        <v>3169.52736</v>
      </c>
    </row>
    <row r="25">
      <c r="A25" s="172">
        <f t="shared" si="1"/>
        <v>44593</v>
      </c>
      <c r="B25" s="116">
        <f>'2022'!E38</f>
        <v>3496.623233</v>
      </c>
      <c r="C25" s="116">
        <f>'2022'!E44</f>
        <v>3936.323605</v>
      </c>
    </row>
    <row r="26">
      <c r="A26" s="172">
        <v>44562.0</v>
      </c>
      <c r="B26" s="116">
        <f>'2022'!D38</f>
        <v>2659.168059</v>
      </c>
      <c r="C26" s="116">
        <f>'2022'!D44</f>
        <v>3006.016645</v>
      </c>
    </row>
    <row r="27">
      <c r="A27" s="172"/>
      <c r="B27" s="116"/>
      <c r="C27" s="116"/>
    </row>
    <row r="28">
      <c r="A28" s="172"/>
      <c r="B28" s="116"/>
      <c r="C28" s="116"/>
    </row>
    <row r="29">
      <c r="A29" s="172"/>
      <c r="B29" s="173"/>
      <c r="C29" s="173"/>
    </row>
    <row r="30">
      <c r="A30" s="172"/>
      <c r="B30" s="173"/>
      <c r="C30" s="173"/>
    </row>
    <row r="31">
      <c r="A31" s="172"/>
      <c r="B31" s="173"/>
      <c r="C31" s="173"/>
    </row>
    <row r="32">
      <c r="A32" s="172"/>
      <c r="B32" s="173"/>
      <c r="C32" s="173"/>
    </row>
    <row r="33">
      <c r="A33" s="174"/>
      <c r="B33" s="173"/>
      <c r="C33" s="173"/>
    </row>
    <row r="34">
      <c r="A34" s="174"/>
      <c r="B34" s="173"/>
      <c r="C34" s="173"/>
    </row>
    <row r="35">
      <c r="A35" s="175"/>
      <c r="B35" s="173"/>
      <c r="C35" s="173"/>
    </row>
    <row r="36">
      <c r="A36" s="175"/>
      <c r="B36" s="173"/>
      <c r="C36" s="173"/>
    </row>
    <row r="37">
      <c r="A37" s="175"/>
      <c r="B37" s="173"/>
      <c r="C37" s="173"/>
    </row>
    <row r="38">
      <c r="A38" s="175"/>
      <c r="B38" s="173"/>
      <c r="C38" s="173"/>
    </row>
    <row r="39">
      <c r="A39" s="175"/>
      <c r="B39" s="173"/>
      <c r="C39" s="173"/>
    </row>
    <row r="40">
      <c r="A40" s="175"/>
      <c r="B40" s="176"/>
      <c r="C40" s="176"/>
    </row>
    <row r="41">
      <c r="A41" s="177"/>
      <c r="B41" s="176"/>
      <c r="C41" s="176"/>
    </row>
    <row r="42">
      <c r="A42" s="175"/>
      <c r="B42" s="176"/>
      <c r="C42" s="176"/>
    </row>
    <row r="43">
      <c r="A43" s="175"/>
      <c r="B43" s="176"/>
      <c r="C43" s="176"/>
    </row>
    <row r="44">
      <c r="A44" s="175"/>
      <c r="B44" s="176"/>
      <c r="C44" s="176"/>
    </row>
    <row r="45">
      <c r="A45" s="175"/>
      <c r="B45" s="176"/>
      <c r="C45" s="176"/>
    </row>
    <row r="46">
      <c r="A46" s="174"/>
      <c r="B46" s="176"/>
      <c r="C46" s="176"/>
    </row>
    <row r="47">
      <c r="A47" s="175"/>
      <c r="B47" s="176"/>
      <c r="C47" s="176"/>
    </row>
    <row r="48">
      <c r="A48" s="178"/>
      <c r="B48" s="176"/>
      <c r="C48" s="176"/>
    </row>
    <row r="49">
      <c r="A49" s="169"/>
      <c r="B49" s="176"/>
      <c r="C49" s="176"/>
    </row>
    <row r="50">
      <c r="A50" s="169"/>
      <c r="B50" s="176"/>
      <c r="C50" s="176"/>
    </row>
    <row r="51">
      <c r="A51" s="178"/>
      <c r="B51" s="176"/>
      <c r="C51" s="176"/>
    </row>
    <row r="52">
      <c r="A52" s="178"/>
      <c r="B52" s="176"/>
      <c r="C52" s="176"/>
    </row>
    <row r="53">
      <c r="A53" s="178"/>
      <c r="B53" s="176"/>
      <c r="C53" s="176"/>
    </row>
    <row r="54">
      <c r="A54" s="178"/>
      <c r="B54" s="176"/>
      <c r="C54" s="176"/>
    </row>
    <row r="55">
      <c r="A55" s="178"/>
      <c r="B55" s="176"/>
      <c r="C55" s="176"/>
    </row>
    <row r="56">
      <c r="A56" s="178"/>
      <c r="B56" s="176"/>
      <c r="C56" s="176"/>
    </row>
    <row r="57">
      <c r="A57" s="178"/>
      <c r="B57" s="176"/>
      <c r="C57" s="176"/>
    </row>
    <row r="58">
      <c r="A58" s="178"/>
      <c r="B58" s="176"/>
      <c r="C58" s="176"/>
    </row>
    <row r="59">
      <c r="A59" s="178"/>
      <c r="B59" s="176"/>
      <c r="C59" s="176"/>
    </row>
    <row r="60">
      <c r="A60" s="178"/>
      <c r="B60" s="176"/>
      <c r="C60" s="176"/>
    </row>
    <row r="61">
      <c r="A61" s="178"/>
      <c r="B61" s="176"/>
      <c r="C61" s="176"/>
    </row>
    <row r="62">
      <c r="A62" s="178"/>
      <c r="B62" s="176"/>
      <c r="C62" s="176"/>
    </row>
    <row r="63">
      <c r="A63" s="169"/>
      <c r="B63" s="176"/>
      <c r="C63" s="176"/>
    </row>
    <row r="64">
      <c r="A64" s="169"/>
      <c r="B64" s="176"/>
      <c r="C64" s="176"/>
    </row>
    <row r="65">
      <c r="A65" s="169"/>
      <c r="B65" s="176"/>
      <c r="C65" s="176"/>
    </row>
    <row r="66">
      <c r="A66" s="169"/>
      <c r="B66" s="176"/>
      <c r="C66" s="176"/>
    </row>
    <row r="67">
      <c r="A67" s="169"/>
      <c r="B67" s="176"/>
      <c r="C67" s="176"/>
    </row>
    <row r="68">
      <c r="A68" s="169"/>
      <c r="B68" s="176"/>
      <c r="C68" s="176"/>
    </row>
    <row r="69">
      <c r="A69" s="169"/>
      <c r="B69" s="176"/>
      <c r="C69" s="176"/>
    </row>
    <row r="70">
      <c r="A70" s="169"/>
      <c r="B70" s="176"/>
      <c r="C70" s="176"/>
    </row>
    <row r="71">
      <c r="A71" s="169"/>
      <c r="B71" s="176"/>
      <c r="C71" s="176"/>
    </row>
    <row r="72">
      <c r="A72" s="169"/>
      <c r="B72" s="176"/>
      <c r="C72" s="176"/>
    </row>
    <row r="73">
      <c r="A73" s="169"/>
      <c r="B73" s="176"/>
      <c r="C73" s="176"/>
    </row>
    <row r="74">
      <c r="A74" s="169"/>
      <c r="B74" s="176"/>
      <c r="C74" s="176"/>
    </row>
    <row r="75">
      <c r="A75" s="177"/>
      <c r="B75" s="176"/>
      <c r="C75" s="176"/>
    </row>
    <row r="76">
      <c r="A76" s="177"/>
      <c r="B76" s="176"/>
      <c r="C76" s="176"/>
    </row>
    <row r="77">
      <c r="A77" s="177"/>
      <c r="B77" s="176"/>
      <c r="C77" s="176"/>
    </row>
    <row r="78">
      <c r="A78" s="177"/>
      <c r="B78" s="176"/>
      <c r="C78" s="176"/>
    </row>
    <row r="79">
      <c r="A79" s="177"/>
      <c r="B79" s="176"/>
      <c r="C79" s="176"/>
    </row>
    <row r="80">
      <c r="A80" s="177"/>
      <c r="B80" s="176"/>
      <c r="C80" s="176"/>
    </row>
    <row r="81">
      <c r="A81" s="177"/>
      <c r="B81" s="176"/>
      <c r="C81" s="176"/>
    </row>
    <row r="82">
      <c r="A82" s="177"/>
      <c r="B82" s="176"/>
      <c r="C82" s="176"/>
    </row>
    <row r="83">
      <c r="A83" s="177"/>
      <c r="B83" s="176"/>
      <c r="C83" s="176"/>
    </row>
    <row r="84">
      <c r="A84" s="177"/>
      <c r="B84" s="176"/>
      <c r="C84" s="176"/>
    </row>
    <row r="85">
      <c r="A85" s="177"/>
      <c r="B85" s="176"/>
      <c r="C85" s="176"/>
    </row>
    <row r="86">
      <c r="A86" s="177"/>
      <c r="B86" s="176"/>
      <c r="C86" s="176"/>
    </row>
    <row r="87">
      <c r="A87" s="177"/>
      <c r="B87" s="176"/>
      <c r="C87" s="176"/>
    </row>
    <row r="88">
      <c r="A88" s="177"/>
      <c r="B88" s="176"/>
      <c r="C88" s="176"/>
    </row>
    <row r="89">
      <c r="A89" s="177"/>
      <c r="B89" s="176"/>
      <c r="C89" s="176"/>
    </row>
    <row r="90">
      <c r="A90" s="177"/>
      <c r="B90" s="176"/>
      <c r="C90" s="176"/>
    </row>
    <row r="91">
      <c r="A91" s="177"/>
      <c r="B91" s="176"/>
      <c r="C91" s="176"/>
    </row>
    <row r="92">
      <c r="A92" s="177"/>
      <c r="B92" s="176"/>
      <c r="C92" s="176"/>
    </row>
    <row r="93">
      <c r="A93" s="177"/>
      <c r="B93" s="176"/>
      <c r="C93" s="176"/>
    </row>
    <row r="94">
      <c r="A94" s="177"/>
      <c r="B94" s="176"/>
      <c r="C94" s="176"/>
    </row>
    <row r="95">
      <c r="A95" s="177"/>
      <c r="B95" s="176"/>
      <c r="C95" s="176"/>
    </row>
    <row r="96">
      <c r="A96" s="177"/>
      <c r="B96" s="176"/>
      <c r="C96" s="176"/>
    </row>
    <row r="97">
      <c r="A97" s="177"/>
      <c r="B97" s="176"/>
      <c r="C97" s="176"/>
    </row>
    <row r="98">
      <c r="A98" s="177"/>
      <c r="B98" s="176"/>
      <c r="C98" s="176"/>
    </row>
    <row r="99">
      <c r="A99" s="177"/>
      <c r="B99" s="176"/>
      <c r="C99" s="176"/>
    </row>
    <row r="100">
      <c r="A100" s="177"/>
      <c r="B100" s="176"/>
      <c r="C100" s="176"/>
    </row>
    <row r="101">
      <c r="A101" s="177"/>
      <c r="B101" s="176"/>
      <c r="C101" s="176"/>
    </row>
    <row r="102">
      <c r="A102" s="177"/>
      <c r="B102" s="176"/>
      <c r="C102" s="176"/>
    </row>
    <row r="103">
      <c r="A103" s="177"/>
      <c r="B103" s="176"/>
      <c r="C103" s="176"/>
    </row>
    <row r="104">
      <c r="A104" s="177"/>
      <c r="B104" s="176"/>
      <c r="C104" s="176"/>
    </row>
    <row r="105">
      <c r="A105" s="177"/>
      <c r="B105" s="176"/>
      <c r="C105" s="176"/>
    </row>
    <row r="106">
      <c r="A106" s="177"/>
      <c r="B106" s="176"/>
      <c r="C106" s="176"/>
    </row>
    <row r="107">
      <c r="A107" s="177"/>
      <c r="B107" s="176"/>
      <c r="C107" s="176"/>
    </row>
    <row r="108">
      <c r="A108" s="177"/>
      <c r="B108" s="176"/>
      <c r="C108" s="176"/>
    </row>
    <row r="109">
      <c r="A109" s="177"/>
      <c r="B109" s="176"/>
      <c r="C109" s="176"/>
    </row>
    <row r="110">
      <c r="A110" s="177"/>
      <c r="B110" s="176"/>
      <c r="C110" s="176"/>
    </row>
    <row r="111">
      <c r="A111" s="177"/>
      <c r="B111" s="176"/>
      <c r="C111" s="176"/>
    </row>
    <row r="112">
      <c r="A112" s="177"/>
      <c r="B112" s="176"/>
      <c r="C112" s="176"/>
    </row>
    <row r="113">
      <c r="A113" s="177"/>
      <c r="B113" s="176"/>
      <c r="C113" s="176"/>
    </row>
    <row r="114">
      <c r="A114" s="177"/>
      <c r="B114" s="176"/>
      <c r="C114" s="176"/>
    </row>
    <row r="115">
      <c r="A115" s="177"/>
      <c r="B115" s="176"/>
      <c r="C115" s="176"/>
    </row>
    <row r="116">
      <c r="A116" s="177"/>
      <c r="B116" s="176"/>
      <c r="C116" s="176"/>
    </row>
    <row r="117">
      <c r="A117" s="177"/>
      <c r="B117" s="176"/>
      <c r="C117" s="176"/>
    </row>
    <row r="118">
      <c r="A118" s="177"/>
      <c r="B118" s="176"/>
      <c r="C118" s="176"/>
    </row>
    <row r="119">
      <c r="A119" s="177"/>
      <c r="B119" s="176"/>
      <c r="C119" s="176"/>
    </row>
    <row r="120">
      <c r="A120" s="177"/>
      <c r="B120" s="176"/>
      <c r="C120" s="176"/>
    </row>
    <row r="121">
      <c r="A121" s="177"/>
      <c r="B121" s="176"/>
      <c r="C121" s="176"/>
    </row>
    <row r="122">
      <c r="A122" s="177"/>
      <c r="B122" s="176"/>
      <c r="C122" s="176"/>
    </row>
    <row r="123">
      <c r="A123" s="177"/>
      <c r="B123" s="176"/>
      <c r="C123" s="176"/>
    </row>
    <row r="124">
      <c r="A124" s="177"/>
      <c r="B124" s="176"/>
      <c r="C124" s="176"/>
    </row>
    <row r="125">
      <c r="A125" s="177"/>
      <c r="B125" s="176"/>
      <c r="C125" s="176"/>
    </row>
    <row r="126">
      <c r="A126" s="177"/>
      <c r="B126" s="176"/>
      <c r="C126" s="176"/>
    </row>
    <row r="127">
      <c r="A127" s="177"/>
      <c r="B127" s="176"/>
      <c r="C127" s="176"/>
    </row>
    <row r="128">
      <c r="A128" s="177"/>
      <c r="B128" s="176"/>
      <c r="C128" s="176"/>
    </row>
    <row r="129">
      <c r="A129" s="177"/>
      <c r="B129" s="176"/>
      <c r="C129" s="176"/>
    </row>
    <row r="130">
      <c r="A130" s="177"/>
      <c r="B130" s="176"/>
      <c r="C130" s="176"/>
    </row>
    <row r="131">
      <c r="A131" s="177"/>
      <c r="B131" s="176"/>
      <c r="C131" s="176"/>
    </row>
    <row r="132">
      <c r="A132" s="177"/>
      <c r="B132" s="176"/>
      <c r="C132" s="176"/>
    </row>
    <row r="133">
      <c r="A133" s="177"/>
      <c r="B133" s="176"/>
      <c r="C133" s="176"/>
    </row>
    <row r="134">
      <c r="A134" s="177"/>
      <c r="B134" s="176"/>
      <c r="C134" s="176"/>
    </row>
    <row r="135">
      <c r="A135" s="177"/>
      <c r="B135" s="176"/>
      <c r="C135" s="176"/>
    </row>
    <row r="136">
      <c r="A136" s="177"/>
      <c r="B136" s="176"/>
      <c r="C136" s="176"/>
    </row>
    <row r="137">
      <c r="A137" s="177"/>
      <c r="B137" s="176"/>
      <c r="C137" s="176"/>
    </row>
    <row r="138">
      <c r="A138" s="177"/>
      <c r="B138" s="176"/>
      <c r="C138" s="176"/>
    </row>
    <row r="139">
      <c r="A139" s="177"/>
      <c r="B139" s="176"/>
      <c r="C139" s="176"/>
    </row>
    <row r="140">
      <c r="A140" s="177"/>
      <c r="B140" s="176"/>
      <c r="C140" s="176"/>
    </row>
    <row r="141">
      <c r="A141" s="177"/>
      <c r="B141" s="176"/>
      <c r="C141" s="176"/>
    </row>
    <row r="142">
      <c r="A142" s="177"/>
      <c r="B142" s="176"/>
      <c r="C142" s="176"/>
    </row>
    <row r="143">
      <c r="A143" s="177"/>
      <c r="B143" s="176"/>
      <c r="C143" s="176"/>
    </row>
    <row r="144">
      <c r="A144" s="177"/>
      <c r="B144" s="176"/>
      <c r="C144" s="176"/>
    </row>
    <row r="145">
      <c r="A145" s="177"/>
      <c r="B145" s="176"/>
      <c r="C145" s="176"/>
    </row>
    <row r="146">
      <c r="A146" s="177"/>
      <c r="B146" s="176"/>
      <c r="C146" s="176"/>
    </row>
    <row r="147">
      <c r="A147" s="177"/>
      <c r="B147" s="176"/>
      <c r="C147" s="176"/>
    </row>
    <row r="148">
      <c r="A148" s="177"/>
      <c r="B148" s="176"/>
      <c r="C148" s="176"/>
    </row>
    <row r="149">
      <c r="A149" s="177"/>
      <c r="B149" s="176"/>
      <c r="C149" s="176"/>
    </row>
    <row r="150">
      <c r="A150" s="177"/>
      <c r="B150" s="176"/>
      <c r="C150" s="176"/>
    </row>
    <row r="151">
      <c r="A151" s="177"/>
      <c r="B151" s="176"/>
      <c r="C151" s="176"/>
    </row>
    <row r="152">
      <c r="A152" s="177"/>
      <c r="B152" s="176"/>
      <c r="C152" s="176"/>
    </row>
    <row r="153">
      <c r="A153" s="177"/>
      <c r="B153" s="176"/>
      <c r="C153" s="176"/>
    </row>
    <row r="154">
      <c r="A154" s="177"/>
      <c r="B154" s="176"/>
      <c r="C154" s="176"/>
    </row>
    <row r="155">
      <c r="A155" s="177"/>
      <c r="B155" s="176"/>
      <c r="C155" s="176"/>
    </row>
    <row r="156">
      <c r="A156" s="177"/>
      <c r="B156" s="176"/>
      <c r="C156" s="176"/>
    </row>
    <row r="157">
      <c r="A157" s="177"/>
      <c r="B157" s="176"/>
      <c r="C157" s="176"/>
    </row>
    <row r="158">
      <c r="A158" s="177"/>
      <c r="B158" s="176"/>
      <c r="C158" s="176"/>
    </row>
    <row r="159">
      <c r="A159" s="177"/>
      <c r="B159" s="176"/>
      <c r="C159" s="176"/>
    </row>
    <row r="160">
      <c r="A160" s="177"/>
      <c r="B160" s="176"/>
      <c r="C160" s="176"/>
    </row>
    <row r="161">
      <c r="A161" s="177"/>
      <c r="B161" s="176"/>
      <c r="C161" s="176"/>
    </row>
    <row r="162">
      <c r="A162" s="177"/>
      <c r="B162" s="176"/>
      <c r="C162" s="176"/>
    </row>
    <row r="163">
      <c r="A163" s="177"/>
      <c r="B163" s="176"/>
      <c r="C163" s="176"/>
    </row>
    <row r="164">
      <c r="A164" s="177"/>
      <c r="B164" s="176"/>
      <c r="C164" s="176"/>
    </row>
    <row r="165">
      <c r="A165" s="177"/>
      <c r="B165" s="176"/>
      <c r="C165" s="176"/>
    </row>
    <row r="166">
      <c r="A166" s="177"/>
      <c r="B166" s="176"/>
      <c r="C166" s="176"/>
    </row>
    <row r="167">
      <c r="A167" s="177"/>
      <c r="B167" s="176"/>
      <c r="C167" s="176"/>
    </row>
    <row r="168">
      <c r="A168" s="177"/>
      <c r="B168" s="176"/>
      <c r="C168" s="176"/>
    </row>
    <row r="169">
      <c r="A169" s="177"/>
      <c r="B169" s="176"/>
      <c r="C169" s="176"/>
    </row>
    <row r="170">
      <c r="A170" s="177"/>
      <c r="B170" s="176"/>
      <c r="C170" s="176"/>
    </row>
    <row r="171">
      <c r="A171" s="177"/>
      <c r="B171" s="176"/>
      <c r="C171" s="176"/>
    </row>
    <row r="172">
      <c r="A172" s="177"/>
      <c r="B172" s="176"/>
      <c r="C172" s="176"/>
    </row>
    <row r="173">
      <c r="A173" s="177"/>
      <c r="B173" s="176"/>
      <c r="C173" s="176"/>
    </row>
    <row r="174">
      <c r="A174" s="177"/>
      <c r="B174" s="176"/>
      <c r="C174" s="176"/>
    </row>
    <row r="175">
      <c r="A175" s="177"/>
      <c r="B175" s="176"/>
      <c r="C175" s="176"/>
    </row>
    <row r="176">
      <c r="A176" s="177"/>
      <c r="B176" s="176"/>
      <c r="C176" s="176"/>
    </row>
    <row r="177">
      <c r="A177" s="177"/>
      <c r="B177" s="176"/>
      <c r="C177" s="176"/>
    </row>
    <row r="178">
      <c r="A178" s="177"/>
      <c r="B178" s="176"/>
      <c r="C178" s="176"/>
    </row>
    <row r="179">
      <c r="A179" s="177"/>
      <c r="B179" s="176"/>
      <c r="C179" s="176"/>
    </row>
    <row r="180">
      <c r="A180" s="177"/>
      <c r="B180" s="176"/>
      <c r="C180" s="176"/>
    </row>
    <row r="181">
      <c r="A181" s="177"/>
      <c r="B181" s="176"/>
      <c r="C181" s="176"/>
    </row>
    <row r="182">
      <c r="A182" s="177"/>
      <c r="B182" s="176"/>
      <c r="C182" s="176"/>
    </row>
    <row r="183">
      <c r="A183" s="177"/>
      <c r="B183" s="176"/>
      <c r="C183" s="176"/>
    </row>
    <row r="184">
      <c r="A184" s="177"/>
      <c r="B184" s="176"/>
      <c r="C184" s="176"/>
    </row>
    <row r="185">
      <c r="A185" s="177"/>
      <c r="B185" s="176"/>
      <c r="C185" s="176"/>
    </row>
    <row r="186">
      <c r="A186" s="177"/>
      <c r="B186" s="176"/>
      <c r="C186" s="176"/>
    </row>
    <row r="187">
      <c r="A187" s="177"/>
      <c r="B187" s="176"/>
      <c r="C187" s="176"/>
    </row>
    <row r="188">
      <c r="A188" s="177"/>
      <c r="B188" s="176"/>
      <c r="C188" s="176"/>
    </row>
    <row r="189">
      <c r="A189" s="177"/>
      <c r="B189" s="176"/>
      <c r="C189" s="176"/>
    </row>
    <row r="190">
      <c r="A190" s="177"/>
      <c r="B190" s="176"/>
      <c r="C190" s="176"/>
    </row>
    <row r="191">
      <c r="A191" s="177"/>
      <c r="B191" s="176"/>
      <c r="C191" s="176"/>
    </row>
    <row r="192">
      <c r="A192" s="177"/>
      <c r="B192" s="176"/>
      <c r="C192" s="176"/>
    </row>
    <row r="193">
      <c r="A193" s="177"/>
      <c r="B193" s="176"/>
      <c r="C193" s="176"/>
    </row>
    <row r="194">
      <c r="A194" s="177"/>
      <c r="B194" s="176"/>
      <c r="C194" s="176"/>
    </row>
    <row r="195">
      <c r="A195" s="177"/>
      <c r="B195" s="176"/>
      <c r="C195" s="176"/>
    </row>
    <row r="196">
      <c r="A196" s="177"/>
      <c r="B196" s="176"/>
      <c r="C196" s="176"/>
    </row>
    <row r="197">
      <c r="A197" s="177"/>
      <c r="B197" s="176"/>
      <c r="C197" s="176"/>
    </row>
    <row r="198">
      <c r="A198" s="177"/>
      <c r="B198" s="176"/>
      <c r="C198" s="176"/>
    </row>
    <row r="199">
      <c r="A199" s="177"/>
      <c r="B199" s="176"/>
      <c r="C199" s="176"/>
    </row>
    <row r="200">
      <c r="A200" s="177"/>
      <c r="B200" s="176"/>
      <c r="C200" s="176"/>
    </row>
    <row r="201">
      <c r="A201" s="177"/>
      <c r="B201" s="176"/>
      <c r="C201" s="176"/>
    </row>
    <row r="202">
      <c r="A202" s="177"/>
      <c r="B202" s="176"/>
      <c r="C202" s="176"/>
    </row>
    <row r="203">
      <c r="A203" s="177"/>
      <c r="B203" s="176"/>
      <c r="C203" s="176"/>
    </row>
    <row r="204">
      <c r="A204" s="177"/>
      <c r="B204" s="176"/>
      <c r="C204" s="176"/>
    </row>
    <row r="205">
      <c r="A205" s="177"/>
      <c r="B205" s="176"/>
      <c r="C205" s="176"/>
    </row>
    <row r="206">
      <c r="A206" s="177"/>
      <c r="B206" s="176"/>
      <c r="C206" s="176"/>
    </row>
    <row r="207">
      <c r="A207" s="177"/>
      <c r="B207" s="176"/>
      <c r="C207" s="176"/>
    </row>
    <row r="208">
      <c r="A208" s="177"/>
      <c r="B208" s="176"/>
      <c r="C208" s="176"/>
    </row>
    <row r="209">
      <c r="A209" s="177"/>
      <c r="B209" s="176"/>
      <c r="C209" s="176"/>
    </row>
    <row r="210">
      <c r="A210" s="177"/>
      <c r="B210" s="176"/>
      <c r="C210" s="176"/>
    </row>
    <row r="211">
      <c r="A211" s="177"/>
      <c r="B211" s="176"/>
      <c r="C211" s="176"/>
    </row>
    <row r="212">
      <c r="A212" s="177"/>
      <c r="B212" s="176"/>
      <c r="C212" s="176"/>
    </row>
    <row r="213">
      <c r="A213" s="177"/>
      <c r="B213" s="176"/>
      <c r="C213" s="176"/>
    </row>
    <row r="214">
      <c r="A214" s="177"/>
      <c r="B214" s="176"/>
      <c r="C214" s="176"/>
    </row>
    <row r="215">
      <c r="A215" s="177"/>
      <c r="B215" s="176"/>
      <c r="C215" s="176"/>
    </row>
    <row r="216">
      <c r="A216" s="177"/>
      <c r="B216" s="176"/>
      <c r="C216" s="176"/>
    </row>
    <row r="217">
      <c r="A217" s="177"/>
      <c r="B217" s="176"/>
      <c r="C217" s="176"/>
    </row>
    <row r="218">
      <c r="A218" s="177"/>
      <c r="B218" s="176"/>
      <c r="C218" s="176"/>
    </row>
    <row r="219">
      <c r="A219" s="177"/>
      <c r="B219" s="176"/>
      <c r="C219" s="176"/>
    </row>
    <row r="220">
      <c r="A220" s="177"/>
      <c r="B220" s="176"/>
      <c r="C220" s="176"/>
    </row>
    <row r="221">
      <c r="A221" s="177"/>
      <c r="B221" s="176"/>
      <c r="C221" s="176"/>
    </row>
    <row r="222">
      <c r="A222" s="177"/>
      <c r="B222" s="176"/>
      <c r="C222" s="176"/>
    </row>
    <row r="223">
      <c r="A223" s="177"/>
      <c r="B223" s="176"/>
      <c r="C223" s="176"/>
    </row>
    <row r="224">
      <c r="A224" s="177"/>
      <c r="B224" s="176"/>
      <c r="C224" s="176"/>
    </row>
    <row r="225">
      <c r="A225" s="177"/>
      <c r="B225" s="176"/>
      <c r="C225" s="176"/>
    </row>
    <row r="226">
      <c r="A226" s="177"/>
      <c r="B226" s="176"/>
      <c r="C226" s="176"/>
    </row>
    <row r="227">
      <c r="A227" s="177"/>
      <c r="B227" s="176"/>
      <c r="C227" s="176"/>
    </row>
    <row r="228">
      <c r="A228" s="177"/>
      <c r="B228" s="176"/>
      <c r="C228" s="176"/>
    </row>
    <row r="229">
      <c r="A229" s="177"/>
      <c r="B229" s="176"/>
      <c r="C229" s="176"/>
    </row>
    <row r="230">
      <c r="A230" s="177"/>
      <c r="B230" s="176"/>
      <c r="C230" s="176"/>
    </row>
    <row r="231">
      <c r="A231" s="177"/>
      <c r="B231" s="176"/>
      <c r="C231" s="176"/>
    </row>
    <row r="232">
      <c r="A232" s="177"/>
      <c r="B232" s="176"/>
      <c r="C232" s="176"/>
    </row>
    <row r="233">
      <c r="A233" s="177"/>
      <c r="B233" s="176"/>
      <c r="C233" s="176"/>
    </row>
    <row r="234">
      <c r="A234" s="177"/>
      <c r="B234" s="176"/>
      <c r="C234" s="176"/>
    </row>
    <row r="235">
      <c r="A235" s="177"/>
      <c r="B235" s="176"/>
      <c r="C235" s="176"/>
    </row>
    <row r="236">
      <c r="A236" s="177"/>
      <c r="B236" s="176"/>
      <c r="C236" s="176"/>
    </row>
    <row r="237">
      <c r="A237" s="177"/>
      <c r="B237" s="176"/>
      <c r="C237" s="176"/>
    </row>
    <row r="238">
      <c r="A238" s="177"/>
      <c r="B238" s="176"/>
      <c r="C238" s="176"/>
    </row>
    <row r="239">
      <c r="A239" s="177"/>
      <c r="B239" s="176"/>
      <c r="C239" s="176"/>
    </row>
    <row r="240">
      <c r="A240" s="177"/>
      <c r="B240" s="176"/>
      <c r="C240" s="176"/>
    </row>
    <row r="241">
      <c r="A241" s="177"/>
      <c r="B241" s="176"/>
      <c r="C241" s="176"/>
    </row>
    <row r="242">
      <c r="A242" s="177"/>
      <c r="B242" s="176"/>
      <c r="C242" s="176"/>
    </row>
    <row r="243">
      <c r="A243" s="177"/>
      <c r="B243" s="176"/>
      <c r="C243" s="176"/>
    </row>
    <row r="244">
      <c r="A244" s="177"/>
      <c r="B244" s="176"/>
      <c r="C244" s="176"/>
    </row>
    <row r="245">
      <c r="A245" s="177"/>
      <c r="B245" s="176"/>
      <c r="C245" s="176"/>
    </row>
    <row r="246">
      <c r="A246" s="177"/>
      <c r="B246" s="176"/>
      <c r="C246" s="176"/>
    </row>
    <row r="247">
      <c r="A247" s="177"/>
      <c r="B247" s="176"/>
      <c r="C247" s="176"/>
    </row>
    <row r="248">
      <c r="A248" s="177"/>
      <c r="B248" s="176"/>
      <c r="C248" s="176"/>
    </row>
    <row r="249">
      <c r="A249" s="177"/>
      <c r="B249" s="176"/>
      <c r="C249" s="176"/>
    </row>
    <row r="250">
      <c r="A250" s="177"/>
      <c r="B250" s="176"/>
      <c r="C250" s="176"/>
    </row>
    <row r="251">
      <c r="A251" s="177"/>
      <c r="B251" s="176"/>
      <c r="C251" s="176"/>
    </row>
    <row r="252">
      <c r="A252" s="177"/>
      <c r="B252" s="176"/>
      <c r="C252" s="176"/>
    </row>
    <row r="253">
      <c r="A253" s="177"/>
      <c r="B253" s="176"/>
      <c r="C253" s="176"/>
    </row>
    <row r="254">
      <c r="A254" s="177"/>
      <c r="B254" s="176"/>
      <c r="C254" s="176"/>
    </row>
    <row r="255">
      <c r="A255" s="177"/>
      <c r="B255" s="176"/>
      <c r="C255" s="176"/>
    </row>
    <row r="256">
      <c r="A256" s="177"/>
      <c r="B256" s="176"/>
      <c r="C256" s="176"/>
    </row>
    <row r="257">
      <c r="A257" s="177"/>
      <c r="B257" s="176"/>
      <c r="C257" s="176"/>
    </row>
    <row r="258">
      <c r="A258" s="177"/>
      <c r="B258" s="176"/>
      <c r="C258" s="176"/>
    </row>
    <row r="259">
      <c r="A259" s="177"/>
      <c r="B259" s="176"/>
      <c r="C259" s="176"/>
    </row>
    <row r="260">
      <c r="A260" s="177"/>
      <c r="B260" s="176"/>
      <c r="C260" s="176"/>
    </row>
    <row r="261">
      <c r="A261" s="177"/>
      <c r="B261" s="176"/>
      <c r="C261" s="176"/>
    </row>
    <row r="262">
      <c r="A262" s="177"/>
      <c r="B262" s="176"/>
      <c r="C262" s="176"/>
    </row>
    <row r="263">
      <c r="A263" s="177"/>
      <c r="B263" s="176"/>
      <c r="C263" s="176"/>
    </row>
    <row r="264">
      <c r="A264" s="177"/>
      <c r="B264" s="176"/>
      <c r="C264" s="176"/>
    </row>
    <row r="265">
      <c r="A265" s="177"/>
      <c r="B265" s="176"/>
      <c r="C265" s="176"/>
    </row>
    <row r="266">
      <c r="A266" s="177"/>
      <c r="B266" s="176"/>
      <c r="C266" s="176"/>
    </row>
    <row r="267">
      <c r="A267" s="177"/>
      <c r="B267" s="176"/>
      <c r="C267" s="176"/>
    </row>
    <row r="268">
      <c r="A268" s="177"/>
      <c r="B268" s="176"/>
      <c r="C268" s="176"/>
    </row>
    <row r="269">
      <c r="A269" s="177"/>
      <c r="B269" s="176"/>
      <c r="C269" s="176"/>
    </row>
    <row r="270">
      <c r="A270" s="177"/>
      <c r="B270" s="176"/>
      <c r="C270" s="176"/>
    </row>
    <row r="271">
      <c r="A271" s="177"/>
      <c r="B271" s="176"/>
      <c r="C271" s="176"/>
    </row>
    <row r="272">
      <c r="A272" s="177"/>
      <c r="B272" s="176"/>
      <c r="C272" s="176"/>
    </row>
    <row r="273">
      <c r="A273" s="177"/>
      <c r="B273" s="176"/>
      <c r="C273" s="176"/>
    </row>
    <row r="274">
      <c r="A274" s="177"/>
      <c r="B274" s="176"/>
      <c r="C274" s="176"/>
    </row>
    <row r="275">
      <c r="A275" s="177"/>
      <c r="B275" s="176"/>
      <c r="C275" s="176"/>
    </row>
    <row r="276">
      <c r="A276" s="177"/>
      <c r="B276" s="176"/>
      <c r="C276" s="176"/>
    </row>
    <row r="277">
      <c r="A277" s="177"/>
      <c r="B277" s="176"/>
      <c r="C277" s="176"/>
    </row>
    <row r="278">
      <c r="A278" s="177"/>
      <c r="B278" s="176"/>
      <c r="C278" s="176"/>
    </row>
    <row r="279">
      <c r="A279" s="177"/>
      <c r="B279" s="176"/>
      <c r="C279" s="176"/>
    </row>
    <row r="280">
      <c r="A280" s="177"/>
      <c r="B280" s="176"/>
      <c r="C280" s="176"/>
    </row>
    <row r="281">
      <c r="A281" s="177"/>
      <c r="B281" s="176"/>
      <c r="C281" s="176"/>
    </row>
    <row r="282">
      <c r="A282" s="177"/>
      <c r="B282" s="176"/>
      <c r="C282" s="176"/>
    </row>
    <row r="283">
      <c r="A283" s="177"/>
      <c r="B283" s="176"/>
      <c r="C283" s="176"/>
    </row>
    <row r="284">
      <c r="A284" s="177"/>
      <c r="B284" s="176"/>
      <c r="C284" s="176"/>
    </row>
    <row r="285">
      <c r="A285" s="177"/>
      <c r="B285" s="176"/>
      <c r="C285" s="176"/>
    </row>
    <row r="286">
      <c r="A286" s="177"/>
      <c r="B286" s="176"/>
      <c r="C286" s="176"/>
    </row>
    <row r="287">
      <c r="A287" s="177"/>
      <c r="B287" s="176"/>
      <c r="C287" s="176"/>
    </row>
    <row r="288">
      <c r="A288" s="177"/>
      <c r="B288" s="176"/>
      <c r="C288" s="176"/>
    </row>
    <row r="289">
      <c r="A289" s="177"/>
      <c r="B289" s="176"/>
      <c r="C289" s="176"/>
    </row>
    <row r="290">
      <c r="A290" s="177"/>
      <c r="B290" s="176"/>
      <c r="C290" s="176"/>
    </row>
    <row r="291">
      <c r="A291" s="177"/>
      <c r="B291" s="176"/>
      <c r="C291" s="176"/>
    </row>
    <row r="292">
      <c r="A292" s="177"/>
      <c r="B292" s="176"/>
      <c r="C292" s="176"/>
    </row>
    <row r="293">
      <c r="A293" s="177"/>
      <c r="B293" s="176"/>
      <c r="C293" s="176"/>
    </row>
    <row r="294">
      <c r="A294" s="177"/>
      <c r="B294" s="176"/>
      <c r="C294" s="176"/>
    </row>
    <row r="295">
      <c r="A295" s="177"/>
      <c r="B295" s="176"/>
      <c r="C295" s="176"/>
    </row>
    <row r="296">
      <c r="A296" s="177"/>
      <c r="B296" s="176"/>
      <c r="C296" s="176"/>
    </row>
    <row r="297">
      <c r="A297" s="177"/>
      <c r="B297" s="176"/>
      <c r="C297" s="176"/>
    </row>
    <row r="298">
      <c r="A298" s="177"/>
      <c r="B298" s="176"/>
      <c r="C298" s="176"/>
    </row>
    <row r="299">
      <c r="A299" s="177"/>
      <c r="B299" s="176"/>
      <c r="C299" s="176"/>
    </row>
    <row r="300">
      <c r="A300" s="177"/>
      <c r="B300" s="176"/>
      <c r="C300" s="176"/>
    </row>
    <row r="301">
      <c r="A301" s="177"/>
      <c r="B301" s="176"/>
      <c r="C301" s="176"/>
    </row>
    <row r="302">
      <c r="A302" s="177"/>
      <c r="B302" s="176"/>
      <c r="C302" s="176"/>
    </row>
    <row r="303">
      <c r="A303" s="177"/>
      <c r="B303" s="176"/>
      <c r="C303" s="176"/>
    </row>
    <row r="304">
      <c r="A304" s="177"/>
      <c r="B304" s="176"/>
      <c r="C304" s="176"/>
    </row>
    <row r="305">
      <c r="A305" s="177"/>
      <c r="B305" s="176"/>
      <c r="C305" s="176"/>
    </row>
    <row r="306">
      <c r="A306" s="177"/>
      <c r="B306" s="176"/>
      <c r="C306" s="176"/>
    </row>
    <row r="307">
      <c r="A307" s="177"/>
      <c r="B307" s="176"/>
      <c r="C307" s="176"/>
    </row>
    <row r="308">
      <c r="A308" s="177"/>
      <c r="B308" s="176"/>
      <c r="C308" s="176"/>
    </row>
    <row r="309">
      <c r="A309" s="177"/>
      <c r="B309" s="176"/>
      <c r="C309" s="176"/>
    </row>
    <row r="310">
      <c r="A310" s="177"/>
      <c r="B310" s="176"/>
      <c r="C310" s="176"/>
    </row>
    <row r="311">
      <c r="A311" s="177"/>
      <c r="B311" s="176"/>
      <c r="C311" s="176"/>
    </row>
    <row r="312">
      <c r="A312" s="177"/>
      <c r="B312" s="176"/>
      <c r="C312" s="176"/>
    </row>
    <row r="313">
      <c r="A313" s="177"/>
      <c r="B313" s="176"/>
      <c r="C313" s="176"/>
    </row>
    <row r="314">
      <c r="A314" s="177"/>
      <c r="B314" s="176"/>
      <c r="C314" s="176"/>
    </row>
    <row r="315">
      <c r="A315" s="177"/>
      <c r="B315" s="176"/>
      <c r="C315" s="176"/>
    </row>
    <row r="316">
      <c r="A316" s="177"/>
      <c r="B316" s="176"/>
      <c r="C316" s="176"/>
    </row>
    <row r="317">
      <c r="A317" s="177"/>
      <c r="B317" s="176"/>
      <c r="C317" s="176"/>
    </row>
    <row r="318">
      <c r="A318" s="177"/>
      <c r="B318" s="176"/>
      <c r="C318" s="176"/>
    </row>
    <row r="319">
      <c r="A319" s="177"/>
      <c r="B319" s="176"/>
      <c r="C319" s="176"/>
    </row>
    <row r="320">
      <c r="A320" s="177"/>
      <c r="B320" s="176"/>
      <c r="C320" s="176"/>
    </row>
    <row r="321">
      <c r="A321" s="177"/>
      <c r="B321" s="176"/>
      <c r="C321" s="176"/>
    </row>
    <row r="322">
      <c r="A322" s="177"/>
      <c r="B322" s="176"/>
      <c r="C322" s="176"/>
    </row>
    <row r="323">
      <c r="A323" s="177"/>
      <c r="B323" s="176"/>
      <c r="C323" s="176"/>
    </row>
    <row r="324">
      <c r="A324" s="177"/>
      <c r="B324" s="176"/>
      <c r="C324" s="176"/>
    </row>
    <row r="325">
      <c r="A325" s="177"/>
      <c r="B325" s="176"/>
      <c r="C325" s="176"/>
    </row>
    <row r="326">
      <c r="A326" s="177"/>
      <c r="B326" s="176"/>
      <c r="C326" s="176"/>
    </row>
    <row r="327">
      <c r="A327" s="177"/>
      <c r="B327" s="176"/>
      <c r="C327" s="176"/>
    </row>
    <row r="328">
      <c r="A328" s="177"/>
      <c r="B328" s="176"/>
      <c r="C328" s="176"/>
    </row>
    <row r="329">
      <c r="A329" s="177"/>
      <c r="B329" s="176"/>
      <c r="C329" s="176"/>
    </row>
    <row r="330">
      <c r="A330" s="177"/>
      <c r="B330" s="176"/>
      <c r="C330" s="176"/>
    </row>
    <row r="331">
      <c r="A331" s="177"/>
      <c r="B331" s="176"/>
      <c r="C331" s="176"/>
    </row>
    <row r="332">
      <c r="A332" s="177"/>
      <c r="B332" s="176"/>
      <c r="C332" s="176"/>
    </row>
    <row r="333">
      <c r="A333" s="177"/>
      <c r="B333" s="176"/>
      <c r="C333" s="176"/>
    </row>
    <row r="334">
      <c r="A334" s="177"/>
      <c r="B334" s="176"/>
      <c r="C334" s="176"/>
    </row>
    <row r="335">
      <c r="A335" s="177"/>
      <c r="B335" s="176"/>
      <c r="C335" s="176"/>
    </row>
    <row r="336">
      <c r="A336" s="177"/>
      <c r="B336" s="176"/>
      <c r="C336" s="176"/>
    </row>
    <row r="337">
      <c r="A337" s="177"/>
      <c r="B337" s="176"/>
      <c r="C337" s="176"/>
    </row>
    <row r="338">
      <c r="A338" s="177"/>
      <c r="B338" s="176"/>
      <c r="C338" s="176"/>
    </row>
    <row r="339">
      <c r="A339" s="177"/>
      <c r="B339" s="176"/>
      <c r="C339" s="176"/>
    </row>
    <row r="340">
      <c r="A340" s="177"/>
      <c r="B340" s="176"/>
      <c r="C340" s="176"/>
    </row>
    <row r="341">
      <c r="A341" s="177"/>
      <c r="B341" s="176"/>
      <c r="C341" s="176"/>
    </row>
    <row r="342">
      <c r="A342" s="177"/>
      <c r="B342" s="176"/>
      <c r="C342" s="176"/>
    </row>
    <row r="343">
      <c r="A343" s="177"/>
      <c r="B343" s="176"/>
      <c r="C343" s="176"/>
    </row>
    <row r="344">
      <c r="A344" s="177"/>
      <c r="B344" s="176"/>
      <c r="C344" s="176"/>
    </row>
    <row r="345">
      <c r="A345" s="177"/>
      <c r="B345" s="176"/>
      <c r="C345" s="176"/>
    </row>
    <row r="346">
      <c r="A346" s="177"/>
      <c r="B346" s="176"/>
      <c r="C346" s="176"/>
    </row>
    <row r="347">
      <c r="A347" s="177"/>
      <c r="B347" s="176"/>
      <c r="C347" s="176"/>
    </row>
    <row r="348">
      <c r="A348" s="177"/>
      <c r="B348" s="176"/>
      <c r="C348" s="176"/>
    </row>
    <row r="349">
      <c r="A349" s="177"/>
      <c r="B349" s="176"/>
      <c r="C349" s="176"/>
    </row>
    <row r="350">
      <c r="A350" s="177"/>
      <c r="B350" s="176"/>
      <c r="C350" s="176"/>
    </row>
    <row r="351">
      <c r="A351" s="177"/>
      <c r="B351" s="176"/>
      <c r="C351" s="176"/>
    </row>
    <row r="352">
      <c r="A352" s="177"/>
      <c r="B352" s="176"/>
      <c r="C352" s="176"/>
    </row>
    <row r="353">
      <c r="A353" s="177"/>
      <c r="B353" s="176"/>
      <c r="C353" s="176"/>
    </row>
    <row r="354">
      <c r="A354" s="177"/>
      <c r="B354" s="176"/>
      <c r="C354" s="176"/>
    </row>
    <row r="355">
      <c r="A355" s="177"/>
      <c r="B355" s="176"/>
      <c r="C355" s="176"/>
    </row>
    <row r="356">
      <c r="A356" s="177"/>
      <c r="B356" s="176"/>
      <c r="C356" s="176"/>
    </row>
    <row r="357">
      <c r="A357" s="177"/>
      <c r="B357" s="176"/>
      <c r="C357" s="176"/>
    </row>
    <row r="358">
      <c r="A358" s="177"/>
      <c r="B358" s="176"/>
      <c r="C358" s="176"/>
    </row>
    <row r="359">
      <c r="A359" s="177"/>
      <c r="B359" s="176"/>
      <c r="C359" s="176"/>
    </row>
    <row r="360">
      <c r="A360" s="177"/>
      <c r="B360" s="176"/>
      <c r="C360" s="176"/>
    </row>
    <row r="361">
      <c r="A361" s="177"/>
      <c r="B361" s="176"/>
      <c r="C361" s="176"/>
    </row>
    <row r="362">
      <c r="A362" s="177"/>
      <c r="B362" s="176"/>
      <c r="C362" s="176"/>
    </row>
    <row r="363">
      <c r="A363" s="177"/>
      <c r="B363" s="176"/>
      <c r="C363" s="176"/>
    </row>
    <row r="364">
      <c r="A364" s="177"/>
      <c r="B364" s="176"/>
      <c r="C364" s="176"/>
    </row>
    <row r="365">
      <c r="A365" s="177"/>
      <c r="B365" s="176"/>
      <c r="C365" s="176"/>
    </row>
    <row r="366">
      <c r="A366" s="177"/>
      <c r="B366" s="176"/>
      <c r="C366" s="176"/>
    </row>
    <row r="367">
      <c r="A367" s="177"/>
      <c r="B367" s="176"/>
      <c r="C367" s="176"/>
    </row>
    <row r="368">
      <c r="A368" s="177"/>
      <c r="B368" s="176"/>
      <c r="C368" s="176"/>
    </row>
    <row r="369">
      <c r="A369" s="177"/>
      <c r="B369" s="176"/>
      <c r="C369" s="176"/>
    </row>
    <row r="370">
      <c r="A370" s="177"/>
      <c r="B370" s="176"/>
      <c r="C370" s="176"/>
    </row>
    <row r="371">
      <c r="A371" s="177"/>
      <c r="B371" s="176"/>
      <c r="C371" s="176"/>
    </row>
    <row r="372">
      <c r="A372" s="177"/>
      <c r="B372" s="176"/>
      <c r="C372" s="176"/>
    </row>
    <row r="373">
      <c r="A373" s="177"/>
      <c r="B373" s="176"/>
      <c r="C373" s="176"/>
    </row>
    <row r="374">
      <c r="A374" s="177"/>
      <c r="B374" s="176"/>
      <c r="C374" s="176"/>
    </row>
    <row r="375">
      <c r="A375" s="177"/>
      <c r="B375" s="176"/>
      <c r="C375" s="176"/>
    </row>
    <row r="376">
      <c r="A376" s="177"/>
      <c r="B376" s="176"/>
      <c r="C376" s="176"/>
    </row>
    <row r="377">
      <c r="A377" s="177"/>
      <c r="B377" s="176"/>
      <c r="C377" s="176"/>
    </row>
    <row r="378">
      <c r="A378" s="177"/>
      <c r="B378" s="176"/>
      <c r="C378" s="176"/>
    </row>
    <row r="379">
      <c r="A379" s="177"/>
      <c r="B379" s="176"/>
      <c r="C379" s="176"/>
    </row>
    <row r="380">
      <c r="A380" s="177"/>
      <c r="B380" s="176"/>
      <c r="C380" s="176"/>
    </row>
    <row r="381">
      <c r="A381" s="177"/>
      <c r="B381" s="176"/>
      <c r="C381" s="176"/>
    </row>
    <row r="382">
      <c r="A382" s="177"/>
      <c r="B382" s="176"/>
      <c r="C382" s="176"/>
    </row>
    <row r="383">
      <c r="A383" s="177"/>
      <c r="B383" s="176"/>
      <c r="C383" s="176"/>
    </row>
    <row r="384">
      <c r="A384" s="177"/>
      <c r="B384" s="176"/>
      <c r="C384" s="176"/>
    </row>
    <row r="385">
      <c r="A385" s="177"/>
      <c r="B385" s="176"/>
      <c r="C385" s="176"/>
    </row>
    <row r="386">
      <c r="A386" s="177"/>
      <c r="B386" s="176"/>
      <c r="C386" s="176"/>
    </row>
    <row r="387">
      <c r="A387" s="177"/>
      <c r="B387" s="176"/>
      <c r="C387" s="176"/>
    </row>
    <row r="388">
      <c r="A388" s="177"/>
      <c r="B388" s="176"/>
      <c r="C388" s="176"/>
    </row>
    <row r="389">
      <c r="A389" s="177"/>
    </row>
    <row r="390">
      <c r="A390" s="177"/>
    </row>
    <row r="391">
      <c r="A391" s="177"/>
    </row>
    <row r="392">
      <c r="A392" s="177"/>
    </row>
    <row r="393">
      <c r="A393" s="177"/>
    </row>
    <row r="394">
      <c r="A394" s="17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2.75"/>
  <cols>
    <col customWidth="1" min="1" max="1" width="20.75"/>
    <col customWidth="1" min="2" max="20" width="8.5"/>
  </cols>
  <sheetData>
    <row r="1">
      <c r="A1" s="136" t="s">
        <v>137</v>
      </c>
      <c r="B1" s="159">
        <v>44562.0</v>
      </c>
      <c r="C1" s="159">
        <f t="shared" ref="C1:T1" si="1">date(year(B1), month(B1)+1, 1)</f>
        <v>44593</v>
      </c>
      <c r="D1" s="159">
        <f t="shared" si="1"/>
        <v>44621</v>
      </c>
      <c r="E1" s="145">
        <f t="shared" si="1"/>
        <v>44652</v>
      </c>
      <c r="F1" s="145">
        <f t="shared" si="1"/>
        <v>44682</v>
      </c>
      <c r="G1" s="145">
        <f t="shared" si="1"/>
        <v>44713</v>
      </c>
      <c r="H1" s="145">
        <f t="shared" si="1"/>
        <v>44743</v>
      </c>
      <c r="I1" s="145">
        <f t="shared" si="1"/>
        <v>44774</v>
      </c>
      <c r="J1" s="145">
        <f t="shared" si="1"/>
        <v>44805</v>
      </c>
      <c r="K1" s="145">
        <f t="shared" si="1"/>
        <v>44835</v>
      </c>
      <c r="L1" s="145">
        <f t="shared" si="1"/>
        <v>44866</v>
      </c>
      <c r="M1" s="145">
        <f t="shared" si="1"/>
        <v>44896</v>
      </c>
      <c r="N1" s="145">
        <f t="shared" si="1"/>
        <v>44927</v>
      </c>
      <c r="O1" s="145">
        <f t="shared" si="1"/>
        <v>44958</v>
      </c>
      <c r="P1" s="145">
        <f t="shared" si="1"/>
        <v>44986</v>
      </c>
      <c r="Q1" s="145">
        <f t="shared" si="1"/>
        <v>45017</v>
      </c>
      <c r="R1" s="145">
        <f t="shared" si="1"/>
        <v>45047</v>
      </c>
      <c r="S1" s="145">
        <f t="shared" si="1"/>
        <v>45078</v>
      </c>
      <c r="T1" s="145">
        <f t="shared" si="1"/>
        <v>45108</v>
      </c>
    </row>
    <row r="2">
      <c r="A2" s="136"/>
      <c r="B2" s="89"/>
      <c r="C2" s="89"/>
      <c r="D2" s="89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</row>
    <row r="3">
      <c r="A3" s="136" t="s">
        <v>77</v>
      </c>
      <c r="B3" s="173">
        <f>'2022'!D63</f>
        <v>91.93805924</v>
      </c>
      <c r="C3" s="173">
        <f>'2022'!E63</f>
        <v>88.4832334</v>
      </c>
      <c r="D3" s="173">
        <f>'2022'!F63</f>
        <v>104.3169399</v>
      </c>
      <c r="E3" s="179">
        <f>'2022'!G63</f>
        <v>98.23875869</v>
      </c>
      <c r="F3" s="179">
        <f>'2022'!H63</f>
        <v>97.13406962</v>
      </c>
      <c r="G3" s="179">
        <f>'2022'!I63</f>
        <v>101.5354184</v>
      </c>
      <c r="H3" s="179">
        <f>'2022'!J63</f>
        <v>101.5354184</v>
      </c>
      <c r="I3" s="179">
        <f>'2022'!K63</f>
        <v>109.3199594</v>
      </c>
      <c r="J3" s="179">
        <f>'2022'!L63</f>
        <v>93.60697794</v>
      </c>
      <c r="K3" s="179">
        <f>'2022'!M63</f>
        <v>96.12528416</v>
      </c>
      <c r="L3" s="179">
        <f>'2022'!N63</f>
        <v>98.29575211</v>
      </c>
      <c r="M3" s="179">
        <f>'2022'!O63</f>
        <v>310.2969282</v>
      </c>
      <c r="N3" s="179">
        <f>'2023'!D63</f>
        <v>460.1768281</v>
      </c>
      <c r="O3" s="179">
        <f>'2023'!E63</f>
        <v>563.8287829</v>
      </c>
      <c r="P3" s="179">
        <f>'2023'!F63</f>
        <v>639.0947822</v>
      </c>
      <c r="Q3" s="179">
        <f>'2023'!G63</f>
        <v>649.9658765</v>
      </c>
      <c r="R3" s="179">
        <f>'2023'!H63</f>
        <v>670.999021</v>
      </c>
      <c r="S3" s="179">
        <f>'2023'!I63</f>
        <v>672.7326413</v>
      </c>
      <c r="T3" s="179">
        <f>'2023'!J63</f>
        <v>698.0442332</v>
      </c>
    </row>
    <row r="4">
      <c r="A4" s="136" t="s">
        <v>27</v>
      </c>
      <c r="B4" s="173">
        <f>'2022'!D64</f>
        <v>1000</v>
      </c>
      <c r="C4" s="173">
        <f>'2022'!E64</f>
        <v>1000</v>
      </c>
      <c r="D4" s="173">
        <f>'2022'!F64</f>
        <v>1000</v>
      </c>
      <c r="E4" s="179">
        <f>'2022'!G64</f>
        <v>1000</v>
      </c>
      <c r="F4" s="179">
        <f>'2022'!H64</f>
        <v>1000</v>
      </c>
      <c r="G4" s="179">
        <f>'2022'!I64</f>
        <v>1000</v>
      </c>
      <c r="H4" s="179">
        <f>'2022'!J64</f>
        <v>1000</v>
      </c>
      <c r="I4" s="179">
        <f>'2022'!K64</f>
        <v>1000</v>
      </c>
      <c r="J4" s="179">
        <f>'2022'!L64</f>
        <v>1000</v>
      </c>
      <c r="K4" s="179">
        <f>'2022'!M64</f>
        <v>1000</v>
      </c>
      <c r="L4" s="179">
        <f>'2022'!N64</f>
        <v>1000</v>
      </c>
      <c r="M4" s="179">
        <f>'2022'!O64</f>
        <v>1000</v>
      </c>
      <c r="N4" s="179">
        <f>'2023'!D64</f>
        <v>1000</v>
      </c>
      <c r="O4" s="179">
        <f>'2023'!E64</f>
        <v>1000</v>
      </c>
      <c r="P4" s="179">
        <f>'2023'!F64</f>
        <v>1000</v>
      </c>
      <c r="Q4" s="179">
        <f>'2023'!G64</f>
        <v>1000</v>
      </c>
      <c r="R4" s="179">
        <f>'2023'!H64</f>
        <v>1000</v>
      </c>
      <c r="S4" s="179">
        <f>'2023'!I64</f>
        <v>1000</v>
      </c>
      <c r="T4" s="179">
        <f>'2023'!J64</f>
        <v>1000</v>
      </c>
    </row>
    <row r="5">
      <c r="A5" s="136" t="s">
        <v>29</v>
      </c>
      <c r="B5" s="173">
        <f>'2022'!D65</f>
        <v>0</v>
      </c>
      <c r="C5" s="173">
        <f>'2022'!E65</f>
        <v>0</v>
      </c>
      <c r="D5" s="173">
        <f>'2022'!F65</f>
        <v>0</v>
      </c>
      <c r="E5" s="179">
        <f>'2022'!G65</f>
        <v>0</v>
      </c>
      <c r="F5" s="179">
        <f>'2022'!H65</f>
        <v>52.02912834</v>
      </c>
      <c r="G5" s="179">
        <f>'2022'!I65</f>
        <v>39.85612722</v>
      </c>
      <c r="H5" s="179">
        <f>'2022'!J65</f>
        <v>40.5962424</v>
      </c>
      <c r="I5" s="179">
        <f>'2022'!K65</f>
        <v>36.022266</v>
      </c>
      <c r="J5" s="179">
        <f>'2022'!L65</f>
        <v>32.352516</v>
      </c>
      <c r="K5" s="179">
        <f>'2022'!M65</f>
        <v>32.00022</v>
      </c>
      <c r="L5" s="179">
        <f>'2022'!N65</f>
        <v>18.34851514</v>
      </c>
      <c r="M5" s="179">
        <f>'2022'!O65</f>
        <v>15.52301314</v>
      </c>
      <c r="N5" s="179">
        <f>'2023'!D65</f>
        <v>21.2849023</v>
      </c>
      <c r="O5" s="179">
        <f>'2023'!E65</f>
        <v>125.5527158</v>
      </c>
      <c r="P5" s="179">
        <f>'2023'!F65</f>
        <v>128.4133313</v>
      </c>
      <c r="Q5" s="179">
        <f>'2023'!G65</f>
        <v>120.1585496</v>
      </c>
      <c r="R5" s="179">
        <f>'2023'!H65</f>
        <v>117.8720578</v>
      </c>
      <c r="S5" s="179">
        <f>'2023'!I65</f>
        <v>129.0237686</v>
      </c>
      <c r="T5" s="179">
        <f>'2023'!J65</f>
        <v>123.2619662</v>
      </c>
    </row>
    <row r="6">
      <c r="A6" s="180" t="s">
        <v>138</v>
      </c>
      <c r="B6" s="173">
        <f>sum('2022'!D66:D68)</f>
        <v>1567.23</v>
      </c>
      <c r="C6" s="173">
        <f>sum('2022'!E66:E68)</f>
        <v>2408.14</v>
      </c>
      <c r="D6" s="173">
        <f>sum('2022'!F66:F68)</f>
        <v>1782.32</v>
      </c>
      <c r="E6" s="179">
        <f>sum('2022'!G66:G68)</f>
        <v>3637.27</v>
      </c>
      <c r="F6" s="179">
        <f>sum('2022'!H66:H68)</f>
        <v>3693.77</v>
      </c>
      <c r="G6" s="179">
        <f>sum('2022'!I66:I68)</f>
        <v>2202.9</v>
      </c>
      <c r="H6" s="179">
        <f>sum('2022'!J66:J68)</f>
        <v>3265.97</v>
      </c>
      <c r="I6" s="179">
        <f>sum('2022'!K66:K68)</f>
        <v>2738.33</v>
      </c>
      <c r="J6" s="179">
        <f>sum('2022'!L66:L68)</f>
        <v>2043.04</v>
      </c>
      <c r="K6" s="179">
        <f>sum('2022'!M66:M68)</f>
        <v>2369.55</v>
      </c>
      <c r="L6" s="179">
        <f>sum('2022'!N66:N68)</f>
        <v>2637.21</v>
      </c>
      <c r="M6" s="179">
        <f>sum('2022'!O66:O68)</f>
        <v>4051.91</v>
      </c>
      <c r="N6" s="179">
        <f>'2023'!D66</f>
        <v>4174.82</v>
      </c>
      <c r="O6" s="179">
        <f>'2023'!E66</f>
        <v>3379.96</v>
      </c>
      <c r="P6" s="179">
        <f>'2023'!F66</f>
        <v>3239.47</v>
      </c>
      <c r="Q6" s="179">
        <f>'2023'!G66</f>
        <v>3202.31</v>
      </c>
      <c r="R6" s="179">
        <f>'2023'!H66</f>
        <v>6923.58</v>
      </c>
      <c r="S6" s="179">
        <f>'2023'!I66</f>
        <v>6428.62</v>
      </c>
      <c r="T6" s="179">
        <f>'2023'!J66</f>
        <v>4482.92</v>
      </c>
    </row>
    <row r="7">
      <c r="A7" s="180" t="s">
        <v>55</v>
      </c>
      <c r="B7" s="181">
        <f>'2022'!D69</f>
        <v>0</v>
      </c>
      <c r="C7" s="181">
        <f>'2022'!E69</f>
        <v>0</v>
      </c>
      <c r="D7" s="181">
        <f>'2022'!F69</f>
        <v>0</v>
      </c>
      <c r="E7" s="182">
        <f>'2022'!G69</f>
        <v>0</v>
      </c>
      <c r="F7" s="182">
        <f>'2022'!H69</f>
        <v>0</v>
      </c>
      <c r="G7" s="182">
        <f>'2022'!I69</f>
        <v>0</v>
      </c>
      <c r="H7" s="182">
        <f>'2022'!J69</f>
        <v>0</v>
      </c>
      <c r="I7" s="182">
        <f>'2022'!K69</f>
        <v>0</v>
      </c>
      <c r="J7" s="182">
        <f>'2022'!L69</f>
        <v>0</v>
      </c>
      <c r="K7" s="182">
        <f>'2022'!M69</f>
        <v>0</v>
      </c>
      <c r="L7" s="182">
        <f>'2022'!N69</f>
        <v>0</v>
      </c>
      <c r="M7" s="182">
        <f>'2022'!O69</f>
        <v>0</v>
      </c>
      <c r="N7" s="179">
        <f>'2023'!D67</f>
        <v>0</v>
      </c>
      <c r="O7" s="179">
        <f>'2023'!E67</f>
        <v>0</v>
      </c>
      <c r="P7" s="179">
        <f>'2023'!F67</f>
        <v>0</v>
      </c>
      <c r="Q7" s="179">
        <f>'2023'!G67</f>
        <v>0</v>
      </c>
      <c r="R7" s="179">
        <f>'2023'!H67</f>
        <v>0</v>
      </c>
      <c r="S7" s="179">
        <f>'2023'!I67</f>
        <v>0</v>
      </c>
      <c r="T7" s="179">
        <f>'2023'!J67</f>
        <v>0</v>
      </c>
    </row>
    <row r="8">
      <c r="A8" s="136"/>
      <c r="B8" s="116"/>
      <c r="C8" s="116"/>
      <c r="D8" s="116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>
      <c r="A9" s="184" t="s">
        <v>101</v>
      </c>
      <c r="B9" s="185">
        <f t="shared" ref="B9:T9" si="2">sum(B2:B8)</f>
        <v>2659.168059</v>
      </c>
      <c r="C9" s="185">
        <f t="shared" si="2"/>
        <v>3496.623233</v>
      </c>
      <c r="D9" s="185">
        <f t="shared" si="2"/>
        <v>2886.63694</v>
      </c>
      <c r="E9" s="186">
        <f t="shared" si="2"/>
        <v>4735.508759</v>
      </c>
      <c r="F9" s="186">
        <f t="shared" si="2"/>
        <v>4842.933198</v>
      </c>
      <c r="G9" s="186">
        <f t="shared" si="2"/>
        <v>3344.291546</v>
      </c>
      <c r="H9" s="186">
        <f t="shared" si="2"/>
        <v>4408.101661</v>
      </c>
      <c r="I9" s="186">
        <f t="shared" si="2"/>
        <v>3883.672225</v>
      </c>
      <c r="J9" s="186">
        <f t="shared" si="2"/>
        <v>3168.999494</v>
      </c>
      <c r="K9" s="186">
        <f t="shared" si="2"/>
        <v>3497.675504</v>
      </c>
      <c r="L9" s="186">
        <f t="shared" si="2"/>
        <v>3753.854267</v>
      </c>
      <c r="M9" s="186">
        <f t="shared" si="2"/>
        <v>5377.729941</v>
      </c>
      <c r="N9" s="186">
        <f t="shared" si="2"/>
        <v>5656.28173</v>
      </c>
      <c r="O9" s="186">
        <f t="shared" si="2"/>
        <v>5069.341499</v>
      </c>
      <c r="P9" s="186">
        <f t="shared" si="2"/>
        <v>5006.978113</v>
      </c>
      <c r="Q9" s="186">
        <f t="shared" si="2"/>
        <v>4972.434426</v>
      </c>
      <c r="R9" s="186">
        <f t="shared" si="2"/>
        <v>8712.451079</v>
      </c>
      <c r="S9" s="186">
        <f t="shared" si="2"/>
        <v>8230.37641</v>
      </c>
      <c r="T9" s="186">
        <f t="shared" si="2"/>
        <v>6304.226199</v>
      </c>
    </row>
    <row r="10">
      <c r="B10" s="89"/>
      <c r="C10" s="89"/>
      <c r="D10" s="89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</row>
    <row r="11">
      <c r="A11" s="136" t="s">
        <v>139</v>
      </c>
      <c r="B11" s="187">
        <f t="shared" ref="B11:T11" si="3">B3/B$9</f>
        <v>0.03457399352</v>
      </c>
      <c r="C11" s="187">
        <f t="shared" si="3"/>
        <v>0.02530533818</v>
      </c>
      <c r="D11" s="187">
        <f t="shared" si="3"/>
        <v>0.03613788019</v>
      </c>
      <c r="E11" s="188">
        <f t="shared" si="3"/>
        <v>0.02074513293</v>
      </c>
      <c r="F11" s="188">
        <f t="shared" si="3"/>
        <v>0.02005686753</v>
      </c>
      <c r="G11" s="188">
        <f t="shared" si="3"/>
        <v>0.03036081545</v>
      </c>
      <c r="H11" s="188">
        <f t="shared" si="3"/>
        <v>0.0230338196</v>
      </c>
      <c r="I11" s="188">
        <f t="shared" si="3"/>
        <v>0.02814860602</v>
      </c>
      <c r="J11" s="188">
        <f t="shared" si="3"/>
        <v>0.02953833793</v>
      </c>
      <c r="K11" s="188">
        <f t="shared" si="3"/>
        <v>0.02748261926</v>
      </c>
      <c r="L11" s="188">
        <f t="shared" si="3"/>
        <v>0.0261852872</v>
      </c>
      <c r="M11" s="188">
        <f t="shared" si="3"/>
        <v>0.05770035527</v>
      </c>
      <c r="N11" s="188">
        <f t="shared" si="3"/>
        <v>0.08135677288</v>
      </c>
      <c r="O11" s="188">
        <f t="shared" si="3"/>
        <v>0.1112232788</v>
      </c>
      <c r="P11" s="188">
        <f t="shared" si="3"/>
        <v>0.127640818</v>
      </c>
      <c r="Q11" s="188">
        <f t="shared" si="3"/>
        <v>0.1307138156</v>
      </c>
      <c r="R11" s="188">
        <f t="shared" si="3"/>
        <v>0.07701610201</v>
      </c>
      <c r="S11" s="188">
        <f t="shared" si="3"/>
        <v>0.08173777332</v>
      </c>
      <c r="T11" s="188">
        <f t="shared" si="3"/>
        <v>0.1107263939</v>
      </c>
    </row>
    <row r="12">
      <c r="A12" s="136" t="s">
        <v>140</v>
      </c>
      <c r="B12" s="187">
        <f t="shared" ref="B12:T12" si="4">B4/B$9</f>
        <v>0.3760574652</v>
      </c>
      <c r="C12" s="187">
        <f t="shared" si="4"/>
        <v>0.2859902063</v>
      </c>
      <c r="D12" s="187">
        <f t="shared" si="4"/>
        <v>0.3464238908</v>
      </c>
      <c r="E12" s="188">
        <f t="shared" si="4"/>
        <v>0.2111705523</v>
      </c>
      <c r="F12" s="188">
        <f t="shared" si="4"/>
        <v>0.2064864327</v>
      </c>
      <c r="G12" s="188">
        <f t="shared" si="4"/>
        <v>0.2990169925</v>
      </c>
      <c r="H12" s="188">
        <f t="shared" si="4"/>
        <v>0.2268550222</v>
      </c>
      <c r="I12" s="188">
        <f t="shared" si="4"/>
        <v>0.257488259</v>
      </c>
      <c r="J12" s="188">
        <f t="shared" si="4"/>
        <v>0.3155570084</v>
      </c>
      <c r="K12" s="188">
        <f t="shared" si="4"/>
        <v>0.2859041666</v>
      </c>
      <c r="L12" s="188">
        <f t="shared" si="4"/>
        <v>0.2663928669</v>
      </c>
      <c r="M12" s="188">
        <f t="shared" si="4"/>
        <v>0.1859520673</v>
      </c>
      <c r="N12" s="188">
        <f t="shared" si="4"/>
        <v>0.1767945883</v>
      </c>
      <c r="O12" s="188">
        <f t="shared" si="4"/>
        <v>0.1972642798</v>
      </c>
      <c r="P12" s="188">
        <f t="shared" si="4"/>
        <v>0.1997212645</v>
      </c>
      <c r="Q12" s="188">
        <f t="shared" si="4"/>
        <v>0.2011087355</v>
      </c>
      <c r="R12" s="188">
        <f t="shared" si="4"/>
        <v>0.1147782629</v>
      </c>
      <c r="S12" s="188">
        <f t="shared" si="4"/>
        <v>0.1215011259</v>
      </c>
      <c r="T12" s="188">
        <f t="shared" si="4"/>
        <v>0.1586237499</v>
      </c>
    </row>
    <row r="13">
      <c r="A13" s="189" t="s">
        <v>141</v>
      </c>
      <c r="B13" s="190">
        <f t="shared" ref="B13:T13" si="5">B5/B$9</f>
        <v>0</v>
      </c>
      <c r="C13" s="190">
        <f t="shared" si="5"/>
        <v>0</v>
      </c>
      <c r="D13" s="190">
        <f t="shared" si="5"/>
        <v>0</v>
      </c>
      <c r="E13" s="191">
        <f t="shared" si="5"/>
        <v>0</v>
      </c>
      <c r="F13" s="191">
        <f t="shared" si="5"/>
        <v>0.01074330911</v>
      </c>
      <c r="G13" s="191">
        <f t="shared" si="5"/>
        <v>0.01191765929</v>
      </c>
      <c r="H13" s="191">
        <f t="shared" si="5"/>
        <v>0.00920946147</v>
      </c>
      <c r="I13" s="191">
        <f t="shared" si="5"/>
        <v>0.009275310559</v>
      </c>
      <c r="J13" s="191">
        <f t="shared" si="5"/>
        <v>0.01020906316</v>
      </c>
      <c r="K13" s="191">
        <f t="shared" si="5"/>
        <v>0.00914899623</v>
      </c>
      <c r="L13" s="191">
        <f t="shared" si="5"/>
        <v>0.00488791355</v>
      </c>
      <c r="M13" s="191">
        <f t="shared" si="5"/>
        <v>0.002886536385</v>
      </c>
      <c r="N13" s="191">
        <f t="shared" si="5"/>
        <v>0.003763055539</v>
      </c>
      <c r="O13" s="191">
        <f t="shared" si="5"/>
        <v>0.02476706607</v>
      </c>
      <c r="P13" s="191">
        <f t="shared" si="5"/>
        <v>0.0256468729</v>
      </c>
      <c r="Q13" s="191">
        <f t="shared" si="5"/>
        <v>0.02416493398</v>
      </c>
      <c r="R13" s="191">
        <f t="shared" si="5"/>
        <v>0.01352915004</v>
      </c>
      <c r="S13" s="191">
        <f t="shared" si="5"/>
        <v>0.01567653315</v>
      </c>
      <c r="T13" s="191">
        <f t="shared" si="5"/>
        <v>0.0195522753</v>
      </c>
    </row>
    <row r="14">
      <c r="A14" s="136" t="s">
        <v>142</v>
      </c>
      <c r="B14" s="187">
        <f t="shared" ref="B14:T14" si="6">B6/B$9</f>
        <v>0.5893685412</v>
      </c>
      <c r="C14" s="187">
        <f t="shared" si="6"/>
        <v>0.6887044555</v>
      </c>
      <c r="D14" s="187">
        <f t="shared" si="6"/>
        <v>0.617438229</v>
      </c>
      <c r="E14" s="188">
        <f t="shared" si="6"/>
        <v>0.7680843148</v>
      </c>
      <c r="F14" s="188">
        <f t="shared" si="6"/>
        <v>0.7627133906</v>
      </c>
      <c r="G14" s="188">
        <f t="shared" si="6"/>
        <v>0.6587045328</v>
      </c>
      <c r="H14" s="188">
        <f t="shared" si="6"/>
        <v>0.7409016968</v>
      </c>
      <c r="I14" s="188">
        <f t="shared" si="6"/>
        <v>0.7050878244</v>
      </c>
      <c r="J14" s="188">
        <f t="shared" si="6"/>
        <v>0.6446955905</v>
      </c>
      <c r="K14" s="188">
        <f t="shared" si="6"/>
        <v>0.6774642179</v>
      </c>
      <c r="L14" s="188">
        <f t="shared" si="6"/>
        <v>0.7025339324</v>
      </c>
      <c r="M14" s="188">
        <f t="shared" si="6"/>
        <v>0.753461041</v>
      </c>
      <c r="N14" s="188">
        <f t="shared" si="6"/>
        <v>0.7380855833</v>
      </c>
      <c r="O14" s="188">
        <f t="shared" si="6"/>
        <v>0.6667453753</v>
      </c>
      <c r="P14" s="188">
        <f t="shared" si="6"/>
        <v>0.6469910446</v>
      </c>
      <c r="Q14" s="188">
        <f t="shared" si="6"/>
        <v>0.6440125149</v>
      </c>
      <c r="R14" s="188">
        <f t="shared" si="6"/>
        <v>0.7946764851</v>
      </c>
      <c r="S14" s="188">
        <f t="shared" si="6"/>
        <v>0.7810845677</v>
      </c>
      <c r="T14" s="188">
        <f t="shared" si="6"/>
        <v>0.7110975809</v>
      </c>
    </row>
    <row r="15">
      <c r="A15" s="136" t="s">
        <v>143</v>
      </c>
      <c r="B15" s="192">
        <f t="shared" ref="B15:T15" si="7">B7/B$9</f>
        <v>0</v>
      </c>
      <c r="C15" s="192">
        <f t="shared" si="7"/>
        <v>0</v>
      </c>
      <c r="D15" s="192">
        <f t="shared" si="7"/>
        <v>0</v>
      </c>
      <c r="E15" s="191">
        <f t="shared" si="7"/>
        <v>0</v>
      </c>
      <c r="F15" s="191">
        <f t="shared" si="7"/>
        <v>0</v>
      </c>
      <c r="G15" s="191">
        <f t="shared" si="7"/>
        <v>0</v>
      </c>
      <c r="H15" s="191">
        <f t="shared" si="7"/>
        <v>0</v>
      </c>
      <c r="I15" s="191">
        <f t="shared" si="7"/>
        <v>0</v>
      </c>
      <c r="J15" s="191">
        <f t="shared" si="7"/>
        <v>0</v>
      </c>
      <c r="K15" s="191">
        <f t="shared" si="7"/>
        <v>0</v>
      </c>
      <c r="L15" s="191">
        <f t="shared" si="7"/>
        <v>0</v>
      </c>
      <c r="M15" s="191">
        <f t="shared" si="7"/>
        <v>0</v>
      </c>
      <c r="N15" s="191">
        <f t="shared" si="7"/>
        <v>0</v>
      </c>
      <c r="O15" s="191">
        <f t="shared" si="7"/>
        <v>0</v>
      </c>
      <c r="P15" s="191">
        <f t="shared" si="7"/>
        <v>0</v>
      </c>
      <c r="Q15" s="191">
        <f t="shared" si="7"/>
        <v>0</v>
      </c>
      <c r="R15" s="191">
        <f t="shared" si="7"/>
        <v>0</v>
      </c>
      <c r="S15" s="191">
        <f t="shared" si="7"/>
        <v>0</v>
      </c>
      <c r="T15" s="191">
        <f t="shared" si="7"/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2.75"/>
  <cols>
    <col customWidth="1" min="1" max="1" width="17.13"/>
    <col customWidth="1" min="2" max="23" width="7.63"/>
  </cols>
  <sheetData>
    <row r="1">
      <c r="A1" s="136" t="s">
        <v>144</v>
      </c>
      <c r="B1" s="159">
        <v>44562.0</v>
      </c>
      <c r="C1" s="159">
        <f t="shared" ref="C1:W1" si="1">date(year(B1), month(B1)+1, 1)</f>
        <v>44593</v>
      </c>
      <c r="D1" s="159">
        <f t="shared" si="1"/>
        <v>44621</v>
      </c>
      <c r="E1" s="159">
        <f t="shared" si="1"/>
        <v>44652</v>
      </c>
      <c r="F1" s="159">
        <f t="shared" si="1"/>
        <v>44682</v>
      </c>
      <c r="G1" s="159">
        <f t="shared" si="1"/>
        <v>44713</v>
      </c>
      <c r="H1" s="159">
        <f t="shared" si="1"/>
        <v>44743</v>
      </c>
      <c r="I1" s="159">
        <f t="shared" si="1"/>
        <v>44774</v>
      </c>
      <c r="J1" s="159">
        <f t="shared" si="1"/>
        <v>44805</v>
      </c>
      <c r="K1" s="159">
        <f t="shared" si="1"/>
        <v>44835</v>
      </c>
      <c r="L1" s="159">
        <f t="shared" si="1"/>
        <v>44866</v>
      </c>
      <c r="M1" s="159">
        <f t="shared" si="1"/>
        <v>44896</v>
      </c>
      <c r="N1" s="159">
        <f t="shared" si="1"/>
        <v>44927</v>
      </c>
      <c r="O1" s="159">
        <f t="shared" si="1"/>
        <v>44958</v>
      </c>
      <c r="P1" s="159">
        <f t="shared" si="1"/>
        <v>44986</v>
      </c>
      <c r="Q1" s="159">
        <f t="shared" si="1"/>
        <v>45017</v>
      </c>
      <c r="R1" s="159">
        <f t="shared" si="1"/>
        <v>45047</v>
      </c>
      <c r="S1" s="159">
        <f t="shared" si="1"/>
        <v>45078</v>
      </c>
      <c r="T1" s="159">
        <f t="shared" si="1"/>
        <v>45108</v>
      </c>
      <c r="U1" s="159">
        <f t="shared" si="1"/>
        <v>45139</v>
      </c>
      <c r="V1" s="159">
        <f t="shared" si="1"/>
        <v>45170</v>
      </c>
      <c r="W1" s="159">
        <f t="shared" si="1"/>
        <v>45200</v>
      </c>
    </row>
    <row r="2">
      <c r="A2" s="136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</row>
    <row r="3">
      <c r="A3" s="136" t="s">
        <v>90</v>
      </c>
      <c r="B3" s="150">
        <f>Income!B9</f>
        <v>1773</v>
      </c>
      <c r="C3" s="150">
        <f>Income!C9</f>
        <v>3370</v>
      </c>
      <c r="D3" s="150">
        <f>Income!D9</f>
        <v>2179</v>
      </c>
      <c r="E3" s="150">
        <f>Income!E9</f>
        <v>3657.91</v>
      </c>
      <c r="F3" s="150">
        <f>Income!F9</f>
        <v>2145</v>
      </c>
      <c r="G3" s="150">
        <f>Income!G9</f>
        <v>1733</v>
      </c>
      <c r="H3" s="150">
        <f>Income!H9</f>
        <v>2967.37</v>
      </c>
      <c r="I3" s="150">
        <f>Income!I9</f>
        <v>1822</v>
      </c>
      <c r="J3" s="150">
        <f>Income!J9</f>
        <v>1764</v>
      </c>
      <c r="K3" s="150">
        <f>Income!K9</f>
        <v>2029</v>
      </c>
      <c r="L3" s="150">
        <f>Income!L9</f>
        <v>3188.98</v>
      </c>
      <c r="M3" s="150">
        <f>Income!M9</f>
        <v>3919</v>
      </c>
      <c r="N3" s="150">
        <f>Income!N9</f>
        <v>1852.64</v>
      </c>
      <c r="O3" s="150">
        <f>Income!O9</f>
        <v>2255.84</v>
      </c>
      <c r="P3" s="150">
        <f>Income!P9</f>
        <v>1880</v>
      </c>
      <c r="Q3" s="150">
        <f>Income!Q9</f>
        <v>3238</v>
      </c>
      <c r="R3" s="150">
        <f>Income!R9</f>
        <v>5590.21</v>
      </c>
      <c r="S3" s="150">
        <f>Income!S9</f>
        <v>2793</v>
      </c>
      <c r="T3" s="150">
        <f>Income!T9</f>
        <v>2459.17</v>
      </c>
      <c r="U3" s="150">
        <f>Income!U9</f>
        <v>3435.08</v>
      </c>
      <c r="V3" s="150">
        <f>Income!V9</f>
        <v>2473.92</v>
      </c>
      <c r="W3" s="150">
        <f>Income!W9</f>
        <v>2385.15</v>
      </c>
    </row>
    <row r="4">
      <c r="A4" s="136" t="s">
        <v>145</v>
      </c>
      <c r="B4" s="150">
        <f>SUM(B3:M3)/12</f>
        <v>2545.688333</v>
      </c>
      <c r="C4" s="150">
        <f>SUM(B3:M3)/12</f>
        <v>2545.688333</v>
      </c>
      <c r="D4" s="150">
        <f>SUM(B3:M3)/12</f>
        <v>2545.688333</v>
      </c>
      <c r="E4" s="150">
        <f>SUM(B3:M3)/12</f>
        <v>2545.688333</v>
      </c>
      <c r="F4" s="150">
        <f>SUM(B3:M3)/12</f>
        <v>2545.688333</v>
      </c>
      <c r="G4" s="150">
        <f>SUM(B3:M3)/12</f>
        <v>2545.688333</v>
      </c>
      <c r="H4" s="150">
        <f>SUM(B3:M3)/12</f>
        <v>2545.688333</v>
      </c>
      <c r="I4" s="150">
        <f>SUM(B3:M3)/12</f>
        <v>2545.688333</v>
      </c>
      <c r="J4" s="150">
        <f>SUM(B3:M3)/12</f>
        <v>2545.688333</v>
      </c>
      <c r="K4" s="150">
        <f>SUM(B3:M3)/12</f>
        <v>2545.688333</v>
      </c>
      <c r="L4" s="150">
        <f>SUM(B3:M3)/12</f>
        <v>2545.688333</v>
      </c>
      <c r="M4" s="150">
        <f t="shared" ref="M4:W4" si="2">SUM(B3:M3)/12</f>
        <v>2545.688333</v>
      </c>
      <c r="N4" s="150">
        <f t="shared" si="2"/>
        <v>2552.325</v>
      </c>
      <c r="O4" s="150">
        <f t="shared" si="2"/>
        <v>2459.478333</v>
      </c>
      <c r="P4" s="150">
        <f t="shared" si="2"/>
        <v>2434.561667</v>
      </c>
      <c r="Q4" s="150">
        <f t="shared" si="2"/>
        <v>2399.569167</v>
      </c>
      <c r="R4" s="150">
        <f t="shared" si="2"/>
        <v>2686.67</v>
      </c>
      <c r="S4" s="150">
        <f t="shared" si="2"/>
        <v>2775.003333</v>
      </c>
      <c r="T4" s="150">
        <f t="shared" si="2"/>
        <v>2732.653333</v>
      </c>
      <c r="U4" s="150">
        <f t="shared" si="2"/>
        <v>2867.076667</v>
      </c>
      <c r="V4" s="150">
        <f t="shared" si="2"/>
        <v>2926.236667</v>
      </c>
      <c r="W4" s="150">
        <f t="shared" si="2"/>
        <v>2955.915833</v>
      </c>
    </row>
    <row r="5">
      <c r="A5" s="136" t="s">
        <v>146</v>
      </c>
      <c r="B5" s="150">
        <f>Expenses!B16</f>
        <v>2082.59</v>
      </c>
      <c r="C5" s="150">
        <f>Expenses!C16</f>
        <v>2403.88</v>
      </c>
      <c r="D5" s="150">
        <f>Expenses!D16</f>
        <v>2791.6</v>
      </c>
      <c r="E5" s="150">
        <f>Expenses!E16</f>
        <v>1690.89</v>
      </c>
      <c r="F5" s="150">
        <f>Expenses!F16</f>
        <v>2216</v>
      </c>
      <c r="G5" s="150">
        <f>Expenses!G16</f>
        <v>2384.98</v>
      </c>
      <c r="H5" s="150">
        <f>Expenses!H16</f>
        <v>2279.34</v>
      </c>
      <c r="I5" s="150">
        <f>Expenses!I16</f>
        <v>2247.97</v>
      </c>
      <c r="J5" s="150">
        <f>Expenses!J16</f>
        <v>2514.96</v>
      </c>
      <c r="K5" s="150">
        <f>Expenses!K16</f>
        <v>1729.04</v>
      </c>
      <c r="L5" s="150">
        <f>Expenses!L16</f>
        <v>2851.07</v>
      </c>
      <c r="M5" s="150">
        <f>Expenses!M16</f>
        <v>1908.29</v>
      </c>
      <c r="N5" s="150">
        <f>Expenses!N16</f>
        <v>2876.89</v>
      </c>
      <c r="O5" s="150">
        <f>Expenses!O16</f>
        <v>2022.2</v>
      </c>
      <c r="P5" s="150">
        <f>Expenses!P16</f>
        <v>2526.78</v>
      </c>
      <c r="Q5" s="150">
        <f>Expenses!Q16</f>
        <v>2237.03</v>
      </c>
      <c r="R5" s="150">
        <f>Expenses!R16</f>
        <v>2320.71</v>
      </c>
      <c r="S5" s="150">
        <f>Expenses!S16</f>
        <v>3206.81</v>
      </c>
      <c r="T5" s="150">
        <f>Expenses!T16</f>
        <v>2921.21</v>
      </c>
      <c r="U5" s="150">
        <f>Expenses!U16</f>
        <v>4428.29</v>
      </c>
      <c r="V5" s="150">
        <f>Expenses!V16</f>
        <v>1724.87</v>
      </c>
      <c r="W5" s="150">
        <f>Expenses!W16</f>
        <v>2130.54</v>
      </c>
    </row>
    <row r="6">
      <c r="A6" s="136" t="s">
        <v>147</v>
      </c>
      <c r="B6" s="150">
        <f>SUM(B5:M5)/12</f>
        <v>2258.384167</v>
      </c>
      <c r="C6" s="150">
        <f>SUM(B5:M5)/12</f>
        <v>2258.384167</v>
      </c>
      <c r="D6" s="150">
        <f>SUM(B5:M5)/12</f>
        <v>2258.384167</v>
      </c>
      <c r="E6" s="150">
        <f>SUM(B5:M5)/12</f>
        <v>2258.384167</v>
      </c>
      <c r="F6" s="150">
        <f>SUM(B5:M5)/12</f>
        <v>2258.384167</v>
      </c>
      <c r="G6" s="150">
        <f>SUM(B5:M5)/12</f>
        <v>2258.384167</v>
      </c>
      <c r="H6" s="150">
        <f>SUM(B5:M5)/12</f>
        <v>2258.384167</v>
      </c>
      <c r="I6" s="150">
        <f>SUM(B5:M5)/12</f>
        <v>2258.384167</v>
      </c>
      <c r="J6" s="150">
        <f>SUM(B5:M5)/12</f>
        <v>2258.384167</v>
      </c>
      <c r="K6" s="150">
        <f>SUM(B5:M5)/12</f>
        <v>2258.384167</v>
      </c>
      <c r="L6" s="150">
        <f>SUM(B5:M5)/12</f>
        <v>2258.384167</v>
      </c>
      <c r="M6" s="150">
        <f t="shared" ref="M6:W6" si="3">SUM(B5:M5)/12</f>
        <v>2258.384167</v>
      </c>
      <c r="N6" s="150">
        <f t="shared" si="3"/>
        <v>2324.575833</v>
      </c>
      <c r="O6" s="150">
        <f t="shared" si="3"/>
        <v>2292.769167</v>
      </c>
      <c r="P6" s="150">
        <f t="shared" si="3"/>
        <v>2270.700833</v>
      </c>
      <c r="Q6" s="150">
        <f t="shared" si="3"/>
        <v>2316.2125</v>
      </c>
      <c r="R6" s="150">
        <f t="shared" si="3"/>
        <v>2324.938333</v>
      </c>
      <c r="S6" s="150">
        <f t="shared" si="3"/>
        <v>2393.424167</v>
      </c>
      <c r="T6" s="150">
        <f t="shared" si="3"/>
        <v>2446.913333</v>
      </c>
      <c r="U6" s="150">
        <f t="shared" si="3"/>
        <v>2628.606667</v>
      </c>
      <c r="V6" s="150">
        <f t="shared" si="3"/>
        <v>2562.765833</v>
      </c>
      <c r="W6" s="150">
        <f t="shared" si="3"/>
        <v>2596.224167</v>
      </c>
    </row>
    <row r="7">
      <c r="A7" s="136" t="s">
        <v>148</v>
      </c>
      <c r="B7" s="193">
        <f>'2022'!D38/B6/12</f>
        <v>0.09812207398</v>
      </c>
      <c r="C7" s="193">
        <f>'2022'!E38/C6/12</f>
        <v>0.1290237834</v>
      </c>
      <c r="D7" s="193">
        <f>'2022'!F38/D6/12</f>
        <v>0.1065155707</v>
      </c>
      <c r="E7" s="193">
        <f>'2022'!G38/E6/12</f>
        <v>0.1747380874</v>
      </c>
      <c r="F7" s="193">
        <f>'2022'!H38/F6/12</f>
        <v>0.1787019996</v>
      </c>
      <c r="G7" s="193">
        <f>'2022'!I38/G6/12</f>
        <v>0.1234028144</v>
      </c>
      <c r="H7" s="193">
        <f>'2022'!J38/H6/12</f>
        <v>0.1626569166</v>
      </c>
      <c r="I7" s="193">
        <f>'2022'!K38/I6/12</f>
        <v>0.1433057125</v>
      </c>
      <c r="J7" s="193">
        <f>'2022'!L38/J6/12</f>
        <v>0.1169346186</v>
      </c>
      <c r="K7" s="193">
        <f>'2022'!M38/K6/12</f>
        <v>0.1290626117</v>
      </c>
      <c r="L7" s="193">
        <f>'2022'!N38/L6/12</f>
        <v>0.1385154898</v>
      </c>
      <c r="M7" s="193">
        <f>'2022'!O38/M6/12</f>
        <v>0.1984357526</v>
      </c>
      <c r="N7" s="193">
        <f>'2022'!P38/N6/12</f>
        <v>0.1927853483</v>
      </c>
      <c r="O7" s="193">
        <f>'2022'!Q38/O6/12</f>
        <v>0</v>
      </c>
      <c r="P7" s="193">
        <f>'2022'!R38/P6/12</f>
        <v>0</v>
      </c>
      <c r="Q7" s="193">
        <f>'2022'!S38/Q6/12</f>
        <v>0.1934814538</v>
      </c>
      <c r="R7" s="193">
        <f>'2022'!T38/R6/12</f>
        <v>0</v>
      </c>
      <c r="S7" s="193">
        <f>'2022'!U38/S6/12</f>
        <v>0</v>
      </c>
      <c r="T7" s="193">
        <f>'2022'!V38/T6/12</f>
        <v>0</v>
      </c>
      <c r="U7" s="193">
        <f>'2022'!W38/U6/12</f>
        <v>0</v>
      </c>
      <c r="V7" s="193">
        <f>'2022'!X38/V6/12</f>
        <v>0</v>
      </c>
      <c r="W7" s="193">
        <f>'2022'!Y38/W6/12</f>
        <v>0</v>
      </c>
    </row>
    <row r="8">
      <c r="B8" s="127"/>
      <c r="C8" s="127"/>
      <c r="D8" s="127"/>
      <c r="E8" s="127"/>
      <c r="F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</row>
    <row r="9">
      <c r="B9" s="127"/>
      <c r="C9" s="127"/>
      <c r="D9" s="127"/>
      <c r="E9" s="127"/>
      <c r="F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</row>
    <row r="10">
      <c r="B10" s="127"/>
      <c r="C10" s="127"/>
      <c r="D10" s="127"/>
      <c r="E10" s="127"/>
      <c r="F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</row>
    <row r="11">
      <c r="B11" s="163"/>
      <c r="C11" s="163"/>
      <c r="D11" s="163"/>
      <c r="E11" s="163"/>
      <c r="F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</row>
    <row r="12">
      <c r="B12" s="127"/>
      <c r="C12" s="127"/>
      <c r="D12" s="127"/>
      <c r="E12" s="127"/>
      <c r="F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</row>
    <row r="13">
      <c r="B13" s="163"/>
      <c r="C13" s="163"/>
      <c r="D13" s="163"/>
      <c r="E13" s="163"/>
      <c r="F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</row>
    <row r="14">
      <c r="B14" s="127"/>
      <c r="C14" s="127"/>
      <c r="D14" s="127"/>
      <c r="E14" s="127"/>
      <c r="F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</row>
    <row r="15">
      <c r="B15" s="127"/>
      <c r="C15" s="127"/>
      <c r="D15" s="127"/>
      <c r="E15" s="127"/>
      <c r="F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</row>
    <row r="16">
      <c r="B16" s="163"/>
      <c r="C16" s="163"/>
      <c r="D16" s="163"/>
      <c r="E16" s="163"/>
      <c r="F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</row>
    <row r="17"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</row>
    <row r="18"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</row>
    <row r="98">
      <c r="A98" s="168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</row>
    <row r="99">
      <c r="A99" s="168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</row>
    <row r="100">
      <c r="A100" s="170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</row>
    <row r="101">
      <c r="A101" s="170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</row>
    <row r="102">
      <c r="A102" s="170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</row>
    <row r="103">
      <c r="A103" s="170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</row>
    <row r="104">
      <c r="A104" s="170"/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</row>
    <row r="105">
      <c r="A105" s="170"/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</row>
    <row r="106">
      <c r="A106" s="152"/>
    </row>
    <row r="186">
      <c r="A186" s="136" t="s">
        <v>149</v>
      </c>
    </row>
  </sheetData>
  <conditionalFormatting sqref="A96:W107">
    <cfRule type="notContainsBlanks" dxfId="0" priority="1">
      <formula>LEN(TRIM(A96))&gt;0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21.38"/>
    <col customWidth="1" min="2" max="2" width="4.63"/>
    <col customWidth="1" min="3" max="16" width="8.25"/>
    <col customWidth="1" min="17" max="17" width="8.0"/>
    <col customWidth="1" min="18" max="18" width="6.75"/>
    <col customWidth="1" min="19" max="19" width="7.5"/>
  </cols>
  <sheetData>
    <row r="1" ht="17.25" customHeight="1">
      <c r="A1" s="1" t="s">
        <v>0</v>
      </c>
      <c r="B1" s="2" t="s">
        <v>1</v>
      </c>
      <c r="C1" s="3" t="s">
        <v>150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2</v>
      </c>
      <c r="Q1" s="194" t="s">
        <v>151</v>
      </c>
      <c r="R1" s="7" t="s">
        <v>17</v>
      </c>
      <c r="S1" s="7" t="s">
        <v>18</v>
      </c>
    </row>
    <row r="2">
      <c r="A2" s="8" t="s">
        <v>19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1"/>
    </row>
    <row r="3">
      <c r="A3" s="12" t="s">
        <v>20</v>
      </c>
      <c r="B3" s="13"/>
      <c r="C3" s="14"/>
      <c r="D3" s="15"/>
      <c r="E3" s="15"/>
      <c r="F3" s="15"/>
      <c r="G3" s="15"/>
      <c r="H3" s="15"/>
      <c r="I3" s="16"/>
      <c r="J3" s="16"/>
      <c r="K3" s="16"/>
      <c r="L3" s="16"/>
      <c r="M3" s="16"/>
      <c r="N3" s="16"/>
      <c r="O3" s="16"/>
      <c r="P3" s="14"/>
      <c r="Q3" s="14"/>
      <c r="R3" s="17"/>
      <c r="S3" s="17"/>
    </row>
    <row r="4">
      <c r="A4" s="18" t="s">
        <v>21</v>
      </c>
      <c r="B4" s="19" t="s">
        <v>22</v>
      </c>
      <c r="C4" s="20">
        <f>'2022'!P4</f>
        <v>258.57</v>
      </c>
      <c r="D4" s="21">
        <f>D51*4</f>
        <v>406.2</v>
      </c>
      <c r="E4" s="21">
        <f>E51*5</f>
        <v>508.75</v>
      </c>
      <c r="F4" s="21">
        <f t="shared" ref="F4:L4" si="1">F51*6</f>
        <v>608.82</v>
      </c>
      <c r="G4" s="21">
        <f t="shared" si="1"/>
        <v>627</v>
      </c>
      <c r="H4" s="21">
        <f t="shared" si="1"/>
        <v>636</v>
      </c>
      <c r="I4" s="21">
        <f t="shared" si="1"/>
        <v>656.94</v>
      </c>
      <c r="J4" s="21">
        <f t="shared" si="1"/>
        <v>680.28</v>
      </c>
      <c r="K4" s="21">
        <f t="shared" si="1"/>
        <v>666.6</v>
      </c>
      <c r="L4" s="21">
        <f t="shared" si="1"/>
        <v>641.22</v>
      </c>
      <c r="M4" s="21">
        <f>M51*8</f>
        <v>859.2</v>
      </c>
      <c r="N4" s="21">
        <f t="shared" ref="N4:O4" si="2">N51*10</f>
        <v>1125.4</v>
      </c>
      <c r="O4" s="21">
        <f t="shared" si="2"/>
        <v>1558.7</v>
      </c>
      <c r="P4" s="22">
        <f t="shared" ref="P4:P5" si="4">index(D4:O4,1,counta(D4:O4))</f>
        <v>1558.7</v>
      </c>
      <c r="Q4" s="14"/>
      <c r="R4" s="17"/>
      <c r="S4" s="17"/>
    </row>
    <row r="5">
      <c r="A5" s="18" t="s">
        <v>23</v>
      </c>
      <c r="B5" s="19" t="s">
        <v>22</v>
      </c>
      <c r="C5" s="20">
        <f>'2022'!P5</f>
        <v>74.27</v>
      </c>
      <c r="D5" s="21">
        <f t="shared" ref="D5:O5" si="3">D52*8</f>
        <v>93.2</v>
      </c>
      <c r="E5" s="21">
        <f t="shared" si="3"/>
        <v>88.48</v>
      </c>
      <c r="F5" s="21">
        <f t="shared" si="3"/>
        <v>88.72</v>
      </c>
      <c r="G5" s="21">
        <f t="shared" si="3"/>
        <v>87.28</v>
      </c>
      <c r="H5" s="21">
        <f t="shared" si="3"/>
        <v>83.68</v>
      </c>
      <c r="I5" s="21">
        <f t="shared" si="3"/>
        <v>83.52</v>
      </c>
      <c r="J5" s="21">
        <f t="shared" si="3"/>
        <v>83.52</v>
      </c>
      <c r="K5" s="21">
        <f t="shared" si="3"/>
        <v>73.52</v>
      </c>
      <c r="L5" s="21">
        <f t="shared" si="3"/>
        <v>66.96</v>
      </c>
      <c r="M5" s="21">
        <f t="shared" si="3"/>
        <v>61.12</v>
      </c>
      <c r="N5" s="21">
        <f t="shared" si="3"/>
        <v>64.96</v>
      </c>
      <c r="O5" s="21">
        <f t="shared" si="3"/>
        <v>64.08</v>
      </c>
      <c r="P5" s="22">
        <f t="shared" si="4"/>
        <v>64.08</v>
      </c>
      <c r="Q5" s="14"/>
      <c r="R5" s="17"/>
      <c r="S5" s="17"/>
    </row>
    <row r="6">
      <c r="A6" s="23" t="s">
        <v>24</v>
      </c>
      <c r="B6" s="24"/>
      <c r="C6" s="20" t="str">
        <f>'2022'!P6</f>
        <v/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2"/>
      <c r="Q6" s="26"/>
      <c r="R6" s="17"/>
      <c r="S6" s="17"/>
    </row>
    <row r="7">
      <c r="A7" s="27" t="s">
        <v>25</v>
      </c>
      <c r="B7" s="28" t="s">
        <v>47</v>
      </c>
      <c r="C7" s="20">
        <f>'2022'!P8</f>
        <v>2551.96</v>
      </c>
      <c r="D7" s="25">
        <f>2551.96+166.4</f>
        <v>2718.36</v>
      </c>
      <c r="E7" s="25">
        <f t="shared" ref="E7:F7" si="5">D7+166</f>
        <v>2884.36</v>
      </c>
      <c r="F7" s="25">
        <f t="shared" si="5"/>
        <v>3050.36</v>
      </c>
      <c r="G7" s="25">
        <f>F7+166.26+166.4</f>
        <v>3383.02</v>
      </c>
      <c r="H7" s="25">
        <f>G7+166.4</f>
        <v>3549.42</v>
      </c>
      <c r="I7" s="25">
        <v>203.0</v>
      </c>
      <c r="J7" s="25">
        <v>222.0</v>
      </c>
      <c r="K7" s="25">
        <f t="shared" ref="K7:O7" si="6">J7+222</f>
        <v>444</v>
      </c>
      <c r="L7" s="25">
        <f t="shared" si="6"/>
        <v>666</v>
      </c>
      <c r="M7" s="25">
        <f t="shared" si="6"/>
        <v>888</v>
      </c>
      <c r="N7" s="25">
        <f t="shared" si="6"/>
        <v>1110</v>
      </c>
      <c r="O7" s="25">
        <f t="shared" si="6"/>
        <v>1332</v>
      </c>
      <c r="P7" s="22">
        <f t="array" ref="P7">index(D7:O7,1,counta(D7:O7))</f>
        <v>1332</v>
      </c>
      <c r="Q7" s="26"/>
      <c r="R7" s="17"/>
      <c r="S7" s="17"/>
    </row>
    <row r="8">
      <c r="A8" s="23" t="s">
        <v>27</v>
      </c>
      <c r="B8" s="24"/>
      <c r="C8" s="20" t="str">
        <f>'2022'!P9</f>
        <v/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2"/>
      <c r="Q8" s="14"/>
      <c r="R8" s="17"/>
      <c r="S8" s="17"/>
    </row>
    <row r="9">
      <c r="A9" s="27" t="s">
        <v>28</v>
      </c>
      <c r="B9" s="28" t="s">
        <v>26</v>
      </c>
      <c r="C9" s="20">
        <v>1000.0</v>
      </c>
      <c r="D9" s="25">
        <v>1000.0</v>
      </c>
      <c r="E9" s="25">
        <v>1000.0</v>
      </c>
      <c r="F9" s="25">
        <v>1000.0</v>
      </c>
      <c r="G9" s="25">
        <v>1000.0</v>
      </c>
      <c r="H9" s="25">
        <v>1000.0</v>
      </c>
      <c r="I9" s="25">
        <v>1000.0</v>
      </c>
      <c r="J9" s="25">
        <v>1000.0</v>
      </c>
      <c r="K9" s="25">
        <v>1000.0</v>
      </c>
      <c r="L9" s="25">
        <v>0.0</v>
      </c>
      <c r="M9" s="25">
        <v>0.0</v>
      </c>
      <c r="N9" s="25">
        <v>0.0</v>
      </c>
      <c r="O9" s="25">
        <v>0.0</v>
      </c>
      <c r="P9" s="22">
        <f t="shared" ref="P9:P12" si="7">index(D9:O9,1,counta(D9:O9))</f>
        <v>0</v>
      </c>
      <c r="Q9" s="14"/>
      <c r="R9" s="17"/>
      <c r="S9" s="17"/>
    </row>
    <row r="10">
      <c r="A10" s="23" t="s">
        <v>29</v>
      </c>
      <c r="B10" s="24"/>
      <c r="C10" s="20" t="str">
        <f>'2022'!P11</f>
        <v/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22" t="str">
        <f t="shared" si="7"/>
        <v/>
      </c>
      <c r="Q10" s="24"/>
      <c r="R10" s="24"/>
      <c r="S10" s="24"/>
    </row>
    <row r="11">
      <c r="A11" s="27" t="s">
        <v>30</v>
      </c>
      <c r="B11" s="19" t="s">
        <v>26</v>
      </c>
      <c r="C11" s="20">
        <f>'2022'!P12</f>
        <v>15.52301314</v>
      </c>
      <c r="D11" s="31">
        <f t="shared" ref="D11:O11" si="8">D59*293.58</f>
        <v>21.2849023</v>
      </c>
      <c r="E11" s="31">
        <f t="shared" si="8"/>
        <v>21.75357341</v>
      </c>
      <c r="F11" s="31">
        <f t="shared" si="8"/>
        <v>0</v>
      </c>
      <c r="G11" s="31">
        <f t="shared" si="8"/>
        <v>0</v>
      </c>
      <c r="H11" s="31">
        <f t="shared" si="8"/>
        <v>0</v>
      </c>
      <c r="I11" s="31">
        <f t="shared" si="8"/>
        <v>0</v>
      </c>
      <c r="J11" s="31">
        <f t="shared" si="8"/>
        <v>0</v>
      </c>
      <c r="K11" s="31">
        <f t="shared" si="8"/>
        <v>0</v>
      </c>
      <c r="L11" s="31">
        <f t="shared" si="8"/>
        <v>0</v>
      </c>
      <c r="M11" s="31">
        <f t="shared" si="8"/>
        <v>0</v>
      </c>
      <c r="N11" s="31">
        <f t="shared" si="8"/>
        <v>0</v>
      </c>
      <c r="O11" s="31">
        <f t="shared" si="8"/>
        <v>0</v>
      </c>
      <c r="P11" s="22">
        <f t="shared" si="7"/>
        <v>0</v>
      </c>
      <c r="Q11" s="24"/>
      <c r="R11" s="24"/>
      <c r="S11" s="24"/>
    </row>
    <row r="12">
      <c r="A12" s="27" t="s">
        <v>31</v>
      </c>
      <c r="B12" s="19" t="s">
        <v>26</v>
      </c>
      <c r="C12" s="20">
        <v>0.0</v>
      </c>
      <c r="D12" s="31">
        <v>0.0</v>
      </c>
      <c r="E12" s="31">
        <f t="shared" ref="E12:O12" si="9">0.00464*E60</f>
        <v>103.7991424</v>
      </c>
      <c r="F12" s="31">
        <f t="shared" si="9"/>
        <v>128.4133313</v>
      </c>
      <c r="G12" s="31">
        <f t="shared" si="9"/>
        <v>120.1585496</v>
      </c>
      <c r="H12" s="31">
        <f t="shared" si="9"/>
        <v>117.8720578</v>
      </c>
      <c r="I12" s="31">
        <f t="shared" si="9"/>
        <v>129.0237686</v>
      </c>
      <c r="J12" s="31">
        <f t="shared" si="9"/>
        <v>123.2619662</v>
      </c>
      <c r="K12" s="31">
        <f t="shared" si="9"/>
        <v>111.1505459</v>
      </c>
      <c r="L12" s="31">
        <f t="shared" si="9"/>
        <v>118.4766741</v>
      </c>
      <c r="M12" s="31">
        <f t="shared" si="9"/>
        <v>160.7672266</v>
      </c>
      <c r="N12" s="31">
        <f t="shared" si="9"/>
        <v>160.786404</v>
      </c>
      <c r="O12" s="31">
        <f t="shared" si="9"/>
        <v>453.8194901</v>
      </c>
      <c r="P12" s="22">
        <f t="shared" si="7"/>
        <v>453.8194901</v>
      </c>
      <c r="Q12" s="24"/>
      <c r="R12" s="24"/>
      <c r="S12" s="24"/>
    </row>
    <row r="13">
      <c r="A13" s="23" t="s">
        <v>32</v>
      </c>
      <c r="B13" s="24"/>
      <c r="C13" s="20" t="str">
        <f>'2022'!P14</f>
        <v/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2"/>
      <c r="Q13" s="14"/>
      <c r="R13" s="17"/>
      <c r="S13" s="34"/>
    </row>
    <row r="14" ht="1.5" customHeight="1">
      <c r="A14" s="27" t="s">
        <v>152</v>
      </c>
      <c r="B14" s="35" t="s">
        <v>26</v>
      </c>
      <c r="C14" s="20">
        <f>'2022'!P15</f>
        <v>4012.72</v>
      </c>
      <c r="D14" s="25">
        <v>2765.0</v>
      </c>
      <c r="E14" s="25">
        <f>2411.49+9</f>
        <v>2420.49</v>
      </c>
      <c r="F14" s="25">
        <v>2287.0</v>
      </c>
      <c r="G14" s="25">
        <v>2506.81</v>
      </c>
      <c r="H14" s="25">
        <f>5557.14+62.41+22+117+501+20.8</f>
        <v>6280.35</v>
      </c>
      <c r="I14" s="25">
        <f>3621+336.09+3.54+12.5+1+5+100+5.75+3.8+4.7+153+11+60+33+10.4+26.1+17+10.4+7.65+12+2.6+10+9.85+16+25+114+12</f>
        <v>4623.38</v>
      </c>
      <c r="J14" s="25">
        <f>2474.83+591.41+101+5+1.75+10.4</f>
        <v>3184.39</v>
      </c>
      <c r="K14" s="25">
        <f>1894.16+876.05+55.31+2+60+2.6+10.4</f>
        <v>2900.52</v>
      </c>
      <c r="L14" s="25">
        <f>2753.64+146.75</f>
        <v>2900.39</v>
      </c>
      <c r="M14" s="25">
        <f>2227.09+14.76+547.97</f>
        <v>2789.82</v>
      </c>
      <c r="N14" s="25">
        <f>2536.78+245.03</f>
        <v>2781.81</v>
      </c>
      <c r="O14" s="25">
        <f>3519.25+480.19</f>
        <v>3999.44</v>
      </c>
      <c r="P14" s="22">
        <f t="shared" ref="P14:P17" si="10">index(D14:O14,1,counta(D14:O14))</f>
        <v>3999.44</v>
      </c>
      <c r="Q14" s="14"/>
      <c r="R14" s="36"/>
      <c r="S14" s="36"/>
    </row>
    <row r="15">
      <c r="A15" s="27" t="s">
        <v>34</v>
      </c>
      <c r="B15" s="35" t="s">
        <v>26</v>
      </c>
      <c r="C15" s="20">
        <f>'2022'!P16</f>
        <v>259</v>
      </c>
      <c r="D15" s="25">
        <v>465.95</v>
      </c>
      <c r="E15" s="25">
        <v>203.11</v>
      </c>
      <c r="F15" s="37">
        <v>203.11</v>
      </c>
      <c r="G15" s="37">
        <v>18.14</v>
      </c>
      <c r="H15" s="37">
        <v>0.0</v>
      </c>
      <c r="I15" s="37">
        <v>465.01</v>
      </c>
      <c r="J15" s="37">
        <v>270.0</v>
      </c>
      <c r="K15" s="37">
        <f>187.8+53</f>
        <v>240.8</v>
      </c>
      <c r="L15" s="37">
        <v>171.33</v>
      </c>
      <c r="M15" s="37">
        <f>12.37+77.48</f>
        <v>89.85</v>
      </c>
      <c r="N15" s="37">
        <v>201.39</v>
      </c>
      <c r="O15" s="37">
        <v>130.43</v>
      </c>
      <c r="P15" s="22">
        <f t="shared" si="10"/>
        <v>130.43</v>
      </c>
      <c r="Q15" s="14"/>
      <c r="R15" s="38"/>
      <c r="S15" s="34"/>
    </row>
    <row r="16">
      <c r="A16" s="39" t="s">
        <v>35</v>
      </c>
      <c r="B16" s="35" t="s">
        <v>26</v>
      </c>
      <c r="C16" s="20">
        <f>'2022'!P17</f>
        <v>0</v>
      </c>
      <c r="D16" s="25">
        <v>0.0</v>
      </c>
      <c r="E16" s="25">
        <v>0.0</v>
      </c>
      <c r="F16" s="25">
        <v>0.0</v>
      </c>
      <c r="G16" s="25">
        <v>0.0</v>
      </c>
      <c r="H16" s="25">
        <v>0.0</v>
      </c>
      <c r="I16" s="25">
        <v>0.0</v>
      </c>
      <c r="J16" s="25">
        <v>0.0</v>
      </c>
      <c r="K16" s="25">
        <v>0.0</v>
      </c>
      <c r="L16" s="25">
        <v>0.0</v>
      </c>
      <c r="M16" s="25">
        <v>0.0</v>
      </c>
      <c r="N16" s="25">
        <v>4.0</v>
      </c>
      <c r="O16" s="25">
        <v>4.0</v>
      </c>
      <c r="P16" s="40">
        <f t="shared" si="10"/>
        <v>4</v>
      </c>
      <c r="Q16" s="40"/>
      <c r="R16" s="41"/>
      <c r="S16" s="41"/>
    </row>
    <row r="17">
      <c r="A17" s="27" t="s">
        <v>36</v>
      </c>
      <c r="B17" s="35" t="s">
        <v>26</v>
      </c>
      <c r="C17" s="20">
        <f>'2022'!P18</f>
        <v>0</v>
      </c>
      <c r="D17" s="25">
        <v>0.0</v>
      </c>
      <c r="E17" s="25">
        <v>0.0</v>
      </c>
      <c r="F17" s="25">
        <v>0.0</v>
      </c>
      <c r="G17" s="25">
        <v>0.0</v>
      </c>
      <c r="H17" s="25">
        <v>0.0</v>
      </c>
      <c r="I17" s="25">
        <v>0.0</v>
      </c>
      <c r="J17" s="25">
        <v>0.0</v>
      </c>
      <c r="K17" s="25">
        <v>0.0</v>
      </c>
      <c r="L17" s="25">
        <v>0.0</v>
      </c>
      <c r="M17" s="25">
        <v>0.0</v>
      </c>
      <c r="N17" s="25">
        <v>0.0</v>
      </c>
      <c r="O17" s="25">
        <v>0.0</v>
      </c>
      <c r="P17" s="22">
        <f t="shared" si="10"/>
        <v>0</v>
      </c>
      <c r="Q17" s="26"/>
      <c r="R17" s="42"/>
      <c r="S17" s="42"/>
    </row>
    <row r="18">
      <c r="A18" s="27" t="s">
        <v>37</v>
      </c>
      <c r="B18" s="43" t="s">
        <v>26</v>
      </c>
      <c r="C18" s="20">
        <f>'2022'!P19</f>
        <v>21.5</v>
      </c>
      <c r="D18" s="25">
        <v>21.5</v>
      </c>
      <c r="E18" s="25">
        <v>21.5</v>
      </c>
      <c r="F18" s="25">
        <v>21.5</v>
      </c>
      <c r="G18" s="25">
        <v>21.5</v>
      </c>
      <c r="H18" s="25">
        <v>25.5</v>
      </c>
      <c r="I18" s="25">
        <v>25.5</v>
      </c>
      <c r="J18" s="25">
        <f>55.8-51</f>
        <v>4.8</v>
      </c>
      <c r="K18" s="25">
        <f>55.8</f>
        <v>55.8</v>
      </c>
      <c r="L18" s="25">
        <v>0.0</v>
      </c>
      <c r="M18" s="25">
        <v>0.0</v>
      </c>
      <c r="N18" s="25">
        <v>67.0</v>
      </c>
      <c r="O18" s="25">
        <v>100.0</v>
      </c>
      <c r="P18" s="25">
        <v>100.0</v>
      </c>
      <c r="Q18" s="26"/>
      <c r="R18" s="42"/>
      <c r="S18" s="42"/>
    </row>
    <row r="19">
      <c r="A19" s="27" t="s">
        <v>38</v>
      </c>
      <c r="B19" s="28" t="s">
        <v>26</v>
      </c>
      <c r="C19" s="20">
        <f>'2022'!P20</f>
        <v>7.07</v>
      </c>
      <c r="D19" s="25">
        <v>101.37</v>
      </c>
      <c r="E19" s="25">
        <v>5.86</v>
      </c>
      <c r="F19" s="25">
        <v>5.86</v>
      </c>
      <c r="G19" s="25">
        <v>5.86</v>
      </c>
      <c r="H19" s="25">
        <v>9.73</v>
      </c>
      <c r="I19" s="25">
        <v>9.73</v>
      </c>
      <c r="J19" s="25">
        <v>9.73</v>
      </c>
      <c r="K19" s="25">
        <v>9.73</v>
      </c>
      <c r="L19" s="25">
        <v>9.73</v>
      </c>
      <c r="M19" s="25">
        <v>2.24</v>
      </c>
      <c r="N19" s="25">
        <v>202.57</v>
      </c>
      <c r="O19" s="25">
        <v>204.34</v>
      </c>
      <c r="P19" s="44">
        <f t="array" ref="P19">index(D19:O19,1,counta(D19:O19))</f>
        <v>204.34</v>
      </c>
      <c r="Q19" s="24"/>
      <c r="R19" s="45"/>
      <c r="S19" s="45"/>
    </row>
    <row r="20">
      <c r="A20" s="27" t="s">
        <v>39</v>
      </c>
      <c r="B20" s="28" t="s">
        <v>26</v>
      </c>
      <c r="C20" s="20">
        <v>0.0</v>
      </c>
      <c r="D20" s="25">
        <v>100.0</v>
      </c>
      <c r="E20" s="25">
        <v>0.0</v>
      </c>
      <c r="F20" s="25">
        <v>0.0</v>
      </c>
      <c r="G20" s="25">
        <v>0.0</v>
      </c>
      <c r="H20" s="25">
        <v>0.0</v>
      </c>
      <c r="I20" s="25">
        <v>0.0</v>
      </c>
      <c r="J20" s="25">
        <v>0.0</v>
      </c>
      <c r="K20" s="25">
        <v>0.0</v>
      </c>
      <c r="L20" s="25">
        <v>0.0</v>
      </c>
      <c r="M20" s="25">
        <v>0.0</v>
      </c>
      <c r="N20" s="25">
        <v>0.0</v>
      </c>
      <c r="O20" s="25">
        <v>0.0</v>
      </c>
      <c r="P20" s="25">
        <v>0.0</v>
      </c>
      <c r="Q20" s="24"/>
      <c r="R20" s="45"/>
      <c r="S20" s="45"/>
    </row>
    <row r="21">
      <c r="A21" s="27" t="s">
        <v>40</v>
      </c>
      <c r="B21" s="28" t="s">
        <v>26</v>
      </c>
      <c r="C21" s="20">
        <f>'2022'!P21</f>
        <v>273</v>
      </c>
      <c r="D21" s="25">
        <f>43*7</f>
        <v>301</v>
      </c>
      <c r="E21" s="25">
        <f>47*7</f>
        <v>329</v>
      </c>
      <c r="F21" s="25">
        <f>46*7</f>
        <v>322</v>
      </c>
      <c r="G21" s="25">
        <f>50*7</f>
        <v>350</v>
      </c>
      <c r="H21" s="25">
        <f>44*7</f>
        <v>308</v>
      </c>
      <c r="I21" s="25">
        <f>55*7</f>
        <v>385</v>
      </c>
      <c r="J21" s="25">
        <f>42*7</f>
        <v>294</v>
      </c>
      <c r="K21" s="25">
        <f>67*7+8*43</f>
        <v>813</v>
      </c>
      <c r="L21" s="25">
        <f>32*8+55*7</f>
        <v>641</v>
      </c>
      <c r="M21" s="25">
        <f>53*8+40*7</f>
        <v>704</v>
      </c>
      <c r="N21" s="25">
        <f>48*8+25*7</f>
        <v>559</v>
      </c>
      <c r="O21" s="25">
        <f t="shared" ref="O21:P21" si="11">49*8+7*7</f>
        <v>441</v>
      </c>
      <c r="P21" s="25">
        <f t="shared" si="11"/>
        <v>441</v>
      </c>
      <c r="Q21" s="24"/>
      <c r="R21" s="45"/>
      <c r="S21" s="45"/>
    </row>
    <row r="22">
      <c r="A22" s="27" t="s">
        <v>41</v>
      </c>
      <c r="B22" s="28" t="s">
        <v>42</v>
      </c>
      <c r="C22" s="20">
        <f>'2022'!P22</f>
        <v>0</v>
      </c>
      <c r="D22" s="25">
        <v>0.0</v>
      </c>
      <c r="E22" s="25">
        <v>0.0</v>
      </c>
      <c r="F22" s="25">
        <v>0.0</v>
      </c>
      <c r="G22" s="25">
        <v>0.0</v>
      </c>
      <c r="H22" s="25">
        <v>0.0</v>
      </c>
      <c r="I22" s="25">
        <v>0.0</v>
      </c>
      <c r="J22" s="25">
        <v>0.0</v>
      </c>
      <c r="K22" s="25">
        <v>0.0</v>
      </c>
      <c r="L22" s="25">
        <v>0.0</v>
      </c>
      <c r="M22" s="25">
        <v>0.0</v>
      </c>
      <c r="N22" s="25">
        <v>0.0</v>
      </c>
      <c r="O22" s="25">
        <v>0.0</v>
      </c>
      <c r="P22" s="44">
        <f t="shared" ref="P22:P28" si="12">index(D22:O22,1,counta(D22:O22))</f>
        <v>0</v>
      </c>
      <c r="Q22" s="24"/>
      <c r="R22" s="45"/>
      <c r="S22" s="45"/>
    </row>
    <row r="23">
      <c r="A23" s="27" t="s">
        <v>43</v>
      </c>
      <c r="B23" s="28" t="s">
        <v>26</v>
      </c>
      <c r="C23" s="20">
        <f>'2022'!P23</f>
        <v>400</v>
      </c>
      <c r="D23" s="25">
        <v>420.0</v>
      </c>
      <c r="E23" s="25">
        <v>400.0</v>
      </c>
      <c r="F23" s="25">
        <v>400.0</v>
      </c>
      <c r="G23" s="25">
        <v>300.0</v>
      </c>
      <c r="H23" s="25">
        <v>300.0</v>
      </c>
      <c r="I23" s="25">
        <v>300.0</v>
      </c>
      <c r="J23" s="25">
        <v>350.0</v>
      </c>
      <c r="K23" s="25">
        <v>200.0</v>
      </c>
      <c r="L23" s="25">
        <v>200.0</v>
      </c>
      <c r="M23" s="25">
        <v>320.0</v>
      </c>
      <c r="N23" s="25">
        <f>150+50+120</f>
        <v>320</v>
      </c>
      <c r="O23" s="25">
        <v>320.0</v>
      </c>
      <c r="P23" s="22">
        <f t="shared" si="12"/>
        <v>320</v>
      </c>
      <c r="Q23" s="26"/>
      <c r="R23" s="46"/>
      <c r="S23" s="46"/>
    </row>
    <row r="24">
      <c r="A24" s="27" t="s">
        <v>44</v>
      </c>
      <c r="B24" s="28" t="s">
        <v>42</v>
      </c>
      <c r="C24" s="20">
        <f>'2022'!P24</f>
        <v>0</v>
      </c>
      <c r="D24" s="25">
        <v>0.0</v>
      </c>
      <c r="E24" s="25">
        <v>0.0</v>
      </c>
      <c r="F24" s="25">
        <v>0.0</v>
      </c>
      <c r="G24" s="25">
        <v>0.0</v>
      </c>
      <c r="H24" s="25">
        <v>0.0</v>
      </c>
      <c r="I24" s="25">
        <v>0.0</v>
      </c>
      <c r="J24" s="25">
        <v>0.0</v>
      </c>
      <c r="K24" s="25">
        <v>0.0</v>
      </c>
      <c r="L24" s="25">
        <v>0.0</v>
      </c>
      <c r="M24" s="25">
        <v>0.0</v>
      </c>
      <c r="N24" s="25">
        <v>0.0</v>
      </c>
      <c r="O24" s="25">
        <v>0.0</v>
      </c>
      <c r="P24" s="22">
        <f t="shared" si="12"/>
        <v>0</v>
      </c>
      <c r="Q24" s="14"/>
      <c r="R24" s="36"/>
      <c r="S24" s="36"/>
    </row>
    <row r="25">
      <c r="A25" s="47" t="s">
        <v>45</v>
      </c>
      <c r="B25" s="48" t="s">
        <v>22</v>
      </c>
      <c r="C25" s="20">
        <f>'2022'!P25</f>
        <v>0</v>
      </c>
      <c r="D25" s="25">
        <v>0.0</v>
      </c>
      <c r="E25" s="25">
        <v>0.0</v>
      </c>
      <c r="F25" s="25">
        <v>0.0</v>
      </c>
      <c r="G25" s="25">
        <v>0.0</v>
      </c>
      <c r="H25" s="25">
        <v>0.0</v>
      </c>
      <c r="I25" s="25">
        <v>0.0</v>
      </c>
      <c r="J25" s="25">
        <v>0.0</v>
      </c>
      <c r="K25" s="25">
        <v>0.0</v>
      </c>
      <c r="L25" s="25">
        <v>0.0</v>
      </c>
      <c r="M25" s="25">
        <v>0.0</v>
      </c>
      <c r="N25" s="25">
        <v>0.0</v>
      </c>
      <c r="O25" s="25">
        <v>0.0</v>
      </c>
      <c r="P25" s="22">
        <f t="shared" si="12"/>
        <v>0</v>
      </c>
      <c r="Q25" s="14"/>
      <c r="R25" s="36"/>
      <c r="S25" s="36"/>
    </row>
    <row r="26">
      <c r="A26" s="47" t="s">
        <v>46</v>
      </c>
      <c r="B26" s="48" t="s">
        <v>47</v>
      </c>
      <c r="C26" s="20">
        <v>0.0</v>
      </c>
      <c r="D26" s="25">
        <v>0.0</v>
      </c>
      <c r="E26" s="25">
        <v>0.0</v>
      </c>
      <c r="F26" s="25">
        <v>0.0</v>
      </c>
      <c r="G26" s="25">
        <v>0.0</v>
      </c>
      <c r="H26" s="25">
        <v>570.0</v>
      </c>
      <c r="I26" s="25">
        <v>570.0</v>
      </c>
      <c r="J26" s="25">
        <v>570.0</v>
      </c>
      <c r="K26" s="25">
        <v>570.0</v>
      </c>
      <c r="L26" s="25">
        <v>570.0</v>
      </c>
      <c r="M26" s="25">
        <v>570.0</v>
      </c>
      <c r="N26" s="25">
        <v>570.0</v>
      </c>
      <c r="O26" s="25">
        <v>200.0</v>
      </c>
      <c r="P26" s="22">
        <f t="shared" si="12"/>
        <v>200</v>
      </c>
      <c r="Q26" s="14"/>
      <c r="R26" s="36"/>
      <c r="S26" s="36"/>
    </row>
    <row r="27">
      <c r="A27" s="47" t="s">
        <v>48</v>
      </c>
      <c r="B27" s="48" t="s">
        <v>26</v>
      </c>
      <c r="C27" s="20">
        <v>0.0</v>
      </c>
      <c r="D27" s="25">
        <v>0.0</v>
      </c>
      <c r="E27" s="25">
        <v>0.0</v>
      </c>
      <c r="F27" s="25">
        <v>0.0</v>
      </c>
      <c r="G27" s="25">
        <v>0.0</v>
      </c>
      <c r="H27" s="25">
        <v>0.0</v>
      </c>
      <c r="I27" s="25">
        <v>370.0</v>
      </c>
      <c r="J27" s="25">
        <v>370.0</v>
      </c>
      <c r="K27" s="25">
        <v>370.0</v>
      </c>
      <c r="L27" s="25">
        <v>370.0</v>
      </c>
      <c r="M27" s="25">
        <v>370.0</v>
      </c>
      <c r="N27" s="25">
        <v>0.0</v>
      </c>
      <c r="O27" s="25">
        <v>0.0</v>
      </c>
      <c r="P27" s="22">
        <f t="shared" si="12"/>
        <v>0</v>
      </c>
      <c r="Q27" s="14"/>
      <c r="R27" s="36"/>
      <c r="S27" s="36"/>
    </row>
    <row r="28">
      <c r="A28" s="47" t="s">
        <v>49</v>
      </c>
      <c r="B28" s="48" t="s">
        <v>26</v>
      </c>
      <c r="C28" s="20">
        <f>'2022'!P27</f>
        <v>-2460.93</v>
      </c>
      <c r="D28" s="25">
        <v>0.0</v>
      </c>
      <c r="E28" s="25">
        <v>0.0</v>
      </c>
      <c r="F28" s="25">
        <v>0.0</v>
      </c>
      <c r="G28" s="25">
        <v>0.0</v>
      </c>
      <c r="H28" s="25">
        <v>0.0</v>
      </c>
      <c r="I28" s="25">
        <v>250.0</v>
      </c>
      <c r="J28" s="25">
        <v>0.0</v>
      </c>
      <c r="K28" s="25">
        <v>0.0</v>
      </c>
      <c r="L28" s="25">
        <v>0.0</v>
      </c>
      <c r="M28" s="25">
        <v>0.0</v>
      </c>
      <c r="N28" s="25">
        <v>0.0</v>
      </c>
      <c r="O28" s="25">
        <v>0.0</v>
      </c>
      <c r="P28" s="22">
        <f t="shared" si="12"/>
        <v>0</v>
      </c>
      <c r="Q28" s="14"/>
      <c r="R28" s="36"/>
      <c r="S28" s="36"/>
    </row>
    <row r="29" ht="12.75" customHeight="1">
      <c r="A29" s="23" t="s">
        <v>50</v>
      </c>
      <c r="B29" s="24"/>
      <c r="C29" s="20" t="str">
        <f>'2022'!P26</f>
        <v/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2"/>
      <c r="Q29" s="26"/>
      <c r="R29" s="17"/>
      <c r="S29" s="17"/>
    </row>
    <row r="30">
      <c r="A30" s="27" t="s">
        <v>51</v>
      </c>
      <c r="B30" s="19" t="s">
        <v>47</v>
      </c>
      <c r="C30" s="20">
        <f>'2022'!P27</f>
        <v>-2460.93</v>
      </c>
      <c r="D30" s="25">
        <v>-1948.9299999999998</v>
      </c>
      <c r="E30" s="25">
        <v>-1948.9299999999998</v>
      </c>
      <c r="F30" s="25">
        <f t="shared" ref="F30:H30" si="13">-1948.93+516.31</f>
        <v>-1432.62</v>
      </c>
      <c r="G30" s="25">
        <f t="shared" si="13"/>
        <v>-1432.62</v>
      </c>
      <c r="H30" s="25">
        <f t="shared" si="13"/>
        <v>-1432.62</v>
      </c>
      <c r="I30" s="25">
        <f t="shared" ref="I30:L30" si="14">-1948.93+516.31+520</f>
        <v>-912.62</v>
      </c>
      <c r="J30" s="25">
        <f t="shared" si="14"/>
        <v>-912.62</v>
      </c>
      <c r="K30" s="25">
        <f t="shared" si="14"/>
        <v>-912.62</v>
      </c>
      <c r="L30" s="25">
        <f t="shared" si="14"/>
        <v>-912.62</v>
      </c>
      <c r="M30" s="25">
        <f t="shared" ref="M30:O30" si="15">-1948.93+516.31+520+525</f>
        <v>-387.62</v>
      </c>
      <c r="N30" s="25">
        <f t="shared" si="15"/>
        <v>-387.62</v>
      </c>
      <c r="O30" s="25">
        <f t="shared" si="15"/>
        <v>-387.62</v>
      </c>
      <c r="P30" s="22">
        <f t="array" ref="P30">index(D30:O30,1,counta(D30:O30))</f>
        <v>-387.62</v>
      </c>
      <c r="Q30" s="14"/>
      <c r="R30" s="17"/>
      <c r="S30" s="17"/>
    </row>
    <row r="31">
      <c r="A31" s="23" t="s">
        <v>52</v>
      </c>
      <c r="B31" s="24"/>
      <c r="C31" s="20" t="str">
        <f>'2022'!P28</f>
        <v/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2"/>
      <c r="Q31" s="14"/>
      <c r="R31" s="49"/>
      <c r="S31" s="49"/>
    </row>
    <row r="32">
      <c r="A32" s="27" t="s">
        <v>53</v>
      </c>
      <c r="B32" s="43" t="s">
        <v>26</v>
      </c>
      <c r="C32" s="20">
        <f>'2022'!P30</f>
        <v>-722.39</v>
      </c>
      <c r="D32" s="21">
        <f>-517-612</f>
        <v>-1129</v>
      </c>
      <c r="E32" s="21">
        <f t="shared" ref="E32:F32" si="16">-293-578</f>
        <v>-871</v>
      </c>
      <c r="F32" s="21">
        <f t="shared" si="16"/>
        <v>-871</v>
      </c>
      <c r="G32" s="21">
        <f>-509.98-90.41</f>
        <v>-600.39</v>
      </c>
      <c r="H32" s="21">
        <f t="shared" ref="H32:I32" si="17">-475.14-375.28</f>
        <v>-850.42</v>
      </c>
      <c r="I32" s="21">
        <f t="shared" si="17"/>
        <v>-850.42</v>
      </c>
      <c r="J32" s="21">
        <f>-404-242</f>
        <v>-646</v>
      </c>
      <c r="K32" s="21">
        <f>-368.88-833.11</f>
        <v>-1201.99</v>
      </c>
      <c r="L32" s="21">
        <f>-332-104</f>
        <v>-436</v>
      </c>
      <c r="M32" s="21">
        <f>-301.38-315.33+132</f>
        <v>-484.71</v>
      </c>
      <c r="N32" s="21">
        <f>-259.38-827.56</f>
        <v>-1086.94</v>
      </c>
      <c r="O32" s="21">
        <f>-264-64.73</f>
        <v>-328.73</v>
      </c>
      <c r="P32" s="22">
        <f t="shared" ref="P32:P33" si="18">index(D32:O32,1,counta(D32:O32))</f>
        <v>-328.73</v>
      </c>
      <c r="Q32" s="26"/>
      <c r="R32" s="42"/>
      <c r="S32" s="42"/>
    </row>
    <row r="33">
      <c r="A33" s="27" t="s">
        <v>54</v>
      </c>
      <c r="B33" s="43" t="s">
        <v>26</v>
      </c>
      <c r="C33" s="20">
        <f>'2022'!P31</f>
        <v>-198.99</v>
      </c>
      <c r="D33" s="21">
        <v>0.0</v>
      </c>
      <c r="E33" s="21">
        <v>0.0</v>
      </c>
      <c r="F33" s="21">
        <v>0.0</v>
      </c>
      <c r="G33" s="21">
        <v>0.0</v>
      </c>
      <c r="H33" s="21">
        <v>-176.0</v>
      </c>
      <c r="I33" s="21">
        <v>0.0</v>
      </c>
      <c r="J33" s="21">
        <v>0.0</v>
      </c>
      <c r="K33" s="21">
        <v>0.0</v>
      </c>
      <c r="L33" s="21">
        <v>0.0</v>
      </c>
      <c r="M33" s="21">
        <v>0.0</v>
      </c>
      <c r="N33" s="21">
        <v>0.0</v>
      </c>
      <c r="O33" s="21">
        <v>0.0</v>
      </c>
      <c r="P33" s="22">
        <f t="shared" si="18"/>
        <v>0</v>
      </c>
      <c r="Q33" s="26"/>
      <c r="R33" s="42"/>
      <c r="S33" s="42"/>
    </row>
    <row r="34">
      <c r="A34" s="50" t="s">
        <v>55</v>
      </c>
      <c r="B34" s="24"/>
      <c r="C34" s="20" t="str">
        <f>'2022'!P35</f>
        <v/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>
      <c r="A35" s="51" t="s">
        <v>56</v>
      </c>
      <c r="B35" s="52" t="s">
        <v>26</v>
      </c>
      <c r="C35" s="20">
        <f>'2022'!P36</f>
        <v>0</v>
      </c>
      <c r="D35" s="53">
        <v>0.0</v>
      </c>
      <c r="E35" s="53">
        <v>0.0</v>
      </c>
      <c r="F35" s="53">
        <v>0.0</v>
      </c>
      <c r="G35" s="53">
        <v>0.0</v>
      </c>
      <c r="H35" s="53">
        <v>0.0</v>
      </c>
      <c r="I35" s="53">
        <v>0.0</v>
      </c>
      <c r="J35" s="53">
        <v>0.0</v>
      </c>
      <c r="K35" s="53">
        <v>0.0</v>
      </c>
      <c r="L35" s="53">
        <v>0.0</v>
      </c>
      <c r="M35" s="53">
        <v>0.0</v>
      </c>
      <c r="N35" s="53">
        <v>0.0</v>
      </c>
      <c r="O35" s="53">
        <v>0.0</v>
      </c>
      <c r="P35" s="44">
        <f t="array" ref="P35">index(D35:O35,1,counta(D35:O35))</f>
        <v>0</v>
      </c>
      <c r="Q35" s="24"/>
      <c r="R35" s="24"/>
      <c r="S35" s="24"/>
    </row>
    <row r="36">
      <c r="A36" s="54"/>
      <c r="B36" s="13"/>
      <c r="C36" s="26"/>
      <c r="D36" s="55"/>
      <c r="E36" s="55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14" t="str">
        <f>H36</f>
        <v/>
      </c>
      <c r="Q36" s="14"/>
      <c r="R36" s="17"/>
      <c r="S36" s="17"/>
    </row>
    <row r="37">
      <c r="A37" s="56" t="s">
        <v>57</v>
      </c>
      <c r="B37" s="13" t="s">
        <v>26</v>
      </c>
      <c r="C37" s="57">
        <f t="shared" ref="C37:O37" si="19">SUMIF($B3:$B36, "=M",C3:C36)/C54 + SUMIF($B3:$B36, "=E",C3:C36) + SUMIF($B3:$B36, "=D",C3:C36)/C55</f>
        <v>2916.799941</v>
      </c>
      <c r="D37" s="57">
        <f t="shared" si="19"/>
        <v>4527.28173</v>
      </c>
      <c r="E37" s="57">
        <f t="shared" si="19"/>
        <v>4198.341499</v>
      </c>
      <c r="F37" s="57">
        <f t="shared" si="19"/>
        <v>4135.978113</v>
      </c>
      <c r="G37" s="57">
        <f t="shared" si="19"/>
        <v>4372.044426</v>
      </c>
      <c r="H37" s="57">
        <f t="shared" si="19"/>
        <v>7686.031079</v>
      </c>
      <c r="I37" s="57">
        <f t="shared" si="19"/>
        <v>7379.95641</v>
      </c>
      <c r="J37" s="57">
        <f t="shared" si="19"/>
        <v>5658.226199</v>
      </c>
      <c r="K37" s="57">
        <f t="shared" si="19"/>
        <v>5184.465512</v>
      </c>
      <c r="L37" s="57">
        <f t="shared" si="19"/>
        <v>4643.872974</v>
      </c>
      <c r="M37" s="57">
        <f t="shared" si="19"/>
        <v>4810.835222</v>
      </c>
      <c r="N37" s="57">
        <f t="shared" si="19"/>
        <v>4302.908468</v>
      </c>
      <c r="O37" s="57">
        <f t="shared" si="19"/>
        <v>6724.02838</v>
      </c>
      <c r="P37" s="59">
        <f t="array" ref="P37">index(D37:O37,1,counta(D37:O37))</f>
        <v>6724.02838</v>
      </c>
      <c r="Q37" s="60"/>
      <c r="R37" s="61"/>
      <c r="S37" s="61">
        <f>C37+S38</f>
        <v>6724.02838</v>
      </c>
    </row>
    <row r="38">
      <c r="A38" s="39" t="s">
        <v>58</v>
      </c>
      <c r="B38" s="13"/>
      <c r="C38" s="32" t="s">
        <v>59</v>
      </c>
      <c r="D38" s="62">
        <f t="shared" ref="D38:O38" si="20">(D37-C37)</f>
        <v>1610.481789</v>
      </c>
      <c r="E38" s="62">
        <f t="shared" si="20"/>
        <v>-328.9402316</v>
      </c>
      <c r="F38" s="62">
        <f t="shared" si="20"/>
        <v>-62.36338524</v>
      </c>
      <c r="G38" s="62">
        <f t="shared" si="20"/>
        <v>236.0663126</v>
      </c>
      <c r="H38" s="62">
        <f t="shared" si="20"/>
        <v>3313.986653</v>
      </c>
      <c r="I38" s="62">
        <f t="shared" si="20"/>
        <v>-306.0746689</v>
      </c>
      <c r="J38" s="62">
        <f t="shared" si="20"/>
        <v>-1721.730211</v>
      </c>
      <c r="K38" s="62">
        <f t="shared" si="20"/>
        <v>-473.760687</v>
      </c>
      <c r="L38" s="62">
        <f t="shared" si="20"/>
        <v>-540.5925387</v>
      </c>
      <c r="M38" s="62">
        <f t="shared" si="20"/>
        <v>166.9622479</v>
      </c>
      <c r="N38" s="62">
        <f t="shared" si="20"/>
        <v>-507.9267535</v>
      </c>
      <c r="O38" s="62">
        <f t="shared" si="20"/>
        <v>2421.119912</v>
      </c>
      <c r="P38" s="63">
        <f>P37-C37</f>
        <v>3807.228439</v>
      </c>
      <c r="Q38" s="60"/>
      <c r="R38" s="61">
        <f>P38/count(D38:O38)</f>
        <v>317.2690366</v>
      </c>
      <c r="S38" s="61">
        <f t="shared" ref="S38:S39" si="22">R38*12</f>
        <v>3807.228439</v>
      </c>
    </row>
    <row r="39">
      <c r="A39" s="51" t="s">
        <v>60</v>
      </c>
      <c r="B39" s="64"/>
      <c r="C39" s="26" t="s">
        <v>59</v>
      </c>
      <c r="D39" s="65">
        <f t="shared" ref="D39:O39" si="21">D38/C37</f>
        <v>0.5521399552</v>
      </c>
      <c r="E39" s="65">
        <f t="shared" si="21"/>
        <v>-0.07265733639</v>
      </c>
      <c r="F39" s="65">
        <f t="shared" si="21"/>
        <v>-0.01485429074</v>
      </c>
      <c r="G39" s="65">
        <f t="shared" si="21"/>
        <v>0.05707629639</v>
      </c>
      <c r="H39" s="65">
        <f t="shared" si="21"/>
        <v>0.7579947342</v>
      </c>
      <c r="I39" s="65">
        <f t="shared" si="21"/>
        <v>-0.03982220027</v>
      </c>
      <c r="J39" s="65">
        <f t="shared" si="21"/>
        <v>-0.2332981545</v>
      </c>
      <c r="K39" s="65">
        <f t="shared" si="21"/>
        <v>-0.08372954179</v>
      </c>
      <c r="L39" s="65">
        <f t="shared" si="21"/>
        <v>-0.1042716047</v>
      </c>
      <c r="M39" s="65">
        <f t="shared" si="21"/>
        <v>0.03595323319</v>
      </c>
      <c r="N39" s="65">
        <f t="shared" si="21"/>
        <v>-0.1055797445</v>
      </c>
      <c r="O39" s="65">
        <f t="shared" si="21"/>
        <v>0.5626705588</v>
      </c>
      <c r="P39" s="66">
        <f>P38/C37</f>
        <v>1.305275821</v>
      </c>
      <c r="Q39" s="67"/>
      <c r="R39" s="68">
        <f>pow(1+P39, 1/count(D39:O39))-1</f>
        <v>0.07207929338</v>
      </c>
      <c r="S39" s="68">
        <f t="shared" si="22"/>
        <v>0.8649515206</v>
      </c>
    </row>
    <row r="40">
      <c r="A40" s="56" t="s">
        <v>61</v>
      </c>
      <c r="B40" s="13" t="s">
        <v>42</v>
      </c>
      <c r="C40" s="57">
        <f>SUMIF($B3:$B36, "=m",C3:C36) + SUMIF($B3:$B36, "=E",C3:C36)*C54 + SUMIF($B3:$B36, "=D",C3:C36)*C56</f>
        <v>32555.18767</v>
      </c>
      <c r="D40" s="57">
        <f t="shared" ref="D40:O40" si="23">SUMIF($B3:$B36, "=M",D3:D36) + SUMIF($B3:$B36, "=E",D3:D36)*D54 + SUMIF($B3:$B36, "=D",D3:D36)*D56</f>
        <v>49891.5159</v>
      </c>
      <c r="E40" s="57">
        <f t="shared" si="23"/>
        <v>46347.56835</v>
      </c>
      <c r="F40" s="57">
        <f t="shared" si="23"/>
        <v>45947.92018</v>
      </c>
      <c r="G40" s="57">
        <f t="shared" si="23"/>
        <v>48121.87119</v>
      </c>
      <c r="H40" s="57">
        <f t="shared" si="23"/>
        <v>84048.16039</v>
      </c>
      <c r="I40" s="57">
        <f t="shared" si="23"/>
        <v>79261.02653</v>
      </c>
      <c r="J40" s="57">
        <f t="shared" si="23"/>
        <v>61408.88347</v>
      </c>
      <c r="K40" s="57">
        <f t="shared" si="23"/>
        <v>57476.5438</v>
      </c>
      <c r="L40" s="57">
        <f t="shared" si="23"/>
        <v>50513.72942</v>
      </c>
      <c r="M40" s="57">
        <f t="shared" si="23"/>
        <v>52598.78432</v>
      </c>
      <c r="N40" s="57">
        <f t="shared" si="23"/>
        <v>47196.43562</v>
      </c>
      <c r="O40" s="57">
        <f t="shared" si="23"/>
        <v>70388.04715</v>
      </c>
      <c r="P40" s="59">
        <f t="array" ref="P40">index(D40:O40,1,counta(D40:O40))</f>
        <v>70388.04715</v>
      </c>
      <c r="Q40" s="69"/>
      <c r="R40" s="61"/>
      <c r="S40" s="61">
        <f>C40+S41</f>
        <v>70388.04715</v>
      </c>
    </row>
    <row r="41">
      <c r="A41" s="39" t="s">
        <v>58</v>
      </c>
      <c r="B41" s="13"/>
      <c r="C41" s="32" t="s">
        <v>59</v>
      </c>
      <c r="D41" s="62">
        <f t="shared" ref="D41:O41" si="24">(D40-C40)</f>
        <v>17336.32823</v>
      </c>
      <c r="E41" s="62">
        <f t="shared" si="24"/>
        <v>-3543.947554</v>
      </c>
      <c r="F41" s="62">
        <f t="shared" si="24"/>
        <v>-399.6481687</v>
      </c>
      <c r="G41" s="62">
        <f t="shared" si="24"/>
        <v>2173.951013</v>
      </c>
      <c r="H41" s="62">
        <f t="shared" si="24"/>
        <v>35926.2892</v>
      </c>
      <c r="I41" s="62">
        <f t="shared" si="24"/>
        <v>-4787.133862</v>
      </c>
      <c r="J41" s="62">
        <f t="shared" si="24"/>
        <v>-17852.14306</v>
      </c>
      <c r="K41" s="62">
        <f t="shared" si="24"/>
        <v>-3932.339676</v>
      </c>
      <c r="L41" s="62">
        <f t="shared" si="24"/>
        <v>-6962.81438</v>
      </c>
      <c r="M41" s="62">
        <f t="shared" si="24"/>
        <v>2085.054906</v>
      </c>
      <c r="N41" s="62">
        <f t="shared" si="24"/>
        <v>-5402.348706</v>
      </c>
      <c r="O41" s="62">
        <f t="shared" si="24"/>
        <v>23191.61153</v>
      </c>
      <c r="P41" s="63">
        <f>P40-C40</f>
        <v>37832.85948</v>
      </c>
      <c r="Q41" s="60"/>
      <c r="R41" s="61">
        <f>P41/count(D41:O41)</f>
        <v>3152.73829</v>
      </c>
      <c r="S41" s="61">
        <f t="shared" ref="S41:S42" si="26">R41*12</f>
        <v>37832.85948</v>
      </c>
    </row>
    <row r="42">
      <c r="A42" s="51" t="s">
        <v>60</v>
      </c>
      <c r="B42" s="64"/>
      <c r="C42" s="26" t="s">
        <v>59</v>
      </c>
      <c r="D42" s="65">
        <f t="shared" ref="D42:O42" si="25">D41/C40</f>
        <v>0.5325212194</v>
      </c>
      <c r="E42" s="65">
        <f t="shared" si="25"/>
        <v>-0.07103307025</v>
      </c>
      <c r="F42" s="65">
        <f t="shared" si="25"/>
        <v>-0.008622850841</v>
      </c>
      <c r="G42" s="65">
        <f t="shared" si="25"/>
        <v>0.04731337141</v>
      </c>
      <c r="H42" s="65">
        <f t="shared" si="25"/>
        <v>0.7465688326</v>
      </c>
      <c r="I42" s="65">
        <f t="shared" si="25"/>
        <v>-0.0569570332</v>
      </c>
      <c r="J42" s="65">
        <f t="shared" si="25"/>
        <v>-0.2252322969</v>
      </c>
      <c r="K42" s="65">
        <f t="shared" si="25"/>
        <v>-0.06403535537</v>
      </c>
      <c r="L42" s="65">
        <f t="shared" si="25"/>
        <v>-0.1211418419</v>
      </c>
      <c r="M42" s="65">
        <f t="shared" si="25"/>
        <v>0.041276994</v>
      </c>
      <c r="N42" s="65">
        <f t="shared" si="25"/>
        <v>-0.1027086229</v>
      </c>
      <c r="O42" s="65">
        <f t="shared" si="25"/>
        <v>0.4913848097</v>
      </c>
      <c r="P42" s="66">
        <f>P41/C40</f>
        <v>1.162114618</v>
      </c>
      <c r="Q42" s="67"/>
      <c r="R42" s="68">
        <f>pow(1+P42, 1/count(D42:O42))-1</f>
        <v>0.06636666255</v>
      </c>
      <c r="S42" s="68">
        <f t="shared" si="26"/>
        <v>0.7963999506</v>
      </c>
    </row>
    <row r="43">
      <c r="A43" s="56" t="s">
        <v>62</v>
      </c>
      <c r="B43" s="13" t="s">
        <v>22</v>
      </c>
      <c r="C43" s="57">
        <f>SUMIF($B3:$B36, "=F",C3:C36)/C56 + SUMIF($B3:$B36, "=E",C3:C36)*C55 + SUMIF($B3:$B36, "=D",C3:C36)</f>
        <v>3128.705457</v>
      </c>
      <c r="D43" s="57">
        <f t="shared" ref="D43:O43" si="27">SUMIF($B3:$B36, "=M",D3:D36)/D56 + SUMIF($B3:$B36, "=E",D3:D36)*D55 + SUMIF($B3:$B36, "=D",D3:D36)</f>
        <v>4913.164589</v>
      </c>
      <c r="E43" s="57">
        <f t="shared" si="27"/>
        <v>4447.051249</v>
      </c>
      <c r="F43" s="57">
        <f t="shared" si="27"/>
        <v>4514.213312</v>
      </c>
      <c r="G43" s="57">
        <f t="shared" si="27"/>
        <v>4804.658222</v>
      </c>
      <c r="H43" s="57">
        <f t="shared" si="27"/>
        <v>8243.652634</v>
      </c>
      <c r="I43" s="57">
        <f t="shared" si="27"/>
        <v>8122.933521</v>
      </c>
      <c r="J43" s="57">
        <f t="shared" si="27"/>
        <v>6191.231107</v>
      </c>
      <c r="K43" s="57">
        <f t="shared" si="27"/>
        <v>5597.926637</v>
      </c>
      <c r="L43" s="57">
        <f t="shared" si="27"/>
        <v>4916.236124</v>
      </c>
      <c r="M43" s="57">
        <f t="shared" si="27"/>
        <v>5155.050482</v>
      </c>
      <c r="N43" s="57">
        <f t="shared" si="27"/>
        <v>4684.942196</v>
      </c>
      <c r="O43" s="57">
        <f t="shared" si="27"/>
        <v>7795.523013</v>
      </c>
      <c r="P43" s="59">
        <f t="array" ref="P43">index(D43:O43,1,counta(D43:O43))</f>
        <v>7795.523013</v>
      </c>
      <c r="Q43" s="69"/>
      <c r="R43" s="61"/>
      <c r="S43" s="61">
        <f>C43+S44</f>
        <v>7795.523013</v>
      </c>
    </row>
    <row r="44">
      <c r="A44" s="39" t="s">
        <v>58</v>
      </c>
      <c r="B44" s="13"/>
      <c r="C44" s="32" t="s">
        <v>59</v>
      </c>
      <c r="D44" s="62">
        <f t="shared" ref="D44:O44" si="28">(D43-C43)</f>
        <v>1784.459132</v>
      </c>
      <c r="E44" s="62">
        <f t="shared" si="28"/>
        <v>-466.1133395</v>
      </c>
      <c r="F44" s="62">
        <f t="shared" si="28"/>
        <v>67.16206285</v>
      </c>
      <c r="G44" s="62">
        <f t="shared" si="28"/>
        <v>290.4449101</v>
      </c>
      <c r="H44" s="62">
        <f t="shared" si="28"/>
        <v>3438.994412</v>
      </c>
      <c r="I44" s="62">
        <f t="shared" si="28"/>
        <v>-120.7191121</v>
      </c>
      <c r="J44" s="62">
        <f t="shared" si="28"/>
        <v>-1931.702414</v>
      </c>
      <c r="K44" s="62">
        <f t="shared" si="28"/>
        <v>-593.3044704</v>
      </c>
      <c r="L44" s="62">
        <f t="shared" si="28"/>
        <v>-681.6905134</v>
      </c>
      <c r="M44" s="62">
        <f t="shared" si="28"/>
        <v>238.8143581</v>
      </c>
      <c r="N44" s="62">
        <f t="shared" si="28"/>
        <v>-470.1082853</v>
      </c>
      <c r="O44" s="62">
        <f t="shared" si="28"/>
        <v>3110.580816</v>
      </c>
      <c r="P44" s="63">
        <f>P43-C43</f>
        <v>4666.817556</v>
      </c>
      <c r="Q44" s="60"/>
      <c r="R44" s="61">
        <f>P44/count(D44:O44)</f>
        <v>388.901463</v>
      </c>
      <c r="S44" s="61">
        <f t="shared" ref="S44:S45" si="30">R44*12</f>
        <v>4666.817556</v>
      </c>
    </row>
    <row r="45">
      <c r="A45" s="51" t="s">
        <v>60</v>
      </c>
      <c r="B45" s="64"/>
      <c r="C45" s="26" t="s">
        <v>59</v>
      </c>
      <c r="D45" s="65">
        <f t="shared" ref="D45:O45" si="29">D44/C43</f>
        <v>0.570350631</v>
      </c>
      <c r="E45" s="65">
        <f t="shared" si="29"/>
        <v>-0.094870288</v>
      </c>
      <c r="F45" s="65">
        <f t="shared" si="29"/>
        <v>0.01510260599</v>
      </c>
      <c r="G45" s="65">
        <f t="shared" si="29"/>
        <v>0.06434009429</v>
      </c>
      <c r="H45" s="65">
        <f t="shared" si="29"/>
        <v>0.715762548</v>
      </c>
      <c r="I45" s="65">
        <f t="shared" si="29"/>
        <v>-0.01464388633</v>
      </c>
      <c r="J45" s="65">
        <f t="shared" si="29"/>
        <v>-0.2378084726</v>
      </c>
      <c r="K45" s="65">
        <f t="shared" si="29"/>
        <v>-0.09582980511</v>
      </c>
      <c r="L45" s="65">
        <f t="shared" si="29"/>
        <v>-0.1217755354</v>
      </c>
      <c r="M45" s="65">
        <f t="shared" si="29"/>
        <v>0.04857666559</v>
      </c>
      <c r="N45" s="65">
        <f t="shared" si="29"/>
        <v>-0.09119373068</v>
      </c>
      <c r="O45" s="65">
        <f t="shared" si="29"/>
        <v>0.6639528698</v>
      </c>
      <c r="P45" s="66">
        <f>P44/C43</f>
        <v>1.491612943</v>
      </c>
      <c r="Q45" s="67"/>
      <c r="R45" s="68">
        <f>pow(1+P45, 1/count(D45:O45))-1</f>
        <v>0.0790462212</v>
      </c>
      <c r="S45" s="68">
        <f t="shared" si="30"/>
        <v>0.9485546544</v>
      </c>
    </row>
    <row r="46">
      <c r="A46" s="50" t="s">
        <v>63</v>
      </c>
      <c r="B46" s="70" t="s">
        <v>64</v>
      </c>
      <c r="C46" s="71">
        <f t="shared" ref="C46:O46" si="31">C43/C58</f>
        <v>0.1891553685</v>
      </c>
      <c r="D46" s="71">
        <f t="shared" si="31"/>
        <v>0.2124657653</v>
      </c>
      <c r="E46" s="71">
        <f t="shared" si="31"/>
        <v>0.1876963149</v>
      </c>
      <c r="F46" s="71">
        <f t="shared" si="31"/>
        <v>0.1494446019</v>
      </c>
      <c r="G46" s="71">
        <f t="shared" si="31"/>
        <v>0.1687941591</v>
      </c>
      <c r="H46" s="71">
        <f t="shared" si="31"/>
        <v>0.3025560025</v>
      </c>
      <c r="I46" s="71">
        <f t="shared" si="31"/>
        <v>0.2653850948</v>
      </c>
      <c r="J46" s="71">
        <f t="shared" si="31"/>
        <v>0.2129949637</v>
      </c>
      <c r="K46" s="71">
        <f t="shared" si="31"/>
        <v>0.2165525465</v>
      </c>
      <c r="L46" s="71">
        <f t="shared" si="31"/>
        <v>0.1818719826</v>
      </c>
      <c r="M46" s="71">
        <f t="shared" si="31"/>
        <v>0.1388591969</v>
      </c>
      <c r="N46" s="71">
        <f t="shared" si="31"/>
        <v>0.1241665946</v>
      </c>
      <c r="O46" s="71">
        <f t="shared" si="31"/>
        <v>0.06856341372</v>
      </c>
      <c r="P46" s="71">
        <f t="array" ref="P46">index(D46:O46,1,counta(D46:O46))</f>
        <v>0.06856341372</v>
      </c>
      <c r="Q46" s="73"/>
      <c r="R46" s="74"/>
      <c r="S46" s="74">
        <f>C46+S47</f>
        <v>0.06856341372</v>
      </c>
    </row>
    <row r="47">
      <c r="A47" s="51" t="s">
        <v>58</v>
      </c>
      <c r="B47" s="24"/>
      <c r="C47" s="75" t="s">
        <v>59</v>
      </c>
      <c r="D47" s="76">
        <f t="shared" ref="D47:O47" si="32">(D46-C46)</f>
        <v>0.02331039676</v>
      </c>
      <c r="E47" s="76">
        <f t="shared" si="32"/>
        <v>-0.02476945038</v>
      </c>
      <c r="F47" s="76">
        <f t="shared" si="32"/>
        <v>-0.03825171297</v>
      </c>
      <c r="G47" s="76">
        <f t="shared" si="32"/>
        <v>0.01934955723</v>
      </c>
      <c r="H47" s="76">
        <f t="shared" si="32"/>
        <v>0.1337618434</v>
      </c>
      <c r="I47" s="76">
        <f t="shared" si="32"/>
        <v>-0.03717090767</v>
      </c>
      <c r="J47" s="76">
        <f t="shared" si="32"/>
        <v>-0.05239013114</v>
      </c>
      <c r="K47" s="76">
        <f t="shared" si="32"/>
        <v>0.003557582777</v>
      </c>
      <c r="L47" s="76">
        <f t="shared" si="32"/>
        <v>-0.03468056387</v>
      </c>
      <c r="M47" s="76">
        <f t="shared" si="32"/>
        <v>-0.04301278576</v>
      </c>
      <c r="N47" s="76">
        <f t="shared" si="32"/>
        <v>-0.01469260228</v>
      </c>
      <c r="O47" s="76">
        <f t="shared" si="32"/>
        <v>-0.05560318086</v>
      </c>
      <c r="P47" s="77">
        <f>P46-C46</f>
        <v>-0.1205919548</v>
      </c>
      <c r="Q47" s="24"/>
      <c r="R47" s="74">
        <f>P47/count(D47:O47)</f>
        <v>-0.01004932956</v>
      </c>
      <c r="S47" s="74">
        <f t="shared" ref="S47:S48" si="34">R47*12</f>
        <v>-0.1205919548</v>
      </c>
    </row>
    <row r="48">
      <c r="A48" s="51" t="s">
        <v>60</v>
      </c>
      <c r="B48" s="24"/>
      <c r="C48" s="78" t="s">
        <v>59</v>
      </c>
      <c r="D48" s="79">
        <f t="shared" ref="D48:O48" si="33">D47/C46</f>
        <v>0.1232341273</v>
      </c>
      <c r="E48" s="79">
        <f t="shared" si="33"/>
        <v>-0.1165809012</v>
      </c>
      <c r="F48" s="79">
        <f t="shared" si="33"/>
        <v>-0.2037957591</v>
      </c>
      <c r="G48" s="79">
        <f t="shared" si="33"/>
        <v>0.1294764547</v>
      </c>
      <c r="H48" s="79">
        <f t="shared" si="33"/>
        <v>0.7924554029</v>
      </c>
      <c r="I48" s="79">
        <f t="shared" si="33"/>
        <v>-0.1228562889</v>
      </c>
      <c r="J48" s="79">
        <f t="shared" si="33"/>
        <v>-0.1974117317</v>
      </c>
      <c r="K48" s="79">
        <f t="shared" si="33"/>
        <v>0.01670266149</v>
      </c>
      <c r="L48" s="79">
        <f t="shared" si="33"/>
        <v>-0.1601484925</v>
      </c>
      <c r="M48" s="79">
        <f t="shared" si="33"/>
        <v>-0.2365003402</v>
      </c>
      <c r="N48" s="79">
        <f t="shared" si="33"/>
        <v>-0.1058093566</v>
      </c>
      <c r="O48" s="79">
        <f t="shared" si="33"/>
        <v>-0.4478111125</v>
      </c>
      <c r="P48" s="80">
        <f>P47/C46</f>
        <v>-0.6375285869</v>
      </c>
      <c r="Q48" s="41"/>
      <c r="R48" s="68">
        <f>pow(1+P48, 1/count(D48:O48))-1</f>
        <v>-0.08109034771</v>
      </c>
      <c r="S48" s="68">
        <f t="shared" si="34"/>
        <v>-0.9730841725</v>
      </c>
    </row>
    <row r="49">
      <c r="A49" s="54"/>
      <c r="B49" s="13"/>
      <c r="C49" s="26"/>
      <c r="D49" s="8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82"/>
      <c r="Q49" s="82"/>
      <c r="R49" s="17"/>
      <c r="S49" s="17"/>
    </row>
    <row r="50">
      <c r="A50" s="8" t="s">
        <v>65</v>
      </c>
      <c r="B50" s="9"/>
      <c r="C50" s="10"/>
      <c r="D50" s="10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10"/>
      <c r="Q50" s="8" t="s">
        <v>66</v>
      </c>
      <c r="R50" s="8" t="s">
        <v>67</v>
      </c>
      <c r="S50" s="10"/>
    </row>
    <row r="51">
      <c r="A51" s="27" t="s">
        <v>68</v>
      </c>
      <c r="B51" s="84" t="s">
        <v>22</v>
      </c>
      <c r="C51" s="85">
        <f>'2022'!P52</f>
        <v>86.19</v>
      </c>
      <c r="D51" s="86">
        <v>101.55</v>
      </c>
      <c r="E51" s="86">
        <v>101.75</v>
      </c>
      <c r="F51" s="86">
        <v>101.47</v>
      </c>
      <c r="G51" s="86">
        <v>104.5</v>
      </c>
      <c r="H51" s="86">
        <v>106.0</v>
      </c>
      <c r="I51" s="86">
        <v>109.49</v>
      </c>
      <c r="J51" s="86">
        <v>113.38</v>
      </c>
      <c r="K51" s="86">
        <v>111.1</v>
      </c>
      <c r="L51" s="86">
        <v>106.87</v>
      </c>
      <c r="M51" s="86">
        <v>107.4</v>
      </c>
      <c r="N51" s="86">
        <v>112.54</v>
      </c>
      <c r="O51" s="86">
        <f>IFERROR(__xludf.DUMMYFUNCTION("GoogleFinance($A51)"),155.87)</f>
        <v>155.87</v>
      </c>
      <c r="P51" s="85">
        <f t="shared" ref="P51:P52" si="35">index(D51:O51,1,counta(D51:O51))</f>
        <v>155.87</v>
      </c>
      <c r="Q51" s="87">
        <f t="shared" ref="Q51:Q52" si="36">(P51-C51)/C51</f>
        <v>0.8084464555</v>
      </c>
      <c r="R51" s="88">
        <f t="shared" ref="R51:R52" si="37">(index(C51:O51,1,counta(C51:O51)) - index(C51:O51,1,counta(C51:O51)-1))/index(C51:O51,1,counta(C51:O51)-1)</f>
        <v>0.38501866</v>
      </c>
      <c r="S51" s="89"/>
    </row>
    <row r="52">
      <c r="A52" s="27" t="s">
        <v>69</v>
      </c>
      <c r="B52" s="84" t="s">
        <v>22</v>
      </c>
      <c r="C52" s="85">
        <f>'2022'!P53</f>
        <v>10.61</v>
      </c>
      <c r="D52" s="86">
        <v>11.65</v>
      </c>
      <c r="E52" s="86">
        <v>11.06</v>
      </c>
      <c r="F52" s="86">
        <v>11.09</v>
      </c>
      <c r="G52" s="86">
        <v>10.91</v>
      </c>
      <c r="H52" s="86">
        <v>10.46</v>
      </c>
      <c r="I52" s="86">
        <v>10.44</v>
      </c>
      <c r="J52" s="86">
        <v>10.44</v>
      </c>
      <c r="K52" s="86">
        <v>9.19</v>
      </c>
      <c r="L52" s="86">
        <v>8.37</v>
      </c>
      <c r="M52" s="86">
        <v>7.64</v>
      </c>
      <c r="N52" s="86">
        <v>8.12</v>
      </c>
      <c r="O52" s="86">
        <f>IFERROR(__xludf.DUMMYFUNCTION("GoogleFinance($A52)"),8.01)</f>
        <v>8.01</v>
      </c>
      <c r="P52" s="85">
        <f t="shared" si="35"/>
        <v>8.01</v>
      </c>
      <c r="Q52" s="87">
        <f t="shared" si="36"/>
        <v>-0.2450518379</v>
      </c>
      <c r="R52" s="88">
        <f t="shared" si="37"/>
        <v>-0.01354679803</v>
      </c>
      <c r="S52" s="89"/>
    </row>
    <row r="53">
      <c r="A53" s="90"/>
      <c r="B53" s="91"/>
      <c r="C53" s="85" t="str">
        <f>'2022'!P54</f>
        <v/>
      </c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>
      <c r="A54" s="94" t="s">
        <v>70</v>
      </c>
      <c r="B54" s="95"/>
      <c r="C54" s="85">
        <f>'2022'!P55</f>
        <v>11.157</v>
      </c>
      <c r="D54" s="86">
        <v>11.02019244</v>
      </c>
      <c r="E54" s="86">
        <v>11.03949461</v>
      </c>
      <c r="F54" s="86">
        <v>11.10932382</v>
      </c>
      <c r="G54" s="86">
        <v>11.00672054</v>
      </c>
      <c r="H54" s="86">
        <v>10.93518352</v>
      </c>
      <c r="I54" s="86">
        <v>10.74003993</v>
      </c>
      <c r="J54" s="86">
        <v>10.85302731</v>
      </c>
      <c r="K54" s="86">
        <v>11.08630073</v>
      </c>
      <c r="L54" s="86">
        <v>10.877500000000001</v>
      </c>
      <c r="M54" s="86">
        <v>10.93339969</v>
      </c>
      <c r="N54" s="86">
        <v>10.9684963</v>
      </c>
      <c r="O54" s="86">
        <f>IFERROR(__xludf.DUMMYFUNCTION("GoogleFinance($A54)"),10.450700000000001)</f>
        <v>10.4507</v>
      </c>
      <c r="P54" s="97">
        <f t="shared" ref="P54:P56" si="38">index(D54:O54,1,counta(D54:O54))</f>
        <v>10.4507</v>
      </c>
      <c r="Q54" s="98">
        <f t="shared" ref="Q54:Q56" si="39">(P54-C54)/C54</f>
        <v>-0.06330554809</v>
      </c>
      <c r="R54" s="99">
        <f t="shared" ref="R54:R56" si="40">(index(C54:O54,1,counta(C54:O54)) - index(C54:O54,1,counta(C54:O54)-1))/index(C54:O54,1,counta(C54:O54)-1)</f>
        <v>-0.04720759217</v>
      </c>
      <c r="S54" s="46"/>
    </row>
    <row r="55">
      <c r="A55" s="94" t="s">
        <v>71</v>
      </c>
      <c r="B55" s="95"/>
      <c r="C55" s="85">
        <f>'2022'!P56</f>
        <v>1.07265</v>
      </c>
      <c r="D55" s="86">
        <v>1.085235</v>
      </c>
      <c r="E55" s="86">
        <v>1.05924</v>
      </c>
      <c r="F55" s="86">
        <v>1.09145</v>
      </c>
      <c r="G55" s="86">
        <v>1.0989499999999999</v>
      </c>
      <c r="H55" s="86">
        <v>1.07255</v>
      </c>
      <c r="I55" s="86">
        <v>1.1006749999999998</v>
      </c>
      <c r="J55" s="86">
        <v>1.0942</v>
      </c>
      <c r="K55" s="86">
        <v>1.07975</v>
      </c>
      <c r="L55" s="86">
        <v>1.0586499999999999</v>
      </c>
      <c r="M55" s="86">
        <v>1.07155</v>
      </c>
      <c r="N55" s="86">
        <v>1.088785</v>
      </c>
      <c r="O55" s="86">
        <f>IFERROR(__xludf.DUMMYFUNCTION("GoogleFinance($A55)"),1.15935308)</f>
        <v>1.15935308</v>
      </c>
      <c r="P55" s="97">
        <f t="shared" si="38"/>
        <v>1.15935308</v>
      </c>
      <c r="Q55" s="98">
        <f t="shared" si="39"/>
        <v>0.08083072764</v>
      </c>
      <c r="R55" s="99">
        <f t="shared" si="40"/>
        <v>0.06481360416</v>
      </c>
      <c r="S55" s="46"/>
    </row>
    <row r="56">
      <c r="A56" s="94" t="s">
        <v>72</v>
      </c>
      <c r="B56" s="95"/>
      <c r="C56" s="85">
        <f>'2022'!P57</f>
        <v>10.43875</v>
      </c>
      <c r="D56" s="86">
        <v>10.154660000000002</v>
      </c>
      <c r="E56" s="86">
        <v>10.42209</v>
      </c>
      <c r="F56" s="86">
        <v>10.178500000000001</v>
      </c>
      <c r="G56" s="86">
        <v>10.01567</v>
      </c>
      <c r="H56" s="86">
        <v>10.195500000000001</v>
      </c>
      <c r="I56" s="86">
        <v>9.757685</v>
      </c>
      <c r="J56" s="86">
        <v>9.918687</v>
      </c>
      <c r="K56" s="86">
        <v>10.267470000000001</v>
      </c>
      <c r="L56" s="86">
        <v>10.274880000000001</v>
      </c>
      <c r="M56" s="86">
        <v>10.20335</v>
      </c>
      <c r="N56" s="86">
        <v>10.07407</v>
      </c>
      <c r="O56" s="86">
        <f>IFERROR(__xludf.DUMMYFUNCTION("GoogleFinance($A56)"),9.0865)</f>
        <v>9.0865</v>
      </c>
      <c r="P56" s="97">
        <f t="shared" si="38"/>
        <v>9.0865</v>
      </c>
      <c r="Q56" s="98">
        <f t="shared" si="39"/>
        <v>-0.1295413723</v>
      </c>
      <c r="R56" s="99">
        <f t="shared" si="40"/>
        <v>-0.09803088523</v>
      </c>
    </row>
    <row r="57">
      <c r="A57" s="94"/>
      <c r="B57" s="95"/>
      <c r="C57" s="85" t="str">
        <f>'2022'!P58</f>
        <v/>
      </c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/>
      <c r="Q57" s="102"/>
      <c r="R57" s="46"/>
      <c r="S57" s="46"/>
    </row>
    <row r="58">
      <c r="A58" s="27" t="s">
        <v>73</v>
      </c>
      <c r="B58" s="103"/>
      <c r="C58" s="85">
        <f>'2022'!P59</f>
        <v>16540.4</v>
      </c>
      <c r="D58" s="105">
        <v>23124.5</v>
      </c>
      <c r="E58" s="105">
        <v>23692.800000000003</v>
      </c>
      <c r="F58" s="105">
        <v>30206.600000000002</v>
      </c>
      <c r="G58" s="105">
        <v>28464.600000000002</v>
      </c>
      <c r="H58" s="105">
        <v>27246.7</v>
      </c>
      <c r="I58" s="105">
        <v>30608.100000000002</v>
      </c>
      <c r="J58" s="105">
        <v>29067.5</v>
      </c>
      <c r="K58" s="105">
        <v>25850.2</v>
      </c>
      <c r="L58" s="105">
        <v>27031.300000000003</v>
      </c>
      <c r="M58" s="105">
        <v>37124.3</v>
      </c>
      <c r="N58" s="105">
        <v>37731.1</v>
      </c>
      <c r="O58" s="105">
        <f>IFERROR(__xludf.DUMMYFUNCTION("GoogleFinance($A58)"),113698.0)</f>
        <v>113698</v>
      </c>
      <c r="P58" s="104">
        <f t="array" ref="P58">index(D58:O58,1,counta(D58:O58))</f>
        <v>113698</v>
      </c>
      <c r="Q58" s="98">
        <f>(P58-C58)/C58</f>
        <v>5.873957099</v>
      </c>
      <c r="R58" s="106">
        <f t="array" ref="R58">(index(C58:O58,1,counta(C58:O58)) - index(C58:O58,1,counta(C58:O58)-1))/index(C58:O58,1,counta(C58:O58)-1)</f>
        <v>2.013376233</v>
      </c>
      <c r="S58" s="45"/>
    </row>
    <row r="59">
      <c r="A59" s="27" t="s">
        <v>74</v>
      </c>
      <c r="B59" s="107" t="s">
        <v>26</v>
      </c>
      <c r="C59" s="108"/>
      <c r="D59" s="110">
        <v>0.0725012</v>
      </c>
      <c r="E59" s="110">
        <v>0.0740976</v>
      </c>
      <c r="F59" s="109">
        <v>0.0</v>
      </c>
      <c r="G59" s="109">
        <v>0.0</v>
      </c>
      <c r="H59" s="109">
        <v>0.0</v>
      </c>
      <c r="I59" s="109">
        <v>0.0</v>
      </c>
      <c r="J59" s="109">
        <v>0.0</v>
      </c>
      <c r="K59" s="109">
        <v>0.0</v>
      </c>
      <c r="L59" s="109">
        <v>0.0</v>
      </c>
      <c r="M59" s="109">
        <v>0.0</v>
      </c>
      <c r="N59" s="109">
        <v>0.0</v>
      </c>
      <c r="O59" s="109">
        <v>0.0</v>
      </c>
      <c r="P59" s="109">
        <v>0.0</v>
      </c>
      <c r="Q59" s="98"/>
      <c r="R59" s="106"/>
      <c r="S59" s="45"/>
    </row>
    <row r="60">
      <c r="A60" s="27" t="s">
        <v>75</v>
      </c>
      <c r="B60" s="107" t="s">
        <v>26</v>
      </c>
      <c r="C60" s="108"/>
      <c r="D60" s="110"/>
      <c r="E60" s="110">
        <v>22370.50483</v>
      </c>
      <c r="F60" s="110">
        <v>27675.286920000002</v>
      </c>
      <c r="G60" s="110">
        <v>25896.23914</v>
      </c>
      <c r="H60" s="110">
        <v>25403.460740000002</v>
      </c>
      <c r="I60" s="110">
        <v>27806.846680000002</v>
      </c>
      <c r="J60" s="110">
        <v>26565.078920000004</v>
      </c>
      <c r="K60" s="110">
        <v>23954.859040000003</v>
      </c>
      <c r="L60" s="110">
        <v>25533.765980000004</v>
      </c>
      <c r="M60" s="110">
        <v>34648.10919</v>
      </c>
      <c r="N60" s="110">
        <v>34652.24224</v>
      </c>
      <c r="O60" s="110">
        <f>IFERROR(__xludf.DUMMYFUNCTION("GoogleFinance($A60)"),97805.92458)</f>
        <v>97805.92458</v>
      </c>
      <c r="P60" s="110">
        <f>IFERROR(__xludf.DUMMYFUNCTION("GoogleFinance($A60)"),97805.92458)</f>
        <v>97805.92458</v>
      </c>
      <c r="Q60" s="98"/>
      <c r="R60" s="106"/>
      <c r="S60" s="45"/>
    </row>
    <row r="61">
      <c r="A61" s="54"/>
      <c r="B61" s="95"/>
      <c r="C61" s="111"/>
      <c r="E61" s="112"/>
      <c r="F61" s="112"/>
      <c r="G61" s="112"/>
      <c r="H61" s="112"/>
      <c r="I61" s="112"/>
      <c r="J61" s="112"/>
      <c r="K61" s="89"/>
      <c r="L61" s="89"/>
      <c r="M61" s="89"/>
      <c r="N61" s="89"/>
      <c r="O61" s="89"/>
      <c r="P61" s="102"/>
      <c r="Q61" s="102"/>
      <c r="R61" s="46"/>
      <c r="S61" s="46"/>
    </row>
    <row r="62">
      <c r="A62" s="8" t="s">
        <v>76</v>
      </c>
      <c r="B62" s="9"/>
      <c r="C62" s="10"/>
      <c r="D62" s="10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10"/>
      <c r="Q62" s="8" t="s">
        <v>66</v>
      </c>
      <c r="R62" s="8" t="s">
        <v>67</v>
      </c>
      <c r="S62" s="10"/>
    </row>
    <row r="63">
      <c r="A63" s="94" t="s">
        <v>77</v>
      </c>
      <c r="B63" s="91" t="s">
        <v>26</v>
      </c>
      <c r="C63" s="22">
        <f>(SUMIF($B$3:$B$6, "=F",C3:C6) +sum(B8)*0.8)/C54 + SUMIF($B$3:$B$6, "=E",C3:C6) + SUMIF($B$3:$B$6, "=D",C3:C6)/C55</f>
        <v>310.2969282</v>
      </c>
      <c r="D63" s="113">
        <f t="shared" ref="D63:O63" si="41">(SUMIF($B$3:$B$6, "=M",D3:D6)/D54 + SUMIF($B$3:$B$6, "=E",D3:D6) + SUMIF($B$3:$B$6, "=D",D3:D6)/D55)</f>
        <v>460.1768281</v>
      </c>
      <c r="E63" s="113">
        <f t="shared" si="41"/>
        <v>563.8287829</v>
      </c>
      <c r="F63" s="113">
        <f t="shared" si="41"/>
        <v>639.0947822</v>
      </c>
      <c r="G63" s="113">
        <f t="shared" si="41"/>
        <v>649.9658765</v>
      </c>
      <c r="H63" s="113">
        <f t="shared" si="41"/>
        <v>670.999021</v>
      </c>
      <c r="I63" s="113">
        <f t="shared" si="41"/>
        <v>672.7326413</v>
      </c>
      <c r="J63" s="113">
        <f t="shared" si="41"/>
        <v>698.0442332</v>
      </c>
      <c r="K63" s="113">
        <f t="shared" si="41"/>
        <v>685.4549664</v>
      </c>
      <c r="L63" s="113">
        <f t="shared" si="41"/>
        <v>668.9462995</v>
      </c>
      <c r="M63" s="113">
        <f t="shared" si="41"/>
        <v>858.867995</v>
      </c>
      <c r="N63" s="113">
        <f t="shared" si="41"/>
        <v>1093.292064</v>
      </c>
      <c r="O63" s="113">
        <f t="shared" si="41"/>
        <v>1399.72889</v>
      </c>
      <c r="P63" s="22">
        <f t="shared" ref="P63:P69" si="43">index(D63:O63,1,counta(D63:O63))</f>
        <v>1399.72889</v>
      </c>
      <c r="Q63" s="87">
        <f t="shared" ref="Q63:Q68" si="44">(P63-C63)/C63</f>
        <v>3.510933764</v>
      </c>
      <c r="R63" s="88">
        <f t="shared" ref="R63:R68" si="45">(index(C63:O63,1,counta(C63:O63)) - index(C63:O63,1,counta(C63:O63)-1))/index(C63:O63,1,counta(C63:O63)-1)</f>
        <v>0.2802881647</v>
      </c>
      <c r="S63" s="36"/>
    </row>
    <row r="64">
      <c r="A64" s="94" t="s">
        <v>27</v>
      </c>
      <c r="B64" s="91" t="s">
        <v>26</v>
      </c>
      <c r="C64" s="22">
        <f>(SUMIF($B$8:$B$13, "=F",C8:C13) +sum(C8)*0.2)/C54 + SUMIF($B$8:$B$13, "=E",C8:C13) + SUMIF($B$8:$B$13, "=D",C8:C13)/C55</f>
        <v>1015.523013</v>
      </c>
      <c r="D64" s="113">
        <f t="shared" ref="D64:O64" si="42">(SUMIF($B$8:$B$10, "=M",D8:D10) +SUM(D8)*0.2)/D54 + SUMIF($B$8:$B$10, "=E",D8:D10) + SUMIF($B$8:$B$10, "=D",D8:D10)/D55</f>
        <v>1000</v>
      </c>
      <c r="E64" s="113">
        <f t="shared" si="42"/>
        <v>1000</v>
      </c>
      <c r="F64" s="113">
        <f t="shared" si="42"/>
        <v>1000</v>
      </c>
      <c r="G64" s="113">
        <f t="shared" si="42"/>
        <v>1000</v>
      </c>
      <c r="H64" s="113">
        <f t="shared" si="42"/>
        <v>1000</v>
      </c>
      <c r="I64" s="113">
        <f t="shared" si="42"/>
        <v>1000</v>
      </c>
      <c r="J64" s="113">
        <f t="shared" si="42"/>
        <v>1000</v>
      </c>
      <c r="K64" s="113">
        <f t="shared" si="42"/>
        <v>1000</v>
      </c>
      <c r="L64" s="113">
        <f t="shared" si="42"/>
        <v>0</v>
      </c>
      <c r="M64" s="113">
        <f t="shared" si="42"/>
        <v>0</v>
      </c>
      <c r="N64" s="113">
        <f t="shared" si="42"/>
        <v>0</v>
      </c>
      <c r="O64" s="113">
        <f t="shared" si="42"/>
        <v>0</v>
      </c>
      <c r="P64" s="22">
        <f t="shared" si="43"/>
        <v>0</v>
      </c>
      <c r="Q64" s="87">
        <f t="shared" si="44"/>
        <v>-1</v>
      </c>
      <c r="R64" s="88" t="str">
        <f t="shared" si="45"/>
        <v>#DIV/0!</v>
      </c>
      <c r="S64" s="36"/>
    </row>
    <row r="65">
      <c r="A65" s="39" t="s">
        <v>29</v>
      </c>
      <c r="B65" s="114" t="s">
        <v>26</v>
      </c>
      <c r="C65" s="40">
        <f>SUMIF($B$10:$B$13, "=F",C10:C13)/C$54 + SUMIF($B$10:$B$13, "=E",C10:C13) + SUMIF($B$10:$B$13, "=D",C10:C13)/C$55</f>
        <v>15.52301314</v>
      </c>
      <c r="D65" s="113">
        <f>SUMIF($B$10:$B$11, "=M",D$10:D$11)/D$54 + SUMIF($B$10:$B$11, "=E",D$10:D$11) + SUMIF($B$10:$B$11, "=D",D$10:D$11)/D$55</f>
        <v>21.2849023</v>
      </c>
      <c r="E65" s="113">
        <f t="shared" ref="E65:O65" si="46">SUMIF($B$10:$B$12, "=M",E$10:E$12)/E$54 + SUMIF($B$10:$B$12, "=E",E$10:E$12) + SUMIF($B$10:$B$12, "=D",E$10:E$12)/E$55</f>
        <v>125.5527158</v>
      </c>
      <c r="F65" s="113">
        <f t="shared" si="46"/>
        <v>128.4133313</v>
      </c>
      <c r="G65" s="113">
        <f t="shared" si="46"/>
        <v>120.1585496</v>
      </c>
      <c r="H65" s="113">
        <f t="shared" si="46"/>
        <v>117.8720578</v>
      </c>
      <c r="I65" s="113">
        <f t="shared" si="46"/>
        <v>129.0237686</v>
      </c>
      <c r="J65" s="113">
        <f t="shared" si="46"/>
        <v>123.2619662</v>
      </c>
      <c r="K65" s="113">
        <f t="shared" si="46"/>
        <v>111.1505459</v>
      </c>
      <c r="L65" s="113">
        <f t="shared" si="46"/>
        <v>118.4766741</v>
      </c>
      <c r="M65" s="113">
        <f t="shared" si="46"/>
        <v>160.7672266</v>
      </c>
      <c r="N65" s="113">
        <f t="shared" si="46"/>
        <v>160.786404</v>
      </c>
      <c r="O65" s="113">
        <f t="shared" si="46"/>
        <v>453.8194901</v>
      </c>
      <c r="P65" s="104">
        <f t="shared" si="43"/>
        <v>453.8194901</v>
      </c>
      <c r="Q65" s="87">
        <f t="shared" si="44"/>
        <v>28.23527062</v>
      </c>
      <c r="R65" s="88">
        <f t="shared" si="45"/>
        <v>1.822499159</v>
      </c>
      <c r="S65" s="36"/>
    </row>
    <row r="66">
      <c r="A66" s="94" t="s">
        <v>78</v>
      </c>
      <c r="B66" s="91" t="s">
        <v>26</v>
      </c>
      <c r="C66" s="22">
        <f>SUMIF($B$13:$B$29, "=F",C13:C29)/C54 + SUMIF($B$13:$B$29, "=E",C13:C29) + SUMIF($B$13:$B$29, "=D",C13:C29)/C55</f>
        <v>2512.36</v>
      </c>
      <c r="D66" s="113">
        <f t="shared" ref="D66:O66" si="47">SUMIF($B$13:$B$29, "=M",D13:D29)/D54 + SUMIF($B$13:$B$29, "=E",D13:D29) + SUMIF($B$13:$B$29, "=D",D13:D29)/D55</f>
        <v>4174.82</v>
      </c>
      <c r="E66" s="113">
        <f t="shared" si="47"/>
        <v>3379.96</v>
      </c>
      <c r="F66" s="113">
        <f t="shared" si="47"/>
        <v>3239.47</v>
      </c>
      <c r="G66" s="113">
        <f t="shared" si="47"/>
        <v>3202.31</v>
      </c>
      <c r="H66" s="113">
        <f t="shared" si="47"/>
        <v>6923.58</v>
      </c>
      <c r="I66" s="113">
        <f t="shared" si="47"/>
        <v>6428.62</v>
      </c>
      <c r="J66" s="113">
        <f t="shared" si="47"/>
        <v>4482.92</v>
      </c>
      <c r="K66" s="113">
        <f t="shared" si="47"/>
        <v>4589.85</v>
      </c>
      <c r="L66" s="113">
        <f t="shared" si="47"/>
        <v>4292.45</v>
      </c>
      <c r="M66" s="113">
        <f t="shared" si="47"/>
        <v>4275.91</v>
      </c>
      <c r="N66" s="113">
        <f t="shared" si="47"/>
        <v>4135.77</v>
      </c>
      <c r="O66" s="113">
        <f t="shared" si="47"/>
        <v>5199.21</v>
      </c>
      <c r="P66" s="22">
        <f t="shared" si="43"/>
        <v>5199.21</v>
      </c>
      <c r="Q66" s="98">
        <f t="shared" si="44"/>
        <v>1.069452626</v>
      </c>
      <c r="R66" s="99">
        <f t="shared" si="45"/>
        <v>0.2571322873</v>
      </c>
      <c r="S66" s="36"/>
    </row>
    <row r="67">
      <c r="A67" s="94" t="s">
        <v>50</v>
      </c>
      <c r="B67" s="91" t="s">
        <v>26</v>
      </c>
      <c r="C67" s="22">
        <f>SUMIF($B$29:$B$31, "=F",C29:C31)/C54 + SUMIF($B$29:$B$31, "=E",C29:C31) + SUMIF($B$29:$B$31, "=D",C29:C31)/C55</f>
        <v>0</v>
      </c>
      <c r="D67" s="113">
        <f t="shared" ref="D67:O67" si="48">SUMIF($B$29:$B$31, "=M",D29:D31)/D54 + SUMIF($B$29:$B$31, "=E",D29:D31) + SUMIF($B$29:$B$31, "=D",D29:D31)/D55</f>
        <v>0</v>
      </c>
      <c r="E67" s="113">
        <f t="shared" si="48"/>
        <v>0</v>
      </c>
      <c r="F67" s="113">
        <f t="shared" si="48"/>
        <v>0</v>
      </c>
      <c r="G67" s="113">
        <f t="shared" si="48"/>
        <v>0</v>
      </c>
      <c r="H67" s="113">
        <f t="shared" si="48"/>
        <v>0</v>
      </c>
      <c r="I67" s="113">
        <f t="shared" si="48"/>
        <v>0</v>
      </c>
      <c r="J67" s="113">
        <f t="shared" si="48"/>
        <v>0</v>
      </c>
      <c r="K67" s="113">
        <f t="shared" si="48"/>
        <v>0</v>
      </c>
      <c r="L67" s="113">
        <f t="shared" si="48"/>
        <v>0</v>
      </c>
      <c r="M67" s="113">
        <f t="shared" si="48"/>
        <v>0</v>
      </c>
      <c r="N67" s="113">
        <f t="shared" si="48"/>
        <v>0</v>
      </c>
      <c r="O67" s="113">
        <f t="shared" si="48"/>
        <v>0</v>
      </c>
      <c r="P67" s="22">
        <f t="shared" si="43"/>
        <v>0</v>
      </c>
      <c r="Q67" s="98" t="str">
        <f t="shared" si="44"/>
        <v>#DIV/0!</v>
      </c>
      <c r="R67" s="99" t="str">
        <f t="shared" si="45"/>
        <v>#DIV/0!</v>
      </c>
      <c r="S67" s="36"/>
    </row>
    <row r="68">
      <c r="A68" s="94" t="s">
        <v>52</v>
      </c>
      <c r="B68" s="91" t="s">
        <v>26</v>
      </c>
      <c r="C68" s="22">
        <f>SUMIF($B$31:$B$34, "=F",C31:C34)/C54 + SUMIF($B$31:$B$34, "=E",C31:C34) + SUMIF($B$31:$B$34, "=D",C31:C34)/C55</f>
        <v>-921.38</v>
      </c>
      <c r="D68" s="113">
        <f t="shared" ref="D68:O68" si="49">SUMIF($B$31:$B$34, "=M",D31:D34)/D54 + SUMIF($B$31:$B$34, "=E",D31:D34) + SUMIF($B$31:$B$34, "=D",D31:D34)/D55</f>
        <v>-1129</v>
      </c>
      <c r="E68" s="113">
        <f t="shared" si="49"/>
        <v>-871</v>
      </c>
      <c r="F68" s="113">
        <f t="shared" si="49"/>
        <v>-871</v>
      </c>
      <c r="G68" s="113">
        <f t="shared" si="49"/>
        <v>-600.39</v>
      </c>
      <c r="H68" s="113">
        <f t="shared" si="49"/>
        <v>-1026.42</v>
      </c>
      <c r="I68" s="113">
        <f t="shared" si="49"/>
        <v>-850.42</v>
      </c>
      <c r="J68" s="113">
        <f t="shared" si="49"/>
        <v>-646</v>
      </c>
      <c r="K68" s="113">
        <f t="shared" si="49"/>
        <v>-1201.99</v>
      </c>
      <c r="L68" s="113">
        <f t="shared" si="49"/>
        <v>-436</v>
      </c>
      <c r="M68" s="113">
        <f t="shared" si="49"/>
        <v>-484.71</v>
      </c>
      <c r="N68" s="113">
        <f t="shared" si="49"/>
        <v>-1086.94</v>
      </c>
      <c r="O68" s="113">
        <f t="shared" si="49"/>
        <v>-328.73</v>
      </c>
      <c r="P68" s="22">
        <f t="shared" si="43"/>
        <v>-328.73</v>
      </c>
      <c r="Q68" s="98">
        <f t="shared" si="44"/>
        <v>-0.6432199527</v>
      </c>
      <c r="R68" s="99">
        <f t="shared" si="45"/>
        <v>-0.697563803</v>
      </c>
      <c r="S68" s="36"/>
    </row>
    <row r="69">
      <c r="A69" s="94" t="s">
        <v>55</v>
      </c>
      <c r="B69" s="91" t="s">
        <v>26</v>
      </c>
      <c r="C69" s="22">
        <f>SUMIF($B$34:$B$36, "=F",C34:C36)/C54 + SUMIF($B$34:$B$36, "=E",C34:C36) + SUMIF($B$34:$B$36, "=D",C34:C36)/C55</f>
        <v>0</v>
      </c>
      <c r="D69" s="113">
        <f t="shared" ref="D69:O69" si="50">SUMIF($B$34:$B$36, "=M",D34:D36)/D54 + SUMIF($B$34:$B$36, "=E",D34:D36) + SUMIF($B$34:$B$36, "=D",D34:D36)/D55</f>
        <v>0</v>
      </c>
      <c r="E69" s="113">
        <f t="shared" si="50"/>
        <v>0</v>
      </c>
      <c r="F69" s="113">
        <f t="shared" si="50"/>
        <v>0</v>
      </c>
      <c r="G69" s="113">
        <f t="shared" si="50"/>
        <v>0</v>
      </c>
      <c r="H69" s="113">
        <f t="shared" si="50"/>
        <v>0</v>
      </c>
      <c r="I69" s="113">
        <f t="shared" si="50"/>
        <v>0</v>
      </c>
      <c r="J69" s="113">
        <f t="shared" si="50"/>
        <v>0</v>
      </c>
      <c r="K69" s="113">
        <f t="shared" si="50"/>
        <v>0</v>
      </c>
      <c r="L69" s="113">
        <f t="shared" si="50"/>
        <v>0</v>
      </c>
      <c r="M69" s="113">
        <f t="shared" si="50"/>
        <v>0</v>
      </c>
      <c r="N69" s="113">
        <f t="shared" si="50"/>
        <v>0</v>
      </c>
      <c r="O69" s="113">
        <f t="shared" si="50"/>
        <v>0</v>
      </c>
      <c r="P69" s="22">
        <f t="shared" si="43"/>
        <v>0</v>
      </c>
      <c r="Q69" s="102"/>
      <c r="R69" s="46"/>
      <c r="S69" s="36"/>
    </row>
    <row r="70">
      <c r="A70" s="54"/>
      <c r="B70" s="95"/>
      <c r="C70" s="22"/>
      <c r="D70" s="115"/>
      <c r="E70" s="116"/>
      <c r="F70" s="116"/>
      <c r="G70" s="116"/>
      <c r="H70" s="116"/>
      <c r="I70" s="103"/>
      <c r="J70" s="103"/>
      <c r="K70" s="103"/>
      <c r="L70" s="103"/>
      <c r="M70" s="103"/>
      <c r="N70" s="103"/>
      <c r="O70" s="103"/>
      <c r="P70" s="117"/>
      <c r="Q70" s="98"/>
      <c r="R70" s="106"/>
      <c r="S70" s="36"/>
    </row>
    <row r="71">
      <c r="A71" s="8" t="s">
        <v>79</v>
      </c>
      <c r="B71" s="9"/>
      <c r="C71" s="118"/>
      <c r="D71" s="118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8"/>
      <c r="Q71" s="10"/>
      <c r="R71" s="10"/>
      <c r="S71" s="10"/>
    </row>
    <row r="72">
      <c r="A72" s="120" t="s">
        <v>80</v>
      </c>
      <c r="B72" s="103"/>
      <c r="C72" s="103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17"/>
      <c r="R72" s="61"/>
      <c r="S72" s="36"/>
    </row>
    <row r="73">
      <c r="A73" s="39" t="s">
        <v>81</v>
      </c>
      <c r="B73" s="122" t="s">
        <v>26</v>
      </c>
      <c r="C73" s="103"/>
      <c r="D73" s="123">
        <v>1774.0</v>
      </c>
      <c r="E73" s="123">
        <v>1715.0</v>
      </c>
      <c r="F73" s="123">
        <v>1723.0</v>
      </c>
      <c r="G73" s="123">
        <f>1574+1664</f>
        <v>3238</v>
      </c>
      <c r="H73" s="123">
        <v>5590.21</v>
      </c>
      <c r="I73" s="123">
        <v>2173.0</v>
      </c>
      <c r="J73" s="123">
        <f>1199.24+899.93</f>
        <v>2099.17</v>
      </c>
      <c r="K73" s="123">
        <f>899.93+2265.15</f>
        <v>3165.08</v>
      </c>
      <c r="L73" s="123">
        <v>2257.0</v>
      </c>
      <c r="M73" s="123">
        <v>2265.15</v>
      </c>
      <c r="N73" s="123">
        <v>2257.35</v>
      </c>
      <c r="O73" s="123">
        <f>871.15+2763.96</f>
        <v>3635.11</v>
      </c>
      <c r="P73" s="117">
        <f>sum(D73:O73)</f>
        <v>31892.07</v>
      </c>
      <c r="R73" s="61">
        <f>P73/count(D73:O73)</f>
        <v>2657.6725</v>
      </c>
      <c r="S73" s="36"/>
    </row>
    <row r="74">
      <c r="A74" s="23" t="s">
        <v>82</v>
      </c>
      <c r="B74" s="103"/>
      <c r="C74" s="103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17"/>
      <c r="R74" s="61"/>
    </row>
    <row r="75">
      <c r="A75" s="27" t="s">
        <v>83</v>
      </c>
      <c r="B75" s="122" t="s">
        <v>26</v>
      </c>
      <c r="C75" s="10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7">
        <f t="shared" ref="P75:P79" si="51">sum(D75:O75)</f>
        <v>0</v>
      </c>
      <c r="R75" s="61" t="str">
        <f>P75/count(D75:O75)</f>
        <v>#DIV/0!</v>
      </c>
    </row>
    <row r="76">
      <c r="A76" s="39" t="s">
        <v>84</v>
      </c>
      <c r="B76" s="122" t="s">
        <v>26</v>
      </c>
      <c r="C76" s="10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17">
        <f t="shared" si="51"/>
        <v>0</v>
      </c>
      <c r="Q76" s="89"/>
      <c r="R76" s="124"/>
      <c r="S76" s="89"/>
    </row>
    <row r="77">
      <c r="A77" s="39" t="s">
        <v>85</v>
      </c>
      <c r="B77" s="122" t="s">
        <v>26</v>
      </c>
      <c r="C77" s="10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17">
        <f t="shared" si="51"/>
        <v>0</v>
      </c>
      <c r="Q77" s="89"/>
      <c r="R77" s="124"/>
      <c r="S77" s="89"/>
    </row>
    <row r="78">
      <c r="A78" s="27" t="s">
        <v>86</v>
      </c>
      <c r="B78" s="122" t="s">
        <v>26</v>
      </c>
      <c r="C78" s="10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7">
        <f t="shared" si="51"/>
        <v>0</v>
      </c>
      <c r="Q78" s="89"/>
      <c r="R78" s="124"/>
      <c r="S78" s="89"/>
    </row>
    <row r="79" ht="13.5" customHeight="1">
      <c r="A79" s="27" t="s">
        <v>52</v>
      </c>
      <c r="B79" s="122" t="s">
        <v>26</v>
      </c>
      <c r="C79" s="103"/>
      <c r="D79" s="125">
        <v>78.64</v>
      </c>
      <c r="E79" s="125">
        <f>227.5+313.34</f>
        <v>540.84</v>
      </c>
      <c r="F79" s="125">
        <v>157.0</v>
      </c>
      <c r="G79" s="125"/>
      <c r="H79" s="125"/>
      <c r="I79" s="125">
        <f>250+370</f>
        <v>620</v>
      </c>
      <c r="J79" s="125">
        <v>360.0</v>
      </c>
      <c r="K79" s="125">
        <v>270.0</v>
      </c>
      <c r="L79" s="125">
        <v>216.92</v>
      </c>
      <c r="M79" s="125">
        <v>120.0</v>
      </c>
      <c r="N79" s="125"/>
      <c r="O79" s="125"/>
      <c r="P79" s="117">
        <f t="shared" si="51"/>
        <v>2363.4</v>
      </c>
      <c r="Q79" s="89"/>
      <c r="R79" s="124"/>
      <c r="S79" s="89"/>
    </row>
    <row r="80">
      <c r="A80" s="23" t="s">
        <v>87</v>
      </c>
      <c r="B80" s="103"/>
      <c r="C80" s="103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17"/>
      <c r="R80" s="61"/>
    </row>
    <row r="81">
      <c r="A81" s="39" t="s">
        <v>88</v>
      </c>
      <c r="B81" s="126" t="s">
        <v>22</v>
      </c>
      <c r="C81" s="103"/>
      <c r="D81" s="121">
        <v>0.0</v>
      </c>
      <c r="E81" s="121">
        <v>0.0</v>
      </c>
      <c r="F81" s="121">
        <v>0.0</v>
      </c>
      <c r="G81" s="121">
        <v>0.0</v>
      </c>
      <c r="H81" s="121">
        <v>0.0</v>
      </c>
      <c r="I81" s="121">
        <v>0.0</v>
      </c>
      <c r="J81" s="121">
        <v>0.0</v>
      </c>
      <c r="K81" s="121">
        <v>0.0</v>
      </c>
      <c r="L81" s="121">
        <v>0.0</v>
      </c>
      <c r="M81" s="121">
        <v>0.0</v>
      </c>
      <c r="N81" s="123">
        <v>0.33</v>
      </c>
      <c r="O81" s="121">
        <v>0.0</v>
      </c>
      <c r="P81" s="117">
        <f>sum(D81:O81)</f>
        <v>0.33</v>
      </c>
      <c r="R81" s="61">
        <f>P81/count(D81:O81)</f>
        <v>0.0275</v>
      </c>
    </row>
    <row r="82">
      <c r="A82" s="27" t="s">
        <v>89</v>
      </c>
      <c r="B82" s="84" t="s">
        <v>26</v>
      </c>
      <c r="C82" s="103"/>
      <c r="D82" s="123">
        <v>0.0</v>
      </c>
      <c r="E82" s="123">
        <v>0.0</v>
      </c>
      <c r="F82" s="123">
        <v>0.0</v>
      </c>
      <c r="G82" s="123">
        <v>0.0</v>
      </c>
      <c r="H82" s="123">
        <v>0.0</v>
      </c>
      <c r="I82" s="123">
        <v>0.0</v>
      </c>
      <c r="J82" s="123">
        <v>0.0</v>
      </c>
      <c r="K82" s="123">
        <v>0.0</v>
      </c>
      <c r="L82" s="123">
        <v>0.0</v>
      </c>
      <c r="M82" s="123">
        <v>0.0</v>
      </c>
      <c r="N82" s="123">
        <v>0.0</v>
      </c>
      <c r="O82" s="123">
        <v>0.0</v>
      </c>
      <c r="P82" s="117"/>
      <c r="R82" s="61"/>
    </row>
    <row r="83">
      <c r="A83" s="39"/>
      <c r="B83" s="103"/>
      <c r="C83" s="103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02"/>
      <c r="R83" s="128"/>
      <c r="S83" s="128"/>
    </row>
    <row r="84">
      <c r="A84" s="39" t="s">
        <v>90</v>
      </c>
      <c r="B84" s="122" t="s">
        <v>26</v>
      </c>
      <c r="C84" s="89"/>
      <c r="D84" s="121">
        <f t="shared" ref="D84:O84" si="52">(SUMIF($B$73:$B$83, "=E",D73:D83)) +SUMIF($B$73:$B$83, "=M",D73:D83)*D54 +SUMIF($B$73:$B$83, "=D",D73:D83)*D55</f>
        <v>1852.64</v>
      </c>
      <c r="E84" s="121">
        <f t="shared" si="52"/>
        <v>2255.84</v>
      </c>
      <c r="F84" s="121">
        <f t="shared" si="52"/>
        <v>1880</v>
      </c>
      <c r="G84" s="121">
        <f t="shared" si="52"/>
        <v>3238</v>
      </c>
      <c r="H84" s="121">
        <f t="shared" si="52"/>
        <v>5590.21</v>
      </c>
      <c r="I84" s="121">
        <f t="shared" si="52"/>
        <v>2793</v>
      </c>
      <c r="J84" s="121">
        <f t="shared" si="52"/>
        <v>2459.17</v>
      </c>
      <c r="K84" s="121">
        <f t="shared" si="52"/>
        <v>3435.08</v>
      </c>
      <c r="L84" s="121">
        <f t="shared" si="52"/>
        <v>2473.92</v>
      </c>
      <c r="M84" s="121">
        <f t="shared" si="52"/>
        <v>2385.15</v>
      </c>
      <c r="N84" s="121">
        <f t="shared" si="52"/>
        <v>2257.709299</v>
      </c>
      <c r="O84" s="121">
        <f t="shared" si="52"/>
        <v>3635.11</v>
      </c>
      <c r="P84" s="129">
        <f t="shared" ref="P84:P85" si="53">sum(D84:O84)</f>
        <v>34255.8293</v>
      </c>
      <c r="Q84" s="130"/>
      <c r="R84" s="61">
        <f t="shared" ref="R84:R86" si="54">P84/count(D84:O84)</f>
        <v>2854.652442</v>
      </c>
      <c r="S84" s="61">
        <f t="shared" ref="S84:S86" si="55">12*R84</f>
        <v>34255.8293</v>
      </c>
    </row>
    <row r="85">
      <c r="A85" s="94" t="s">
        <v>91</v>
      </c>
      <c r="B85" s="122" t="s">
        <v>26</v>
      </c>
      <c r="C85" s="111"/>
      <c r="D85" s="131">
        <f>IFERROR(__xludf.DUMMYFUNCTION("IMPORTRANGE(""https://docs.google.com/spreadsheets/d/1XryBLk_O1ktEJvbUdIeFlUqVhVMWKuQ3iwr0stjHxBc/edit?usp=sharing"", D1&amp;""!H2"")"),2876.89)</f>
        <v>2876.89</v>
      </c>
      <c r="E85" s="131">
        <f>IFERROR(__xludf.DUMMYFUNCTION("IMPORTRANGE(""https://docs.google.com/spreadsheets/d/1XryBLk_O1ktEJvbUdIeFlUqVhVMWKuQ3iwr0stjHxBc/edit?usp=sharing"", E1&amp;""!H2"")"),2022.1999999999998)</f>
        <v>2022.2</v>
      </c>
      <c r="F85" s="131">
        <f>IFERROR(__xludf.DUMMYFUNCTION("IMPORTRANGE(""https://docs.google.com/spreadsheets/d/1XryBLk_O1ktEJvbUdIeFlUqVhVMWKuQ3iwr0stjHxBc/edit?usp=sharing"", F1&amp;""!H2"")"),2526.7799999999993)</f>
        <v>2526.78</v>
      </c>
      <c r="G85" s="131">
        <f>IFERROR(__xludf.DUMMYFUNCTION("IMPORTRANGE(""https://docs.google.com/spreadsheets/d/1XryBLk_O1ktEJvbUdIeFlUqVhVMWKuQ3iwr0stjHxBc/edit?usp=sharing"", G1&amp;""!H2"")"),2237.029999999999)</f>
        <v>2237.03</v>
      </c>
      <c r="H85" s="131">
        <f>IFERROR(__xludf.DUMMYFUNCTION("IMPORTRANGE(""https://docs.google.com/spreadsheets/d/1XryBLk_O1ktEJvbUdIeFlUqVhVMWKuQ3iwr0stjHxBc/edit?usp=sharing"", H1&amp;""!H2"")"),2320.709999999999)</f>
        <v>2320.71</v>
      </c>
      <c r="I85" s="131">
        <f>IFERROR(__xludf.DUMMYFUNCTION("IMPORTRANGE(""https://docs.google.com/spreadsheets/d/1XryBLk_O1ktEJvbUdIeFlUqVhVMWKuQ3iwr0stjHxBc/edit?usp=sharing"", I1&amp;""!H2"")"),3206.809999999999)</f>
        <v>3206.81</v>
      </c>
      <c r="J85" s="131">
        <f>IFERROR(__xludf.DUMMYFUNCTION("IMPORTRANGE(""https://docs.google.com/spreadsheets/d/1XryBLk_O1ktEJvbUdIeFlUqVhVMWKuQ3iwr0stjHxBc/edit?usp=sharing"", J1&amp;""!H2"")"),2921.2099999999978)</f>
        <v>2921.21</v>
      </c>
      <c r="K85" s="131">
        <f>IFERROR(__xludf.DUMMYFUNCTION("IMPORTRANGE(""https://docs.google.com/spreadsheets/d/1XryBLk_O1ktEJvbUdIeFlUqVhVMWKuQ3iwr0stjHxBc/edit?usp=sharing"", K1&amp;""!H2"")"),4428.289999999998)</f>
        <v>4428.29</v>
      </c>
      <c r="L85" s="131">
        <f>IFERROR(__xludf.DUMMYFUNCTION("IMPORTRANGE(""https://docs.google.com/spreadsheets/d/1XryBLk_O1ktEJvbUdIeFlUqVhVMWKuQ3iwr0stjHxBc/edit?usp=sharing"", L1&amp;""!H2"")"),1724.8700000000003)</f>
        <v>1724.87</v>
      </c>
      <c r="M85" s="131">
        <f>IFERROR(__xludf.DUMMYFUNCTION("IMPORTRANGE(""https://docs.google.com/spreadsheets/d/1XryBLk_O1ktEJvbUdIeFlUqVhVMWKuQ3iwr0stjHxBc/edit?usp=sharing"", M1&amp;""!H2"")"),2130.54)</f>
        <v>2130.54</v>
      </c>
      <c r="N85" s="131">
        <f>IFERROR(__xludf.DUMMYFUNCTION("IMPORTRANGE(""https://docs.google.com/spreadsheets/d/1XryBLk_O1ktEJvbUdIeFlUqVhVMWKuQ3iwr0stjHxBc/edit?usp=sharing"", N1&amp;""!H2"")"),2740.4999999999995)</f>
        <v>2740.5</v>
      </c>
      <c r="O85" s="131">
        <f>IFERROR(__xludf.DUMMYFUNCTION("IMPORTRANGE(""https://docs.google.com/spreadsheets/d/1XryBLk_O1ktEJvbUdIeFlUqVhVMWKuQ3iwr0stjHxBc/edit?usp=sharing"", O1&amp;""!H2"")"),1669.38)</f>
        <v>1669.38</v>
      </c>
      <c r="P85" s="129">
        <f t="shared" si="53"/>
        <v>30805.21</v>
      </c>
      <c r="Q85" s="130"/>
      <c r="R85" s="61">
        <f t="shared" si="54"/>
        <v>2567.100833</v>
      </c>
      <c r="S85" s="61">
        <f t="shared" si="55"/>
        <v>30805.21</v>
      </c>
    </row>
    <row r="86">
      <c r="A86" s="94" t="s">
        <v>92</v>
      </c>
      <c r="B86" s="122" t="s">
        <v>26</v>
      </c>
      <c r="C86" s="111"/>
      <c r="D86" s="131">
        <f t="shared" ref="D86:P86" si="56">D84-D85</f>
        <v>-1024.25</v>
      </c>
      <c r="E86" s="131">
        <f t="shared" si="56"/>
        <v>233.64</v>
      </c>
      <c r="F86" s="131">
        <f t="shared" si="56"/>
        <v>-646.78</v>
      </c>
      <c r="G86" s="131">
        <f t="shared" si="56"/>
        <v>1000.97</v>
      </c>
      <c r="H86" s="131">
        <f t="shared" si="56"/>
        <v>3269.5</v>
      </c>
      <c r="I86" s="131">
        <f t="shared" si="56"/>
        <v>-413.81</v>
      </c>
      <c r="J86" s="131">
        <f t="shared" si="56"/>
        <v>-462.04</v>
      </c>
      <c r="K86" s="131">
        <f t="shared" si="56"/>
        <v>-993.21</v>
      </c>
      <c r="L86" s="131">
        <f t="shared" si="56"/>
        <v>749.05</v>
      </c>
      <c r="M86" s="131">
        <f t="shared" si="56"/>
        <v>254.61</v>
      </c>
      <c r="N86" s="131">
        <f t="shared" si="56"/>
        <v>-482.790701</v>
      </c>
      <c r="O86" s="131">
        <f t="shared" si="56"/>
        <v>1965.73</v>
      </c>
      <c r="P86" s="129">
        <f t="shared" si="56"/>
        <v>3450.619299</v>
      </c>
      <c r="Q86" s="130"/>
      <c r="R86" s="61">
        <f t="shared" si="54"/>
        <v>287.5516083</v>
      </c>
      <c r="S86" s="61">
        <f t="shared" si="55"/>
        <v>3450.619299</v>
      </c>
    </row>
    <row r="87">
      <c r="A87" s="94" t="s">
        <v>93</v>
      </c>
      <c r="B87" s="122" t="s">
        <v>26</v>
      </c>
      <c r="C87" s="111"/>
      <c r="D87" s="132">
        <f t="shared" ref="D87:P87" si="57">D86/D84</f>
        <v>-0.5528597029</v>
      </c>
      <c r="E87" s="132">
        <f t="shared" si="57"/>
        <v>0.1035711753</v>
      </c>
      <c r="F87" s="132">
        <f t="shared" si="57"/>
        <v>-0.3440319149</v>
      </c>
      <c r="G87" s="132">
        <f t="shared" si="57"/>
        <v>0.3091321804</v>
      </c>
      <c r="H87" s="132">
        <f t="shared" si="57"/>
        <v>0.5848617494</v>
      </c>
      <c r="I87" s="132">
        <f t="shared" si="57"/>
        <v>-0.1481596849</v>
      </c>
      <c r="J87" s="132">
        <f t="shared" si="57"/>
        <v>-0.1878845301</v>
      </c>
      <c r="K87" s="132">
        <f t="shared" si="57"/>
        <v>-0.2891373709</v>
      </c>
      <c r="L87" s="132">
        <f t="shared" si="57"/>
        <v>0.3027785862</v>
      </c>
      <c r="M87" s="132">
        <f t="shared" si="57"/>
        <v>0.1067480033</v>
      </c>
      <c r="N87" s="132">
        <f t="shared" si="57"/>
        <v>-0.2138409498</v>
      </c>
      <c r="O87" s="132">
        <f t="shared" si="57"/>
        <v>0.5407621778</v>
      </c>
      <c r="P87" s="133">
        <f t="shared" si="57"/>
        <v>0.1007308645</v>
      </c>
      <c r="Q87" s="134"/>
      <c r="R87" s="61"/>
      <c r="S87" s="61"/>
    </row>
    <row r="88">
      <c r="A88" s="54"/>
      <c r="B88" s="95"/>
      <c r="C88" s="111"/>
      <c r="D88" s="135"/>
      <c r="E88" s="103"/>
      <c r="F88" s="135"/>
      <c r="G88" s="135"/>
      <c r="H88" s="103"/>
      <c r="I88" s="103"/>
      <c r="J88" s="103"/>
      <c r="K88" s="103"/>
      <c r="L88" s="103"/>
      <c r="M88" s="103"/>
      <c r="N88" s="103"/>
      <c r="O88" s="103"/>
      <c r="P88" s="102"/>
      <c r="Q88" s="102"/>
      <c r="R88" s="102"/>
      <c r="S88" s="102"/>
    </row>
    <row r="89">
      <c r="A89" s="8" t="s">
        <v>94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36" t="s">
        <v>95</v>
      </c>
      <c r="B90" s="137"/>
      <c r="C90" s="138"/>
      <c r="D90" s="139">
        <v>2023.0</v>
      </c>
      <c r="E90" s="138"/>
      <c r="H90" s="135"/>
      <c r="I90" s="135"/>
      <c r="J90" s="135"/>
      <c r="K90" s="135"/>
      <c r="L90" s="135"/>
      <c r="M90" s="135"/>
      <c r="N90" s="135"/>
      <c r="O90" s="135"/>
      <c r="P90" s="102"/>
      <c r="Q90" s="102"/>
      <c r="R90" s="102"/>
      <c r="S90" s="102"/>
    </row>
    <row r="91">
      <c r="B91" s="137"/>
      <c r="C91" s="138"/>
      <c r="D91" s="140"/>
      <c r="E91" s="138"/>
      <c r="H91" s="135"/>
      <c r="I91" s="135"/>
      <c r="J91" s="135"/>
      <c r="K91" s="135"/>
      <c r="L91" s="135"/>
      <c r="M91" s="135"/>
      <c r="N91" s="135"/>
      <c r="O91" s="135"/>
      <c r="P91" s="102"/>
      <c r="Q91" s="102"/>
      <c r="R91" s="102"/>
      <c r="S91" s="102"/>
    </row>
    <row r="92">
      <c r="B92" s="137"/>
      <c r="C92" s="138"/>
      <c r="D92" s="140"/>
      <c r="E92" s="138"/>
      <c r="H92" s="135"/>
      <c r="I92" s="135"/>
      <c r="J92" s="135"/>
      <c r="K92" s="135"/>
      <c r="L92" s="135"/>
      <c r="M92" s="135"/>
      <c r="N92" s="135"/>
      <c r="O92" s="135"/>
      <c r="P92" s="102"/>
      <c r="Q92" s="102"/>
      <c r="R92" s="102"/>
      <c r="S92" s="102"/>
    </row>
    <row r="93">
      <c r="A93" s="136" t="s">
        <v>96</v>
      </c>
      <c r="B93" s="137"/>
      <c r="C93" s="138"/>
      <c r="D93" s="141">
        <v>1.0</v>
      </c>
      <c r="E93" s="141">
        <v>2.0</v>
      </c>
      <c r="F93" s="142">
        <v>3.0</v>
      </c>
      <c r="G93" s="142">
        <v>3.0</v>
      </c>
      <c r="H93" s="115">
        <v>5.0</v>
      </c>
      <c r="I93" s="115">
        <v>6.0</v>
      </c>
      <c r="J93" s="115">
        <v>7.0</v>
      </c>
      <c r="K93" s="115">
        <v>8.0</v>
      </c>
      <c r="L93" s="115">
        <v>9.0</v>
      </c>
      <c r="M93" s="115">
        <v>10.0</v>
      </c>
      <c r="N93" s="115">
        <v>11.0</v>
      </c>
      <c r="O93" s="115">
        <v>12.0</v>
      </c>
      <c r="P93" s="102"/>
      <c r="Q93" s="102"/>
      <c r="R93" s="102"/>
      <c r="S93" s="102"/>
    </row>
    <row r="94">
      <c r="B94" s="137"/>
      <c r="C94" s="138"/>
      <c r="D94" s="140"/>
      <c r="E94" s="138"/>
      <c r="H94" s="135"/>
      <c r="I94" s="135"/>
      <c r="J94" s="135"/>
      <c r="K94" s="135"/>
      <c r="L94" s="135"/>
      <c r="M94" s="135"/>
      <c r="N94" s="135"/>
      <c r="O94" s="135"/>
      <c r="P94" s="102"/>
      <c r="Q94" s="102"/>
      <c r="R94" s="102"/>
      <c r="S94" s="102"/>
    </row>
    <row r="95">
      <c r="B95" s="137"/>
      <c r="C95" s="138"/>
      <c r="D95" s="140"/>
      <c r="E95" s="138"/>
      <c r="H95" s="135"/>
      <c r="I95" s="135"/>
      <c r="J95" s="135"/>
      <c r="K95" s="135"/>
      <c r="L95" s="135"/>
      <c r="M95" s="135"/>
      <c r="N95" s="135"/>
      <c r="O95" s="135"/>
      <c r="P95" s="102"/>
      <c r="Q95" s="102"/>
      <c r="R95" s="102"/>
      <c r="S95" s="102"/>
    </row>
    <row r="96">
      <c r="B96" s="137"/>
      <c r="C96" s="138"/>
      <c r="D96" s="140"/>
      <c r="E96" s="138"/>
      <c r="H96" s="135"/>
      <c r="I96" s="135"/>
      <c r="J96" s="135"/>
      <c r="K96" s="135"/>
      <c r="L96" s="135"/>
      <c r="M96" s="135"/>
      <c r="N96" s="135"/>
      <c r="O96" s="135"/>
      <c r="P96" s="102"/>
      <c r="Q96" s="102"/>
      <c r="R96" s="102"/>
      <c r="S96" s="102"/>
    </row>
    <row r="97">
      <c r="B97" s="137"/>
      <c r="C97" s="138"/>
      <c r="D97" s="140"/>
      <c r="E97" s="138"/>
      <c r="H97" s="135"/>
      <c r="I97" s="135"/>
      <c r="J97" s="135"/>
      <c r="K97" s="135"/>
      <c r="L97" s="135"/>
      <c r="M97" s="135"/>
      <c r="N97" s="135"/>
      <c r="O97" s="135"/>
      <c r="P97" s="102"/>
      <c r="Q97" s="102"/>
      <c r="R97" s="102"/>
      <c r="S97" s="102"/>
    </row>
    <row r="98">
      <c r="B98" s="137"/>
      <c r="C98" s="138"/>
      <c r="D98" s="140"/>
      <c r="E98" s="138"/>
      <c r="H98" s="135"/>
      <c r="I98" s="135"/>
      <c r="J98" s="135"/>
      <c r="K98" s="135"/>
      <c r="L98" s="135"/>
      <c r="M98" s="135"/>
      <c r="N98" s="135"/>
      <c r="O98" s="135"/>
      <c r="P98" s="102"/>
      <c r="Q98" s="102"/>
      <c r="R98" s="102"/>
      <c r="S98" s="102"/>
    </row>
    <row r="99">
      <c r="B99" s="137"/>
      <c r="C99" s="138"/>
      <c r="D99" s="140"/>
      <c r="E99" s="138"/>
      <c r="H99" s="135"/>
      <c r="I99" s="135"/>
      <c r="J99" s="135"/>
      <c r="K99" s="135"/>
      <c r="L99" s="135"/>
      <c r="M99" s="135"/>
      <c r="N99" s="135"/>
      <c r="O99" s="135"/>
      <c r="P99" s="102"/>
      <c r="Q99" s="102"/>
      <c r="R99" s="102"/>
      <c r="S99" s="102"/>
    </row>
    <row r="100">
      <c r="B100" s="137"/>
      <c r="C100" s="138"/>
      <c r="D100" s="140"/>
      <c r="E100" s="138"/>
      <c r="H100" s="135"/>
      <c r="I100" s="143"/>
      <c r="J100" s="135"/>
      <c r="K100" s="135"/>
      <c r="L100" s="135"/>
      <c r="M100" s="135"/>
      <c r="N100" s="135"/>
      <c r="O100" s="135"/>
      <c r="P100" s="102"/>
      <c r="Q100" s="102"/>
      <c r="R100" s="102"/>
      <c r="S100" s="102"/>
    </row>
    <row r="101">
      <c r="B101" s="137"/>
      <c r="C101" s="138"/>
      <c r="D101" s="140"/>
      <c r="E101" s="138"/>
      <c r="H101" s="135"/>
      <c r="I101" s="144"/>
      <c r="J101" s="135"/>
      <c r="K101" s="135"/>
      <c r="L101" s="135"/>
      <c r="M101" s="135"/>
      <c r="N101" s="135"/>
      <c r="O101" s="135"/>
      <c r="P101" s="102"/>
      <c r="Q101" s="102"/>
      <c r="R101" s="102"/>
      <c r="S101" s="102"/>
    </row>
    <row r="102">
      <c r="B102" s="137"/>
      <c r="C102" s="138"/>
      <c r="D102" s="140"/>
      <c r="E102" s="138"/>
      <c r="H102" s="135"/>
      <c r="I102" s="135"/>
      <c r="J102" s="135"/>
      <c r="K102" s="135"/>
      <c r="L102" s="135"/>
      <c r="M102" s="135"/>
      <c r="N102" s="135"/>
      <c r="O102" s="135"/>
      <c r="P102" s="102"/>
      <c r="Q102" s="102"/>
      <c r="R102" s="102"/>
      <c r="S102" s="102"/>
    </row>
    <row r="103">
      <c r="B103" s="137"/>
      <c r="C103" s="138"/>
      <c r="D103" s="140"/>
      <c r="E103" s="138"/>
      <c r="H103" s="135"/>
      <c r="I103" s="135"/>
      <c r="J103" s="135"/>
      <c r="K103" s="135"/>
      <c r="L103" s="135"/>
      <c r="M103" s="135"/>
      <c r="N103" s="135"/>
      <c r="O103" s="135"/>
      <c r="P103" s="102"/>
      <c r="Q103" s="102"/>
      <c r="R103" s="102"/>
      <c r="S103" s="102"/>
    </row>
    <row r="104">
      <c r="B104" s="137"/>
      <c r="C104" s="138"/>
      <c r="D104" s="140"/>
      <c r="E104" s="138"/>
      <c r="H104" s="135"/>
      <c r="I104" s="135"/>
      <c r="J104" s="135"/>
      <c r="K104" s="135"/>
      <c r="L104" s="135"/>
      <c r="M104" s="135"/>
      <c r="N104" s="135"/>
      <c r="O104" s="135"/>
      <c r="P104" s="102"/>
      <c r="Q104" s="102"/>
      <c r="R104" s="102"/>
      <c r="S104" s="102"/>
    </row>
    <row r="105">
      <c r="B105" s="137"/>
      <c r="C105" s="138"/>
      <c r="D105" s="140"/>
      <c r="E105" s="138"/>
      <c r="H105" s="135"/>
      <c r="I105" s="135"/>
      <c r="J105" s="135"/>
      <c r="K105" s="135"/>
      <c r="L105" s="135"/>
      <c r="M105" s="135"/>
      <c r="N105" s="135"/>
      <c r="O105" s="135"/>
      <c r="P105" s="102"/>
      <c r="Q105" s="102"/>
      <c r="R105" s="102"/>
      <c r="S105" s="102"/>
    </row>
    <row r="106">
      <c r="B106" s="137"/>
      <c r="C106" s="138"/>
      <c r="D106" s="138"/>
      <c r="E106" s="138"/>
      <c r="H106" s="135"/>
      <c r="I106" s="135"/>
      <c r="J106" s="135"/>
      <c r="K106" s="135"/>
      <c r="L106" s="135"/>
      <c r="M106" s="135"/>
      <c r="N106" s="135"/>
      <c r="O106" s="135"/>
      <c r="P106" s="102"/>
      <c r="Q106" s="102"/>
      <c r="R106" s="102"/>
      <c r="S106" s="102"/>
    </row>
  </sheetData>
  <conditionalFormatting sqref="B1:B106">
    <cfRule type="cellIs" dxfId="0" priority="1" operator="equal">
      <formula>"E"</formula>
    </cfRule>
  </conditionalFormatting>
  <conditionalFormatting sqref="B1:B106">
    <cfRule type="cellIs" dxfId="1" priority="2" operator="equal">
      <formula>"F"</formula>
    </cfRule>
  </conditionalFormatting>
  <conditionalFormatting sqref="B1:B106">
    <cfRule type="cellIs" dxfId="2" priority="3" operator="equal">
      <formula>"D"</formula>
    </cfRule>
  </conditionalFormatting>
  <conditionalFormatting sqref="D51:O52 D54:O61 P59:P60">
    <cfRule type="expression" dxfId="3" priority="4">
      <formula>C51="-"</formula>
    </cfRule>
  </conditionalFormatting>
  <conditionalFormatting sqref="D51:O52 D54:O61 P59:P60">
    <cfRule type="cellIs" dxfId="4" priority="5" operator="lessThan">
      <formula>C51</formula>
    </cfRule>
  </conditionalFormatting>
  <conditionalFormatting sqref="D51:O52 D54:O61 P59:P60">
    <cfRule type="cellIs" dxfId="5" priority="6" operator="greaterThan">
      <formula>C51</formula>
    </cfRule>
  </conditionalFormatting>
  <conditionalFormatting sqref="Q51:R52 Q54:R56 Q58:Q60 Q63:R68 Q70">
    <cfRule type="cellIs" dxfId="0" priority="7" operator="greaterThan">
      <formula>0</formula>
    </cfRule>
  </conditionalFormatting>
  <conditionalFormatting sqref="Q51:R52 Q54:R56 Q58:Q60 Q63:R68 Q70">
    <cfRule type="cellIs" dxfId="2" priority="8" operator="lessThanOrEqual">
      <formula>0</formula>
    </cfRule>
  </conditionalFormatting>
  <conditionalFormatting sqref="D38:O38 D41:O41 D44:O44 F47:O47">
    <cfRule type="cellIs" dxfId="0" priority="9" operator="greaterThan">
      <formula>0</formula>
    </cfRule>
  </conditionalFormatting>
  <conditionalFormatting sqref="D38:O38 D41:O41 D44:O44 F47:O47">
    <cfRule type="cellIs" dxfId="4" priority="10" operator="lessThanOrEqual">
      <formula>0</formula>
    </cfRule>
  </conditionalFormatting>
  <hyperlinks>
    <hyperlink r:id="rId2" ref="Q1"/>
  </hyperlinks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21.38"/>
    <col customWidth="1" min="2" max="2" width="4.63"/>
    <col customWidth="1" min="3" max="16" width="8.25"/>
    <col customWidth="1" min="17" max="17" width="8.0"/>
    <col customWidth="1" min="18" max="18" width="6.75"/>
    <col customWidth="1" min="19" max="19" width="7.5"/>
  </cols>
  <sheetData>
    <row r="1" ht="17.25" customHeight="1">
      <c r="A1" s="1" t="s">
        <v>0</v>
      </c>
      <c r="B1" s="2" t="s">
        <v>1</v>
      </c>
      <c r="C1" s="3" t="s">
        <v>153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150</v>
      </c>
      <c r="Q1" s="194" t="s">
        <v>151</v>
      </c>
      <c r="R1" s="7" t="s">
        <v>17</v>
      </c>
      <c r="S1" s="7" t="s">
        <v>18</v>
      </c>
    </row>
    <row r="2">
      <c r="A2" s="8" t="s">
        <v>19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1"/>
    </row>
    <row r="3">
      <c r="A3" s="12" t="s">
        <v>20</v>
      </c>
      <c r="B3" s="13"/>
      <c r="C3" s="14"/>
      <c r="D3" s="15"/>
      <c r="E3" s="15"/>
      <c r="F3" s="15"/>
      <c r="G3" s="15"/>
      <c r="H3" s="15"/>
      <c r="I3" s="16"/>
      <c r="J3" s="16"/>
      <c r="K3" s="16"/>
      <c r="L3" s="16"/>
      <c r="M3" s="16"/>
      <c r="N3" s="16"/>
      <c r="O3" s="16"/>
      <c r="P3" s="14"/>
      <c r="Q3" s="14"/>
      <c r="R3" s="17"/>
      <c r="S3" s="17"/>
    </row>
    <row r="4">
      <c r="A4" s="18" t="s">
        <v>21</v>
      </c>
      <c r="B4" s="19" t="s">
        <v>22</v>
      </c>
      <c r="C4" s="20">
        <v>0.0</v>
      </c>
      <c r="D4" s="21">
        <f t="shared" ref="D4:N4" si="1">D52*1</f>
        <v>103.93</v>
      </c>
      <c r="E4" s="21">
        <f t="shared" si="1"/>
        <v>99.61</v>
      </c>
      <c r="F4" s="21">
        <f t="shared" si="1"/>
        <v>102.77</v>
      </c>
      <c r="G4" s="21">
        <f t="shared" si="1"/>
        <v>93.09</v>
      </c>
      <c r="H4" s="21">
        <f t="shared" si="1"/>
        <v>93.55</v>
      </c>
      <c r="I4" s="21">
        <f t="shared" si="1"/>
        <v>91.3</v>
      </c>
      <c r="J4" s="21">
        <f t="shared" si="1"/>
        <v>91.3</v>
      </c>
      <c r="K4" s="21">
        <f t="shared" si="1"/>
        <v>97.23</v>
      </c>
      <c r="L4" s="21">
        <f t="shared" si="1"/>
        <v>80.25</v>
      </c>
      <c r="M4" s="21">
        <f t="shared" si="1"/>
        <v>84.08</v>
      </c>
      <c r="N4" s="21">
        <f t="shared" si="1"/>
        <v>90.86</v>
      </c>
      <c r="O4" s="21">
        <f>O52*3</f>
        <v>258.57</v>
      </c>
      <c r="P4" s="22">
        <f t="shared" ref="P4:P5" si="3">index(D4:O4,1,counta(D4:O4))</f>
        <v>258.57</v>
      </c>
      <c r="Q4" s="14"/>
      <c r="R4" s="17"/>
      <c r="S4" s="17"/>
    </row>
    <row r="5">
      <c r="A5" s="18" t="s">
        <v>23</v>
      </c>
      <c r="B5" s="19" t="s">
        <v>22</v>
      </c>
      <c r="C5" s="20">
        <v>0.0</v>
      </c>
      <c r="D5" s="21">
        <v>0.0</v>
      </c>
      <c r="E5" s="21">
        <v>0.0</v>
      </c>
      <c r="F5" s="21">
        <f t="shared" ref="F5:N5" si="2">F53*1</f>
        <v>11.77</v>
      </c>
      <c r="G5" s="21">
        <f t="shared" si="2"/>
        <v>10.49</v>
      </c>
      <c r="H5" s="21">
        <f t="shared" si="2"/>
        <v>10.67</v>
      </c>
      <c r="I5" s="21">
        <f t="shared" si="2"/>
        <v>12.39</v>
      </c>
      <c r="J5" s="21">
        <f t="shared" si="2"/>
        <v>12.39</v>
      </c>
      <c r="K5" s="21">
        <f t="shared" si="2"/>
        <v>12.63</v>
      </c>
      <c r="L5" s="21">
        <f t="shared" si="2"/>
        <v>10.97</v>
      </c>
      <c r="M5" s="21">
        <f t="shared" si="2"/>
        <v>11.06</v>
      </c>
      <c r="N5" s="21">
        <f t="shared" si="2"/>
        <v>11.43</v>
      </c>
      <c r="O5" s="21">
        <f>O53*7</f>
        <v>74.27</v>
      </c>
      <c r="P5" s="22">
        <f t="shared" si="3"/>
        <v>74.27</v>
      </c>
      <c r="Q5" s="14"/>
      <c r="R5" s="17"/>
      <c r="S5" s="17"/>
    </row>
    <row r="6">
      <c r="A6" s="23" t="s">
        <v>24</v>
      </c>
      <c r="B6" s="24"/>
      <c r="C6" s="116"/>
      <c r="D6" s="195"/>
      <c r="E6" s="195"/>
      <c r="F6" s="195"/>
      <c r="G6" s="195"/>
      <c r="H6" s="196"/>
      <c r="I6" s="196"/>
      <c r="J6" s="196"/>
      <c r="K6" s="196"/>
      <c r="L6" s="196"/>
      <c r="M6" s="196"/>
      <c r="N6" s="196"/>
      <c r="O6" s="196"/>
      <c r="P6" s="22"/>
      <c r="Q6" s="26"/>
      <c r="R6" s="17"/>
      <c r="S6" s="17"/>
    </row>
    <row r="7">
      <c r="A7" s="39" t="s">
        <v>154</v>
      </c>
      <c r="B7" s="28" t="s">
        <v>26</v>
      </c>
      <c r="C7" s="20">
        <v>0.0</v>
      </c>
      <c r="D7" s="25">
        <v>0.0</v>
      </c>
      <c r="E7" s="25">
        <v>0.0</v>
      </c>
      <c r="F7" s="25">
        <v>0.0</v>
      </c>
      <c r="G7" s="25">
        <v>0.0</v>
      </c>
      <c r="H7" s="25">
        <v>0.0</v>
      </c>
      <c r="I7" s="25">
        <v>0.0</v>
      </c>
      <c r="J7" s="25">
        <v>0.0</v>
      </c>
      <c r="K7" s="25">
        <v>0.0</v>
      </c>
      <c r="L7" s="25">
        <v>0.0</v>
      </c>
      <c r="M7" s="25">
        <v>0.0</v>
      </c>
      <c r="N7" s="25">
        <v>0.0</v>
      </c>
      <c r="O7" s="25">
        <v>0.0</v>
      </c>
      <c r="P7" s="22">
        <f t="shared" ref="P7:P13" si="6">index(D7:O7,1,counta(D7:O7))</f>
        <v>0</v>
      </c>
      <c r="Q7" s="26"/>
      <c r="R7" s="17"/>
      <c r="S7" s="17"/>
    </row>
    <row r="8">
      <c r="A8" s="27" t="s">
        <v>25</v>
      </c>
      <c r="B8" s="28" t="s">
        <v>47</v>
      </c>
      <c r="C8" s="20">
        <v>349.44</v>
      </c>
      <c r="D8" s="25">
        <f t="shared" ref="D8:F8" si="4">C8+162.75</f>
        <v>512.19</v>
      </c>
      <c r="E8" s="195">
        <f t="shared" si="4"/>
        <v>674.94</v>
      </c>
      <c r="F8" s="195">
        <f t="shared" si="4"/>
        <v>837.69</v>
      </c>
      <c r="G8" s="195">
        <f>F8+159.93+81.31</f>
        <v>1078.93</v>
      </c>
      <c r="H8" s="25">
        <f>G8+162.75</f>
        <v>1241.68</v>
      </c>
      <c r="I8" s="25">
        <f>H8+162.07</f>
        <v>1403.75</v>
      </c>
      <c r="J8" s="25">
        <f>I8+164.41</f>
        <v>1568.16</v>
      </c>
      <c r="K8" s="25">
        <f>J8+162.75</f>
        <v>1730.91</v>
      </c>
      <c r="L8" s="25">
        <f>K8+166.4</f>
        <v>1897.31</v>
      </c>
      <c r="M8" s="25">
        <f t="shared" ref="M8:N8" si="5">L8+162.75</f>
        <v>2060.06</v>
      </c>
      <c r="N8" s="25">
        <f t="shared" si="5"/>
        <v>2222.81</v>
      </c>
      <c r="O8" s="25">
        <f>N8+162.75+166.4</f>
        <v>2551.96</v>
      </c>
      <c r="P8" s="22">
        <f t="shared" si="6"/>
        <v>2551.96</v>
      </c>
      <c r="Q8" s="26"/>
      <c r="R8" s="17"/>
      <c r="S8" s="17"/>
    </row>
    <row r="9">
      <c r="A9" s="23" t="s">
        <v>27</v>
      </c>
      <c r="B9" s="24"/>
      <c r="C9" s="116"/>
      <c r="D9" s="195"/>
      <c r="E9" s="195"/>
      <c r="F9" s="195"/>
      <c r="G9" s="195"/>
      <c r="H9" s="196"/>
      <c r="I9" s="196"/>
      <c r="J9" s="196"/>
      <c r="K9" s="196"/>
      <c r="L9" s="196"/>
      <c r="M9" s="196"/>
      <c r="N9" s="196"/>
      <c r="O9" s="196"/>
      <c r="P9" s="22" t="str">
        <f t="shared" si="6"/>
        <v/>
      </c>
      <c r="Q9" s="14"/>
      <c r="R9" s="17"/>
      <c r="S9" s="17"/>
    </row>
    <row r="10">
      <c r="A10" s="27" t="s">
        <v>28</v>
      </c>
      <c r="B10" s="28" t="s">
        <v>26</v>
      </c>
      <c r="C10" s="20">
        <v>1000.0</v>
      </c>
      <c r="D10" s="25">
        <v>1000.0</v>
      </c>
      <c r="E10" s="25">
        <v>1000.0</v>
      </c>
      <c r="F10" s="25">
        <v>1000.0</v>
      </c>
      <c r="G10" s="25">
        <v>1000.0</v>
      </c>
      <c r="H10" s="25">
        <v>1000.0</v>
      </c>
      <c r="I10" s="25">
        <v>1000.0</v>
      </c>
      <c r="J10" s="25">
        <v>1000.0</v>
      </c>
      <c r="K10" s="25">
        <v>1000.0</v>
      </c>
      <c r="L10" s="25">
        <v>1000.0</v>
      </c>
      <c r="M10" s="25">
        <v>1000.0</v>
      </c>
      <c r="N10" s="25">
        <v>1000.0</v>
      </c>
      <c r="O10" s="25">
        <v>1000.0</v>
      </c>
      <c r="P10" s="22">
        <f t="shared" si="6"/>
        <v>1000</v>
      </c>
      <c r="Q10" s="14"/>
      <c r="R10" s="17"/>
      <c r="S10" s="17"/>
    </row>
    <row r="11">
      <c r="A11" s="23" t="s">
        <v>29</v>
      </c>
      <c r="B11" s="24"/>
      <c r="C11" s="24"/>
      <c r="D11" s="197"/>
      <c r="E11" s="197"/>
      <c r="F11" s="197"/>
      <c r="G11" s="197"/>
      <c r="H11" s="196"/>
      <c r="I11" s="196"/>
      <c r="J11" s="196"/>
      <c r="K11" s="196"/>
      <c r="L11" s="196"/>
      <c r="M11" s="196"/>
      <c r="N11" s="196"/>
      <c r="O11" s="196"/>
      <c r="P11" s="22" t="str">
        <f t="shared" si="6"/>
        <v/>
      </c>
      <c r="Q11" s="24"/>
      <c r="R11" s="24"/>
      <c r="S11" s="24"/>
    </row>
    <row r="12">
      <c r="A12" s="27" t="s">
        <v>30</v>
      </c>
      <c r="B12" s="19" t="s">
        <v>26</v>
      </c>
      <c r="C12" s="31">
        <v>0.0</v>
      </c>
      <c r="D12" s="31">
        <v>0.0</v>
      </c>
      <c r="E12" s="31">
        <v>0.0</v>
      </c>
      <c r="F12" s="31">
        <v>0.0</v>
      </c>
      <c r="G12" s="31">
        <v>0.0</v>
      </c>
      <c r="H12" s="31">
        <f t="shared" ref="H12:O12" si="7">H60*293.58</f>
        <v>52.02912834</v>
      </c>
      <c r="I12" s="31">
        <f t="shared" si="7"/>
        <v>39.85612722</v>
      </c>
      <c r="J12" s="31">
        <f t="shared" si="7"/>
        <v>40.5962424</v>
      </c>
      <c r="K12" s="31">
        <f t="shared" si="7"/>
        <v>36.022266</v>
      </c>
      <c r="L12" s="31">
        <f t="shared" si="7"/>
        <v>32.352516</v>
      </c>
      <c r="M12" s="31">
        <f t="shared" si="7"/>
        <v>32.00022</v>
      </c>
      <c r="N12" s="31">
        <f t="shared" si="7"/>
        <v>18.34851514</v>
      </c>
      <c r="O12" s="31">
        <f t="shared" si="7"/>
        <v>15.52301314</v>
      </c>
      <c r="P12" s="22">
        <f t="shared" si="6"/>
        <v>15.52301314</v>
      </c>
      <c r="Q12" s="24"/>
      <c r="R12" s="24"/>
      <c r="S12" s="24"/>
    </row>
    <row r="13">
      <c r="A13" s="27" t="s">
        <v>155</v>
      </c>
      <c r="B13" s="19" t="s">
        <v>26</v>
      </c>
      <c r="C13" s="31">
        <v>0.0</v>
      </c>
      <c r="D13" s="25">
        <v>0.0</v>
      </c>
      <c r="E13" s="25">
        <v>0.0</v>
      </c>
      <c r="F13" s="25">
        <v>0.0</v>
      </c>
      <c r="G13" s="25">
        <v>0.0</v>
      </c>
      <c r="H13" s="25">
        <v>0.0</v>
      </c>
      <c r="I13" s="25">
        <v>0.0</v>
      </c>
      <c r="J13" s="25">
        <v>0.0</v>
      </c>
      <c r="K13" s="25">
        <v>0.0</v>
      </c>
      <c r="L13" s="25">
        <v>0.0</v>
      </c>
      <c r="M13" s="25">
        <v>0.0</v>
      </c>
      <c r="N13" s="25">
        <v>0.0</v>
      </c>
      <c r="O13" s="25">
        <v>0.0</v>
      </c>
      <c r="P13" s="22">
        <f t="shared" si="6"/>
        <v>0</v>
      </c>
      <c r="Q13" s="24"/>
      <c r="R13" s="24"/>
      <c r="S13" s="24"/>
    </row>
    <row r="14">
      <c r="A14" s="23" t="s">
        <v>32</v>
      </c>
      <c r="B14" s="24"/>
      <c r="C14" s="116"/>
      <c r="D14" s="195"/>
      <c r="E14" s="195"/>
      <c r="F14" s="195"/>
      <c r="G14" s="195"/>
      <c r="H14" s="196"/>
      <c r="I14" s="196"/>
      <c r="J14" s="196"/>
      <c r="K14" s="196"/>
      <c r="L14" s="196"/>
      <c r="M14" s="196"/>
      <c r="N14" s="196"/>
      <c r="O14" s="196"/>
      <c r="P14" s="22"/>
      <c r="Q14" s="14"/>
      <c r="R14" s="17"/>
      <c r="S14" s="34"/>
    </row>
    <row r="15" ht="1.5" customHeight="1">
      <c r="A15" s="27" t="s">
        <v>152</v>
      </c>
      <c r="B15" s="35" t="s">
        <v>26</v>
      </c>
      <c r="C15" s="20">
        <v>2120.64</v>
      </c>
      <c r="D15" s="25">
        <v>1814.0</v>
      </c>
      <c r="E15" s="25">
        <f>2665.42+11.12-133.47</f>
        <v>2543.07</v>
      </c>
      <c r="F15" s="25">
        <f>1854.07+2.63</f>
        <v>1856.7</v>
      </c>
      <c r="G15" s="25">
        <f>2793+257</f>
        <v>3050</v>
      </c>
      <c r="H15" s="25">
        <f>2348+521</f>
        <v>2869</v>
      </c>
      <c r="I15" s="25">
        <v>2173.94</v>
      </c>
      <c r="J15" s="25">
        <f>2916+442+74</f>
        <v>3432</v>
      </c>
      <c r="K15" s="25">
        <v>2813.61</v>
      </c>
      <c r="L15" s="25">
        <f>1777.96+53.28</f>
        <v>1831.24</v>
      </c>
      <c r="M15" s="25">
        <f>385+1509+124+250</f>
        <v>2268</v>
      </c>
      <c r="N15" s="25">
        <f>2691.65+651.11</f>
        <v>3342.76</v>
      </c>
      <c r="O15" s="25">
        <f>3500.72+512</f>
        <v>4012.72</v>
      </c>
      <c r="P15" s="22">
        <f t="shared" ref="P15:P18" si="8">index(D15:O15,1,counta(D15:O15))</f>
        <v>4012.72</v>
      </c>
      <c r="Q15" s="14"/>
      <c r="R15" s="36"/>
      <c r="S15" s="36"/>
    </row>
    <row r="16">
      <c r="A16" s="27" t="s">
        <v>34</v>
      </c>
      <c r="B16" s="35" t="s">
        <v>26</v>
      </c>
      <c r="C16" s="20">
        <v>0.0</v>
      </c>
      <c r="D16" s="25">
        <v>194.17</v>
      </c>
      <c r="E16" s="25">
        <v>0.87</v>
      </c>
      <c r="F16" s="25">
        <v>335.87</v>
      </c>
      <c r="G16" s="25">
        <v>335.87</v>
      </c>
      <c r="H16" s="25">
        <v>335.87</v>
      </c>
      <c r="I16" s="25">
        <v>335.87</v>
      </c>
      <c r="J16" s="25">
        <v>335.87</v>
      </c>
      <c r="K16" s="25">
        <v>335.87</v>
      </c>
      <c r="L16" s="25">
        <f>301</f>
        <v>301</v>
      </c>
      <c r="M16" s="25">
        <v>18.38</v>
      </c>
      <c r="N16" s="25">
        <f>31.18+250</f>
        <v>281.18</v>
      </c>
      <c r="O16" s="25">
        <v>259.0</v>
      </c>
      <c r="P16" s="22">
        <f t="shared" si="8"/>
        <v>259</v>
      </c>
      <c r="Q16" s="14"/>
      <c r="R16" s="38"/>
      <c r="S16" s="34"/>
    </row>
    <row r="17">
      <c r="A17" s="39" t="s">
        <v>35</v>
      </c>
      <c r="B17" s="35" t="s">
        <v>26</v>
      </c>
      <c r="C17" s="20">
        <v>0.33</v>
      </c>
      <c r="D17" s="195">
        <f t="shared" ref="D17:L17" si="9">C17</f>
        <v>0.33</v>
      </c>
      <c r="E17" s="195">
        <f t="shared" si="9"/>
        <v>0.33</v>
      </c>
      <c r="F17" s="195">
        <f t="shared" si="9"/>
        <v>0.33</v>
      </c>
      <c r="G17" s="195">
        <f t="shared" si="9"/>
        <v>0.33</v>
      </c>
      <c r="H17" s="195">
        <f t="shared" si="9"/>
        <v>0.33</v>
      </c>
      <c r="I17" s="195">
        <f t="shared" si="9"/>
        <v>0.33</v>
      </c>
      <c r="J17" s="195">
        <f t="shared" si="9"/>
        <v>0.33</v>
      </c>
      <c r="K17" s="195">
        <f t="shared" si="9"/>
        <v>0.33</v>
      </c>
      <c r="L17" s="195">
        <f t="shared" si="9"/>
        <v>0.33</v>
      </c>
      <c r="M17" s="25">
        <v>2.5</v>
      </c>
      <c r="N17" s="25">
        <v>2.5</v>
      </c>
      <c r="O17" s="25">
        <v>0.0</v>
      </c>
      <c r="P17" s="40">
        <f t="shared" si="8"/>
        <v>0</v>
      </c>
      <c r="Q17" s="40"/>
      <c r="R17" s="41"/>
      <c r="S17" s="41"/>
    </row>
    <row r="18">
      <c r="A18" s="27" t="s">
        <v>36</v>
      </c>
      <c r="B18" s="35" t="s">
        <v>26</v>
      </c>
      <c r="C18" s="20">
        <v>0.0</v>
      </c>
      <c r="D18" s="25">
        <v>0.0</v>
      </c>
      <c r="E18" s="25">
        <v>0.0</v>
      </c>
      <c r="F18" s="25">
        <v>0.0</v>
      </c>
      <c r="G18" s="25">
        <v>0.0</v>
      </c>
      <c r="H18" s="25">
        <v>0.0</v>
      </c>
      <c r="I18" s="25">
        <v>278.94</v>
      </c>
      <c r="J18" s="25">
        <v>0.0</v>
      </c>
      <c r="K18" s="25">
        <v>0.0</v>
      </c>
      <c r="L18" s="25">
        <v>0.0</v>
      </c>
      <c r="M18" s="25">
        <v>0.0</v>
      </c>
      <c r="N18" s="25">
        <v>0.0</v>
      </c>
      <c r="O18" s="25">
        <v>0.0</v>
      </c>
      <c r="P18" s="22">
        <f t="shared" si="8"/>
        <v>0</v>
      </c>
      <c r="Q18" s="26"/>
      <c r="R18" s="42"/>
      <c r="S18" s="42"/>
    </row>
    <row r="19">
      <c r="A19" s="27" t="s">
        <v>37</v>
      </c>
      <c r="B19" s="43" t="s">
        <v>26</v>
      </c>
      <c r="C19" s="20">
        <v>0.0</v>
      </c>
      <c r="D19" s="25">
        <v>41.0</v>
      </c>
      <c r="E19" s="25">
        <v>11.5</v>
      </c>
      <c r="F19" s="25">
        <v>32.86</v>
      </c>
      <c r="G19" s="25">
        <v>25.0</v>
      </c>
      <c r="H19" s="25">
        <v>22.0</v>
      </c>
      <c r="I19" s="25">
        <v>20.8</v>
      </c>
      <c r="J19" s="25">
        <v>20.8</v>
      </c>
      <c r="K19" s="25">
        <v>20.8</v>
      </c>
      <c r="L19" s="25">
        <v>20.8</v>
      </c>
      <c r="M19" s="25">
        <v>25.0</v>
      </c>
      <c r="N19" s="25">
        <v>25.0</v>
      </c>
      <c r="O19" s="25">
        <v>21.5</v>
      </c>
      <c r="P19" s="22">
        <f t="array" ref="P19">INDEX(D19:O19,1,COUNTA(D19:O19))</f>
        <v>21.5</v>
      </c>
      <c r="Q19" s="26"/>
      <c r="R19" s="42"/>
      <c r="S19" s="42"/>
    </row>
    <row r="20">
      <c r="A20" s="27" t="s">
        <v>38</v>
      </c>
      <c r="B20" s="28" t="s">
        <v>26</v>
      </c>
      <c r="C20" s="20">
        <v>0.0</v>
      </c>
      <c r="D20" s="25">
        <v>16.67</v>
      </c>
      <c r="E20" s="25">
        <v>16.67</v>
      </c>
      <c r="F20" s="25">
        <v>5.67</v>
      </c>
      <c r="G20" s="25">
        <v>5.67</v>
      </c>
      <c r="H20" s="25">
        <v>5.67</v>
      </c>
      <c r="I20" s="25">
        <v>5.67</v>
      </c>
      <c r="J20" s="25">
        <v>5.67</v>
      </c>
      <c r="K20" s="25">
        <v>5.67</v>
      </c>
      <c r="L20" s="25">
        <v>5.67</v>
      </c>
      <c r="M20" s="25">
        <v>5.67</v>
      </c>
      <c r="N20" s="25">
        <v>5.67</v>
      </c>
      <c r="O20" s="25">
        <v>7.07</v>
      </c>
      <c r="P20" s="44">
        <f t="array" ref="P20">index(D20:O20,1,counta(D20:O20))</f>
        <v>7.07</v>
      </c>
      <c r="Q20" s="24"/>
      <c r="R20" s="45"/>
      <c r="S20" s="45"/>
    </row>
    <row r="21">
      <c r="A21" s="27" t="s">
        <v>40</v>
      </c>
      <c r="B21" s="28" t="s">
        <v>26</v>
      </c>
      <c r="C21" s="44">
        <f>19*7</f>
        <v>133</v>
      </c>
      <c r="D21" s="25">
        <v>175.0</v>
      </c>
      <c r="E21" s="25">
        <f>26*7</f>
        <v>182</v>
      </c>
      <c r="F21" s="25">
        <f>22*7</f>
        <v>154</v>
      </c>
      <c r="G21" s="25">
        <f>32*7</f>
        <v>224</v>
      </c>
      <c r="H21" s="25">
        <f>31*7</f>
        <v>217</v>
      </c>
      <c r="I21" s="25">
        <f>19*7</f>
        <v>133</v>
      </c>
      <c r="J21" s="25">
        <f>25*7</f>
        <v>175</v>
      </c>
      <c r="K21" s="25">
        <f>22*7</f>
        <v>154</v>
      </c>
      <c r="L21" s="25">
        <f>30*7</f>
        <v>210</v>
      </c>
      <c r="M21" s="25">
        <f>35*7</f>
        <v>245</v>
      </c>
      <c r="N21" s="25">
        <f>38*7</f>
        <v>266</v>
      </c>
      <c r="O21" s="25">
        <f>39*7</f>
        <v>273</v>
      </c>
      <c r="P21" s="44">
        <f t="array" ref="P21">INDEX(D21:O21,1,COUNTA(D21:O21))</f>
        <v>273</v>
      </c>
      <c r="Q21" s="24"/>
      <c r="R21" s="45"/>
      <c r="S21" s="45"/>
    </row>
    <row r="22">
      <c r="A22" s="27" t="s">
        <v>41</v>
      </c>
      <c r="B22" s="28" t="s">
        <v>42</v>
      </c>
      <c r="C22" s="20">
        <v>0.0</v>
      </c>
      <c r="D22" s="25">
        <v>0.0</v>
      </c>
      <c r="E22" s="25">
        <v>0.0</v>
      </c>
      <c r="F22" s="25">
        <v>0.0</v>
      </c>
      <c r="G22" s="25">
        <v>0.0</v>
      </c>
      <c r="H22" s="25">
        <v>0.0</v>
      </c>
      <c r="I22" s="25">
        <v>0.0</v>
      </c>
      <c r="J22" s="25">
        <v>0.0</v>
      </c>
      <c r="K22" s="25">
        <v>0.0</v>
      </c>
      <c r="L22" s="25">
        <v>0.0</v>
      </c>
      <c r="M22" s="25">
        <v>0.0</v>
      </c>
      <c r="N22" s="25">
        <v>0.0</v>
      </c>
      <c r="O22" s="25">
        <v>0.0</v>
      </c>
      <c r="P22" s="44">
        <f t="shared" ref="P22:P25" si="10">index(D22:O22,1,counta(D22:O22))</f>
        <v>0</v>
      </c>
      <c r="Q22" s="24"/>
      <c r="R22" s="45"/>
      <c r="S22" s="45"/>
    </row>
    <row r="23">
      <c r="A23" s="27" t="s">
        <v>43</v>
      </c>
      <c r="B23" s="28" t="s">
        <v>26</v>
      </c>
      <c r="C23" s="20">
        <v>0.0</v>
      </c>
      <c r="D23" s="25">
        <v>0.0</v>
      </c>
      <c r="E23" s="25">
        <v>200.0</v>
      </c>
      <c r="F23" s="25">
        <v>350.0</v>
      </c>
      <c r="G23" s="25">
        <v>550.0</v>
      </c>
      <c r="H23" s="25">
        <v>580.0</v>
      </c>
      <c r="I23" s="25">
        <v>150.0</v>
      </c>
      <c r="J23" s="25">
        <v>150.0</v>
      </c>
      <c r="K23" s="25">
        <v>150.0</v>
      </c>
      <c r="L23" s="25">
        <v>400.0</v>
      </c>
      <c r="M23" s="25">
        <v>400.0</v>
      </c>
      <c r="N23" s="25">
        <v>400.0</v>
      </c>
      <c r="O23" s="25">
        <v>400.0</v>
      </c>
      <c r="P23" s="22">
        <f t="shared" si="10"/>
        <v>400</v>
      </c>
      <c r="Q23" s="26"/>
      <c r="R23" s="46"/>
      <c r="S23" s="46"/>
    </row>
    <row r="24">
      <c r="A24" s="27" t="s">
        <v>44</v>
      </c>
      <c r="B24" s="28" t="s">
        <v>42</v>
      </c>
      <c r="C24" s="20">
        <v>0.0</v>
      </c>
      <c r="D24" s="25">
        <v>0.0</v>
      </c>
      <c r="E24" s="25">
        <v>0.0</v>
      </c>
      <c r="F24" s="25">
        <v>0.0</v>
      </c>
      <c r="G24" s="25">
        <v>0.0</v>
      </c>
      <c r="H24" s="25">
        <v>0.0</v>
      </c>
      <c r="I24" s="25">
        <v>0.0</v>
      </c>
      <c r="J24" s="25">
        <v>0.0</v>
      </c>
      <c r="K24" s="25">
        <v>0.0</v>
      </c>
      <c r="L24" s="25">
        <v>0.0</v>
      </c>
      <c r="M24" s="25">
        <v>0.0</v>
      </c>
      <c r="N24" s="25">
        <v>0.0</v>
      </c>
      <c r="O24" s="25">
        <v>0.0</v>
      </c>
      <c r="P24" s="22">
        <f t="shared" si="10"/>
        <v>0</v>
      </c>
      <c r="Q24" s="14"/>
      <c r="R24" s="36"/>
      <c r="S24" s="36"/>
    </row>
    <row r="25">
      <c r="A25" s="47" t="s">
        <v>45</v>
      </c>
      <c r="B25" s="48" t="s">
        <v>22</v>
      </c>
      <c r="C25" s="20">
        <v>0.0</v>
      </c>
      <c r="D25" s="25">
        <v>0.0</v>
      </c>
      <c r="E25" s="25">
        <v>0.0</v>
      </c>
      <c r="F25" s="25">
        <v>0.0</v>
      </c>
      <c r="G25" s="25">
        <v>0.0</v>
      </c>
      <c r="H25" s="25">
        <v>0.0</v>
      </c>
      <c r="I25" s="25">
        <v>0.0</v>
      </c>
      <c r="J25" s="25">
        <v>0.0</v>
      </c>
      <c r="K25" s="25">
        <v>0.0</v>
      </c>
      <c r="L25" s="25">
        <v>0.0</v>
      </c>
      <c r="M25" s="25">
        <v>0.0</v>
      </c>
      <c r="N25" s="25">
        <v>0.0</v>
      </c>
      <c r="O25" s="25">
        <v>0.0</v>
      </c>
      <c r="P25" s="22">
        <f t="shared" si="10"/>
        <v>0</v>
      </c>
      <c r="Q25" s="14"/>
      <c r="R25" s="36"/>
      <c r="S25" s="36"/>
    </row>
    <row r="26" ht="12.75" customHeight="1">
      <c r="A26" s="23" t="s">
        <v>50</v>
      </c>
      <c r="B26" s="24"/>
      <c r="C26" s="44"/>
      <c r="D26" s="195"/>
      <c r="E26" s="195"/>
      <c r="F26" s="195"/>
      <c r="G26" s="195"/>
      <c r="H26" s="196"/>
      <c r="I26" s="196"/>
      <c r="J26" s="196"/>
      <c r="K26" s="196"/>
      <c r="L26" s="196"/>
      <c r="M26" s="196"/>
      <c r="N26" s="196"/>
      <c r="O26" s="196"/>
      <c r="P26" s="22"/>
      <c r="Q26" s="26"/>
      <c r="R26" s="17"/>
      <c r="S26" s="17"/>
    </row>
    <row r="27">
      <c r="A27" s="27" t="s">
        <v>51</v>
      </c>
      <c r="B27" s="19" t="s">
        <v>47</v>
      </c>
      <c r="C27" s="20">
        <v>0.0</v>
      </c>
      <c r="D27" s="25">
        <f t="shared" ref="D27:E27" si="11">C27</f>
        <v>0</v>
      </c>
      <c r="E27" s="25">
        <f t="shared" si="11"/>
        <v>0</v>
      </c>
      <c r="F27" s="25">
        <f t="shared" ref="F27:I27" si="12">-3969.16+498.23</f>
        <v>-3470.93</v>
      </c>
      <c r="G27" s="25">
        <f t="shared" si="12"/>
        <v>-3470.93</v>
      </c>
      <c r="H27" s="25">
        <f t="shared" si="12"/>
        <v>-3470.93</v>
      </c>
      <c r="I27" s="25">
        <f t="shared" si="12"/>
        <v>-3470.93</v>
      </c>
      <c r="J27" s="25">
        <f t="shared" ref="J27:K27" si="13">-3969.16+498.23+503</f>
        <v>-2967.93</v>
      </c>
      <c r="K27" s="25">
        <f t="shared" si="13"/>
        <v>-2967.93</v>
      </c>
      <c r="L27" s="25">
        <f t="shared" ref="L27:O27" si="14">-3969.16+498.23+503+507</f>
        <v>-2460.93</v>
      </c>
      <c r="M27" s="25">
        <f t="shared" si="14"/>
        <v>-2460.93</v>
      </c>
      <c r="N27" s="25">
        <f t="shared" si="14"/>
        <v>-2460.93</v>
      </c>
      <c r="O27" s="25">
        <f t="shared" si="14"/>
        <v>-2460.93</v>
      </c>
      <c r="P27" s="22">
        <f t="shared" ref="P27:P34" si="15">index(D27:O27,1,counta(D27:O27))</f>
        <v>-2460.93</v>
      </c>
      <c r="Q27" s="14"/>
      <c r="R27" s="17"/>
      <c r="S27" s="17"/>
    </row>
    <row r="28">
      <c r="A28" s="23" t="s">
        <v>52</v>
      </c>
      <c r="B28" s="24"/>
      <c r="C28" s="116"/>
      <c r="D28" s="195"/>
      <c r="E28" s="195"/>
      <c r="F28" s="195"/>
      <c r="G28" s="195"/>
      <c r="H28" s="196"/>
      <c r="I28" s="196"/>
      <c r="J28" s="196"/>
      <c r="K28" s="196"/>
      <c r="L28" s="196"/>
      <c r="M28" s="196"/>
      <c r="N28" s="196"/>
      <c r="O28" s="196"/>
      <c r="P28" s="22" t="str">
        <f t="shared" si="15"/>
        <v/>
      </c>
      <c r="Q28" s="14"/>
      <c r="R28" s="49"/>
      <c r="S28" s="49"/>
    </row>
    <row r="29">
      <c r="A29" s="39" t="s">
        <v>48</v>
      </c>
      <c r="B29" s="35" t="s">
        <v>26</v>
      </c>
      <c r="C29" s="20">
        <v>141.15</v>
      </c>
      <c r="D29" s="21">
        <v>141.15</v>
      </c>
      <c r="E29" s="21">
        <v>141.15</v>
      </c>
      <c r="F29" s="21">
        <v>151.15</v>
      </c>
      <c r="G29" s="21">
        <v>135.0</v>
      </c>
      <c r="H29" s="21">
        <v>135.0</v>
      </c>
      <c r="I29" s="21">
        <v>135.0</v>
      </c>
      <c r="J29" s="21">
        <v>135.0</v>
      </c>
      <c r="K29" s="21">
        <v>115.0</v>
      </c>
      <c r="L29" s="21">
        <v>115.0</v>
      </c>
      <c r="M29" s="21">
        <v>115.0</v>
      </c>
      <c r="N29" s="21">
        <v>0.0</v>
      </c>
      <c r="O29" s="21">
        <v>0.0</v>
      </c>
      <c r="P29" s="22">
        <f t="shared" si="15"/>
        <v>0</v>
      </c>
      <c r="Q29" s="26"/>
      <c r="R29" s="42"/>
      <c r="S29" s="42"/>
    </row>
    <row r="30">
      <c r="A30" s="27" t="s">
        <v>53</v>
      </c>
      <c r="B30" s="43" t="s">
        <v>26</v>
      </c>
      <c r="C30" s="20">
        <v>-307.36</v>
      </c>
      <c r="D30" s="21">
        <v>-51.47</v>
      </c>
      <c r="E30" s="21">
        <v>-20.78</v>
      </c>
      <c r="F30" s="21">
        <f>-255.5-307.63</f>
        <v>-563.13</v>
      </c>
      <c r="G30" s="21">
        <f>-33-288</f>
        <v>-321</v>
      </c>
      <c r="H30" s="21">
        <v>-260.0</v>
      </c>
      <c r="I30" s="21">
        <v>-890.0</v>
      </c>
      <c r="J30" s="21">
        <f>-836-82.5</f>
        <v>-918.5</v>
      </c>
      <c r="K30" s="21">
        <f>-63.2-794</f>
        <v>-857.2</v>
      </c>
      <c r="L30" s="21">
        <f>-87-754</f>
        <v>-841</v>
      </c>
      <c r="M30" s="21">
        <f>-710</f>
        <v>-710</v>
      </c>
      <c r="N30" s="21">
        <f>-680-805</f>
        <v>-1485</v>
      </c>
      <c r="O30" s="21">
        <f>-645.72-76.67</f>
        <v>-722.39</v>
      </c>
      <c r="P30" s="22">
        <f t="shared" si="15"/>
        <v>-722.39</v>
      </c>
      <c r="Q30" s="26"/>
      <c r="R30" s="42"/>
      <c r="S30" s="42"/>
    </row>
    <row r="31">
      <c r="A31" s="27" t="s">
        <v>54</v>
      </c>
      <c r="B31" s="43" t="s">
        <v>26</v>
      </c>
      <c r="C31" s="20"/>
      <c r="D31" s="21">
        <v>0.0</v>
      </c>
      <c r="E31" s="21">
        <v>0.0</v>
      </c>
      <c r="F31" s="21">
        <v>0.0</v>
      </c>
      <c r="G31" s="21">
        <v>0.0</v>
      </c>
      <c r="H31" s="21">
        <v>0.0</v>
      </c>
      <c r="I31" s="21">
        <v>0.0</v>
      </c>
      <c r="J31" s="21">
        <v>0.0</v>
      </c>
      <c r="K31" s="21">
        <v>0.0</v>
      </c>
      <c r="L31" s="21">
        <v>0.0</v>
      </c>
      <c r="M31" s="21">
        <v>0.0</v>
      </c>
      <c r="N31" s="21">
        <v>-200.9</v>
      </c>
      <c r="O31" s="21">
        <v>-198.99</v>
      </c>
      <c r="P31" s="22">
        <f t="shared" si="15"/>
        <v>-198.99</v>
      </c>
      <c r="Q31" s="26"/>
      <c r="R31" s="42"/>
      <c r="S31" s="42"/>
    </row>
    <row r="32">
      <c r="A32" s="27" t="s">
        <v>156</v>
      </c>
      <c r="B32" s="43" t="s">
        <v>26</v>
      </c>
      <c r="C32" s="20">
        <v>-130.43</v>
      </c>
      <c r="D32" s="21">
        <v>-270.47</v>
      </c>
      <c r="E32" s="21">
        <v>-243.97</v>
      </c>
      <c r="F32" s="21">
        <f>-189.13</f>
        <v>-189.13</v>
      </c>
      <c r="G32" s="21">
        <f>-86.05</f>
        <v>-86.05</v>
      </c>
      <c r="H32" s="21">
        <v>0.0</v>
      </c>
      <c r="I32" s="21">
        <v>0.0</v>
      </c>
      <c r="J32" s="21">
        <v>0.0</v>
      </c>
      <c r="K32" s="21">
        <v>0.0</v>
      </c>
      <c r="L32" s="21">
        <v>0.0</v>
      </c>
      <c r="M32" s="21">
        <v>0.0</v>
      </c>
      <c r="N32" s="21">
        <v>0.0</v>
      </c>
      <c r="O32" s="21">
        <v>0.0</v>
      </c>
      <c r="P32" s="22">
        <f t="shared" si="15"/>
        <v>0</v>
      </c>
      <c r="Q32" s="26"/>
      <c r="R32" s="42"/>
      <c r="S32" s="42"/>
    </row>
    <row r="33">
      <c r="A33" s="27" t="s">
        <v>157</v>
      </c>
      <c r="B33" s="43" t="s">
        <v>26</v>
      </c>
      <c r="C33" s="198">
        <v>-563.6</v>
      </c>
      <c r="D33" s="21">
        <v>-493.15</v>
      </c>
      <c r="E33" s="21">
        <v>-422.7</v>
      </c>
      <c r="F33" s="21">
        <v>-352.0</v>
      </c>
      <c r="G33" s="21">
        <f t="shared" ref="G33:K33" si="16">F33+70.45</f>
        <v>-281.55</v>
      </c>
      <c r="H33" s="196">
        <f t="shared" si="16"/>
        <v>-211.1</v>
      </c>
      <c r="I33" s="196">
        <f t="shared" si="16"/>
        <v>-140.65</v>
      </c>
      <c r="J33" s="196">
        <f t="shared" si="16"/>
        <v>-70.2</v>
      </c>
      <c r="K33" s="196">
        <f t="shared" si="16"/>
        <v>0.25</v>
      </c>
      <c r="L33" s="21">
        <v>0.0</v>
      </c>
      <c r="M33" s="21">
        <v>0.0</v>
      </c>
      <c r="N33" s="21">
        <v>0.0</v>
      </c>
      <c r="O33" s="21">
        <v>0.0</v>
      </c>
      <c r="P33" s="22">
        <f t="shared" si="15"/>
        <v>0</v>
      </c>
      <c r="Q33" s="26"/>
      <c r="R33" s="42"/>
      <c r="S33" s="42"/>
    </row>
    <row r="34" ht="12.75" customHeight="1">
      <c r="A34" s="39" t="s">
        <v>158</v>
      </c>
      <c r="B34" s="35" t="s">
        <v>26</v>
      </c>
      <c r="C34" s="20">
        <v>0.0</v>
      </c>
      <c r="D34" s="21">
        <v>0.0</v>
      </c>
      <c r="E34" s="21">
        <v>0.0</v>
      </c>
      <c r="F34" s="21">
        <v>0.0</v>
      </c>
      <c r="G34" s="21">
        <v>0.0</v>
      </c>
      <c r="H34" s="21">
        <v>0.0</v>
      </c>
      <c r="I34" s="21">
        <v>0.0</v>
      </c>
      <c r="J34" s="21">
        <v>0.0</v>
      </c>
      <c r="K34" s="21">
        <v>0.0</v>
      </c>
      <c r="L34" s="21">
        <v>0.0</v>
      </c>
      <c r="M34" s="21">
        <v>0.0</v>
      </c>
      <c r="N34" s="21">
        <v>0.0</v>
      </c>
      <c r="O34" s="21">
        <v>0.0</v>
      </c>
      <c r="P34" s="22">
        <f t="shared" si="15"/>
        <v>0</v>
      </c>
      <c r="Q34" s="26"/>
      <c r="R34" s="17"/>
      <c r="S34" s="17"/>
    </row>
    <row r="35">
      <c r="A35" s="50" t="s">
        <v>55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>
      <c r="A36" s="51" t="s">
        <v>56</v>
      </c>
      <c r="B36" s="52" t="s">
        <v>26</v>
      </c>
      <c r="C36" s="20">
        <v>0.0</v>
      </c>
      <c r="D36" s="53">
        <v>0.0</v>
      </c>
      <c r="E36" s="53">
        <v>0.0</v>
      </c>
      <c r="F36" s="53">
        <v>0.0</v>
      </c>
      <c r="G36" s="53">
        <v>0.0</v>
      </c>
      <c r="H36" s="53">
        <v>0.0</v>
      </c>
      <c r="I36" s="53">
        <v>0.0</v>
      </c>
      <c r="J36" s="53">
        <v>0.0</v>
      </c>
      <c r="K36" s="53">
        <v>0.0</v>
      </c>
      <c r="L36" s="53">
        <v>0.0</v>
      </c>
      <c r="M36" s="53">
        <v>0.0</v>
      </c>
      <c r="N36" s="53">
        <v>0.0</v>
      </c>
      <c r="O36" s="53">
        <v>0.0</v>
      </c>
      <c r="P36" s="44">
        <f t="array" ref="P36">index(D36:O36,1,counta(D36:O36))</f>
        <v>0</v>
      </c>
      <c r="Q36" s="24"/>
      <c r="R36" s="24"/>
      <c r="S36" s="24"/>
    </row>
    <row r="37">
      <c r="A37" s="54"/>
      <c r="B37" s="13"/>
      <c r="C37" s="26"/>
      <c r="D37" s="55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14" t="str">
        <f>H37</f>
        <v/>
      </c>
      <c r="Q37" s="14"/>
      <c r="R37" s="17"/>
      <c r="S37" s="17"/>
    </row>
    <row r="38">
      <c r="A38" s="56" t="s">
        <v>57</v>
      </c>
      <c r="B38" s="13" t="s">
        <v>26</v>
      </c>
      <c r="C38" s="57">
        <f t="shared" ref="C38:O38" si="17">SUMIF($B3:$B37, "=M",C3:C37)/C55 + SUMIF($B3:$B37, "=E",C3:C37) + SUMIF($B3:$B37, "=D",C3:C37)/C56</f>
        <v>2393.73</v>
      </c>
      <c r="D38" s="57">
        <f t="shared" si="17"/>
        <v>2659.168059</v>
      </c>
      <c r="E38" s="57">
        <f t="shared" si="17"/>
        <v>3496.623233</v>
      </c>
      <c r="F38" s="57">
        <f t="shared" si="17"/>
        <v>2886.63694</v>
      </c>
      <c r="G38" s="57">
        <f t="shared" si="17"/>
        <v>4735.508759</v>
      </c>
      <c r="H38" s="57">
        <f t="shared" si="17"/>
        <v>4842.933198</v>
      </c>
      <c r="I38" s="57">
        <f t="shared" si="17"/>
        <v>3344.291546</v>
      </c>
      <c r="J38" s="57">
        <f t="shared" si="17"/>
        <v>4408.101661</v>
      </c>
      <c r="K38" s="57">
        <f t="shared" si="17"/>
        <v>3883.672225</v>
      </c>
      <c r="L38" s="57">
        <f t="shared" si="17"/>
        <v>3168.999494</v>
      </c>
      <c r="M38" s="57">
        <f t="shared" si="17"/>
        <v>3497.675504</v>
      </c>
      <c r="N38" s="57">
        <f t="shared" si="17"/>
        <v>3753.854267</v>
      </c>
      <c r="O38" s="57">
        <f t="shared" si="17"/>
        <v>5377.729941</v>
      </c>
      <c r="P38" s="59">
        <f t="array" ref="P38">index(D38:O38,1,counta(D38:O38))</f>
        <v>5377.729941</v>
      </c>
      <c r="Q38" s="60"/>
      <c r="R38" s="61"/>
      <c r="S38" s="61">
        <f>C38+S39</f>
        <v>5377.729941</v>
      </c>
    </row>
    <row r="39">
      <c r="A39" s="39" t="s">
        <v>58</v>
      </c>
      <c r="B39" s="13"/>
      <c r="C39" s="32" t="s">
        <v>59</v>
      </c>
      <c r="D39" s="62">
        <f t="shared" ref="D39:O39" si="18">(D38-C38)</f>
        <v>265.4380592</v>
      </c>
      <c r="E39" s="62">
        <f t="shared" si="18"/>
        <v>837.4551742</v>
      </c>
      <c r="F39" s="62">
        <f t="shared" si="18"/>
        <v>-609.9862935</v>
      </c>
      <c r="G39" s="62">
        <f t="shared" si="18"/>
        <v>1848.871819</v>
      </c>
      <c r="H39" s="62">
        <f t="shared" si="18"/>
        <v>107.4244393</v>
      </c>
      <c r="I39" s="62">
        <f t="shared" si="18"/>
        <v>-1498.641652</v>
      </c>
      <c r="J39" s="62">
        <f t="shared" si="18"/>
        <v>1063.810115</v>
      </c>
      <c r="K39" s="62">
        <f t="shared" si="18"/>
        <v>-524.4294354</v>
      </c>
      <c r="L39" s="62">
        <f t="shared" si="18"/>
        <v>-714.6727315</v>
      </c>
      <c r="M39" s="62">
        <f t="shared" si="18"/>
        <v>328.6760102</v>
      </c>
      <c r="N39" s="62">
        <f t="shared" si="18"/>
        <v>256.1787631</v>
      </c>
      <c r="O39" s="62">
        <f t="shared" si="18"/>
        <v>1623.875674</v>
      </c>
      <c r="P39" s="63">
        <f>P38-C38</f>
        <v>2983.999941</v>
      </c>
      <c r="Q39" s="60"/>
      <c r="R39" s="61">
        <f>P39/count(D39:O39)</f>
        <v>248.6666618</v>
      </c>
      <c r="S39" s="61">
        <f t="shared" ref="S39:S40" si="20">R39*12</f>
        <v>2983.999941</v>
      </c>
    </row>
    <row r="40">
      <c r="A40" s="51" t="s">
        <v>60</v>
      </c>
      <c r="B40" s="64"/>
      <c r="C40" s="26" t="s">
        <v>59</v>
      </c>
      <c r="D40" s="65">
        <f t="shared" ref="D40:O40" si="19">D39/C38</f>
        <v>0.1108888886</v>
      </c>
      <c r="E40" s="65">
        <f t="shared" si="19"/>
        <v>0.31493127</v>
      </c>
      <c r="F40" s="65">
        <f t="shared" si="19"/>
        <v>-0.1744501059</v>
      </c>
      <c r="G40" s="65">
        <f t="shared" si="19"/>
        <v>0.640493369</v>
      </c>
      <c r="H40" s="65">
        <f t="shared" si="19"/>
        <v>0.02268487817</v>
      </c>
      <c r="I40" s="65">
        <f t="shared" si="19"/>
        <v>-0.3094491687</v>
      </c>
      <c r="J40" s="65">
        <f t="shared" si="19"/>
        <v>0.3180973012</v>
      </c>
      <c r="K40" s="65">
        <f t="shared" si="19"/>
        <v>-0.1189694512</v>
      </c>
      <c r="L40" s="65">
        <f t="shared" si="19"/>
        <v>-0.1840198374</v>
      </c>
      <c r="M40" s="65">
        <f t="shared" si="19"/>
        <v>0.1037160185</v>
      </c>
      <c r="N40" s="65">
        <f t="shared" si="19"/>
        <v>0.07324257576</v>
      </c>
      <c r="O40" s="65">
        <f t="shared" si="19"/>
        <v>0.4325888962</v>
      </c>
      <c r="P40" s="66">
        <f>P39/C38</f>
        <v>1.246590025</v>
      </c>
      <c r="Q40" s="67"/>
      <c r="R40" s="68">
        <f>pow(1+P40, 1/count(D40:O40))-1</f>
        <v>0.06977797491</v>
      </c>
      <c r="S40" s="68">
        <f t="shared" si="20"/>
        <v>0.8373356989</v>
      </c>
    </row>
    <row r="41">
      <c r="A41" s="56" t="s">
        <v>61</v>
      </c>
      <c r="B41" s="13" t="s">
        <v>42</v>
      </c>
      <c r="C41" s="57">
        <f>SUMIF($B3:$B37, "=m",C3:C37) + SUMIF($B3:$B37, "=E",C3:C37)*C55 + SUMIF($B3:$B37, "=D",C3:C37)*C57</f>
        <v>25265.82015</v>
      </c>
      <c r="D41" s="57">
        <f t="shared" ref="D41:O41" si="21">SUMIF($B3:$B37, "=M",D3:D37) + SUMIF($B3:$B37, "=E",D3:D37)*D55 + SUMIF($B3:$B37, "=D",D3:D37)*D57</f>
        <v>28099.19652</v>
      </c>
      <c r="E41" s="57">
        <f t="shared" si="21"/>
        <v>37298.6343</v>
      </c>
      <c r="F41" s="57">
        <f t="shared" si="21"/>
        <v>30970.68162</v>
      </c>
      <c r="G41" s="57">
        <f t="shared" si="21"/>
        <v>49804.95924</v>
      </c>
      <c r="H41" s="57">
        <f t="shared" si="21"/>
        <v>51223.49919</v>
      </c>
      <c r="I41" s="57">
        <f t="shared" si="21"/>
        <v>35189.10475</v>
      </c>
      <c r="J41" s="57">
        <f t="shared" si="21"/>
        <v>46382.664</v>
      </c>
      <c r="K41" s="57">
        <f t="shared" si="21"/>
        <v>41223.93304</v>
      </c>
      <c r="L41" s="57">
        <f t="shared" si="21"/>
        <v>34009.55714</v>
      </c>
      <c r="M41" s="57">
        <f t="shared" si="21"/>
        <v>37982.02877</v>
      </c>
      <c r="N41" s="57">
        <f t="shared" si="21"/>
        <v>41851.13213</v>
      </c>
      <c r="O41" s="57">
        <f t="shared" si="21"/>
        <v>60011.78368</v>
      </c>
      <c r="P41" s="59">
        <f t="array" ref="P41">index(D41:O41,1,counta(D41:O41))</f>
        <v>60011.78368</v>
      </c>
      <c r="Q41" s="69"/>
      <c r="R41" s="61"/>
      <c r="S41" s="61">
        <f>C41+S42</f>
        <v>60011.78368</v>
      </c>
    </row>
    <row r="42">
      <c r="A42" s="39" t="s">
        <v>58</v>
      </c>
      <c r="B42" s="13"/>
      <c r="C42" s="32" t="s">
        <v>59</v>
      </c>
      <c r="D42" s="62">
        <f t="shared" ref="D42:O42" si="22">(D41-C41)</f>
        <v>2833.376373</v>
      </c>
      <c r="E42" s="62">
        <f t="shared" si="22"/>
        <v>9199.437779</v>
      </c>
      <c r="F42" s="62">
        <f t="shared" si="22"/>
        <v>-6327.952682</v>
      </c>
      <c r="G42" s="62">
        <f t="shared" si="22"/>
        <v>18834.27762</v>
      </c>
      <c r="H42" s="62">
        <f t="shared" si="22"/>
        <v>1418.539952</v>
      </c>
      <c r="I42" s="62">
        <f t="shared" si="22"/>
        <v>-16034.39444</v>
      </c>
      <c r="J42" s="62">
        <f t="shared" si="22"/>
        <v>11193.55925</v>
      </c>
      <c r="K42" s="62">
        <f t="shared" si="22"/>
        <v>-5158.730957</v>
      </c>
      <c r="L42" s="62">
        <f t="shared" si="22"/>
        <v>-7214.375899</v>
      </c>
      <c r="M42" s="62">
        <f t="shared" si="22"/>
        <v>3972.471624</v>
      </c>
      <c r="N42" s="62">
        <f t="shared" si="22"/>
        <v>3869.103366</v>
      </c>
      <c r="O42" s="62">
        <f t="shared" si="22"/>
        <v>18160.65154</v>
      </c>
      <c r="P42" s="63">
        <f>P41-C41</f>
        <v>34745.96353</v>
      </c>
      <c r="Q42" s="60"/>
      <c r="R42" s="61">
        <f>P42/count(D42:O42)</f>
        <v>2895.496961</v>
      </c>
      <c r="S42" s="61">
        <f t="shared" ref="S42:S43" si="24">R42*12</f>
        <v>34745.96353</v>
      </c>
    </row>
    <row r="43">
      <c r="A43" s="51" t="s">
        <v>60</v>
      </c>
      <c r="B43" s="64"/>
      <c r="C43" s="26" t="s">
        <v>59</v>
      </c>
      <c r="D43" s="65">
        <f t="shared" ref="D43:O43" si="23">D42/C41</f>
        <v>0.1121426637</v>
      </c>
      <c r="E43" s="65">
        <f t="shared" si="23"/>
        <v>0.3273914886</v>
      </c>
      <c r="F43" s="65">
        <f t="shared" si="23"/>
        <v>-0.1696564177</v>
      </c>
      <c r="G43" s="65">
        <f t="shared" si="23"/>
        <v>0.6081324864</v>
      </c>
      <c r="H43" s="65">
        <f t="shared" si="23"/>
        <v>0.02848190168</v>
      </c>
      <c r="I43" s="65">
        <f t="shared" si="23"/>
        <v>-0.3130280964</v>
      </c>
      <c r="J43" s="65">
        <f t="shared" si="23"/>
        <v>0.3180973012</v>
      </c>
      <c r="K43" s="65">
        <f t="shared" si="23"/>
        <v>-0.111221101</v>
      </c>
      <c r="L43" s="65">
        <f t="shared" si="23"/>
        <v>-0.1750045512</v>
      </c>
      <c r="M43" s="65">
        <f t="shared" si="23"/>
        <v>0.1168045678</v>
      </c>
      <c r="N43" s="65">
        <f t="shared" si="23"/>
        <v>0.1018666851</v>
      </c>
      <c r="O43" s="65">
        <f t="shared" si="23"/>
        <v>0.4339345346</v>
      </c>
      <c r="P43" s="66">
        <f>P42/C41</f>
        <v>1.375216135</v>
      </c>
      <c r="Q43" s="67"/>
      <c r="R43" s="68">
        <f>pow(1+P43, 1/count(D43:O43))-1</f>
        <v>0.07475282308</v>
      </c>
      <c r="S43" s="68">
        <f t="shared" si="24"/>
        <v>0.8970338769</v>
      </c>
    </row>
    <row r="44">
      <c r="A44" s="56" t="s">
        <v>62</v>
      </c>
      <c r="B44" s="13" t="s">
        <v>22</v>
      </c>
      <c r="C44" s="57">
        <f>SUMIF($B3:$B37, "=F",C3:C37)/C57 + SUMIF($B3:$B37, "=E",C3:C37)*C56 + SUMIF($B3:$B37, "=D",C3:C37)</f>
        <v>2721.67101</v>
      </c>
      <c r="D44" s="57">
        <f t="shared" ref="D44:O44" si="25">SUMIF($B3:$B37, "=M",D3:D37)/D57 + SUMIF($B3:$B37, "=E",D3:D37)*D56 + SUMIF($B3:$B37, "=D",D3:D37)</f>
        <v>3006.016645</v>
      </c>
      <c r="E44" s="57">
        <f t="shared" si="25"/>
        <v>3936.323605</v>
      </c>
      <c r="F44" s="57">
        <f t="shared" si="25"/>
        <v>3169.52736</v>
      </c>
      <c r="G44" s="57">
        <f t="shared" si="25"/>
        <v>4992.97837</v>
      </c>
      <c r="H44" s="57">
        <f t="shared" si="25"/>
        <v>5196.225175</v>
      </c>
      <c r="I44" s="57">
        <f t="shared" si="25"/>
        <v>3415.257412</v>
      </c>
      <c r="J44" s="57">
        <f t="shared" si="25"/>
        <v>4501.641578</v>
      </c>
      <c r="K44" s="57">
        <f t="shared" si="25"/>
        <v>3902.857566</v>
      </c>
      <c r="L44" s="57">
        <f t="shared" si="25"/>
        <v>3088.190007</v>
      </c>
      <c r="M44" s="57">
        <f t="shared" si="25"/>
        <v>3461.82433</v>
      </c>
      <c r="N44" s="57">
        <f t="shared" si="25"/>
        <v>3906.392135</v>
      </c>
      <c r="O44" s="57">
        <f t="shared" si="25"/>
        <v>5768.422022</v>
      </c>
      <c r="P44" s="59">
        <f t="array" ref="P44">index(D44:O44,1,counta(D44:O44))</f>
        <v>5768.422022</v>
      </c>
      <c r="Q44" s="69"/>
      <c r="R44" s="61"/>
      <c r="S44" s="61">
        <f>C44+S45</f>
        <v>5768.422022</v>
      </c>
    </row>
    <row r="45">
      <c r="A45" s="39" t="s">
        <v>58</v>
      </c>
      <c r="B45" s="13"/>
      <c r="C45" s="32" t="s">
        <v>59</v>
      </c>
      <c r="D45" s="62">
        <f t="shared" ref="D45:O45" si="26">(D44-C44)</f>
        <v>284.3456351</v>
      </c>
      <c r="E45" s="62">
        <f t="shared" si="26"/>
        <v>930.30696</v>
      </c>
      <c r="F45" s="62">
        <f t="shared" si="26"/>
        <v>-766.796245</v>
      </c>
      <c r="G45" s="62">
        <f t="shared" si="26"/>
        <v>1823.45101</v>
      </c>
      <c r="H45" s="62">
        <f t="shared" si="26"/>
        <v>203.2468049</v>
      </c>
      <c r="I45" s="62">
        <f t="shared" si="26"/>
        <v>-1780.967763</v>
      </c>
      <c r="J45" s="62">
        <f t="shared" si="26"/>
        <v>1086.384166</v>
      </c>
      <c r="K45" s="62">
        <f t="shared" si="26"/>
        <v>-598.7840119</v>
      </c>
      <c r="L45" s="62">
        <f t="shared" si="26"/>
        <v>-814.6675594</v>
      </c>
      <c r="M45" s="62">
        <f t="shared" si="26"/>
        <v>373.6343234</v>
      </c>
      <c r="N45" s="62">
        <f t="shared" si="26"/>
        <v>444.5678052</v>
      </c>
      <c r="O45" s="62">
        <f t="shared" si="26"/>
        <v>1862.029886</v>
      </c>
      <c r="P45" s="63">
        <f>P44-C44</f>
        <v>3046.751012</v>
      </c>
      <c r="Q45" s="60"/>
      <c r="R45" s="61">
        <f>P45/count(D45:O45)</f>
        <v>253.8959176</v>
      </c>
      <c r="S45" s="61">
        <f t="shared" ref="S45:S46" si="28">R45*12</f>
        <v>3046.751012</v>
      </c>
    </row>
    <row r="46">
      <c r="A46" s="51" t="s">
        <v>60</v>
      </c>
      <c r="B46" s="64"/>
      <c r="C46" s="26" t="s">
        <v>59</v>
      </c>
      <c r="D46" s="65">
        <f t="shared" ref="D46:O46" si="27">D45/C44</f>
        <v>0.1044746533</v>
      </c>
      <c r="E46" s="65">
        <f t="shared" si="27"/>
        <v>0.3094816396</v>
      </c>
      <c r="F46" s="65">
        <f t="shared" si="27"/>
        <v>-0.1948001033</v>
      </c>
      <c r="G46" s="65">
        <f t="shared" si="27"/>
        <v>0.5753069158</v>
      </c>
      <c r="H46" s="65">
        <f t="shared" si="27"/>
        <v>0.0407065262</v>
      </c>
      <c r="I46" s="65">
        <f t="shared" si="27"/>
        <v>-0.3427426069</v>
      </c>
      <c r="J46" s="65">
        <f t="shared" si="27"/>
        <v>0.3180973012</v>
      </c>
      <c r="K46" s="65">
        <f t="shared" si="27"/>
        <v>-0.1330145907</v>
      </c>
      <c r="L46" s="65">
        <f t="shared" si="27"/>
        <v>-0.2087361749</v>
      </c>
      <c r="M46" s="65">
        <f t="shared" si="27"/>
        <v>0.1209881266</v>
      </c>
      <c r="N46" s="65">
        <f t="shared" si="27"/>
        <v>0.1284200938</v>
      </c>
      <c r="O46" s="65">
        <f t="shared" si="27"/>
        <v>0.4766623067</v>
      </c>
      <c r="P46" s="66">
        <f>P45/C44</f>
        <v>1.119441329</v>
      </c>
      <c r="Q46" s="67"/>
      <c r="R46" s="68">
        <f>pow(1+P46, 1/count(D46:O46))-1</f>
        <v>0.06459670229</v>
      </c>
      <c r="S46" s="68">
        <f t="shared" si="28"/>
        <v>0.7751604274</v>
      </c>
    </row>
    <row r="47">
      <c r="A47" s="50" t="s">
        <v>63</v>
      </c>
      <c r="B47" s="70" t="s">
        <v>64</v>
      </c>
      <c r="C47" s="71">
        <f t="shared" ref="C47:O47" si="29">C44/C59</f>
        <v>0.07307892269</v>
      </c>
      <c r="D47" s="71">
        <f t="shared" si="29"/>
        <v>0.0807138178</v>
      </c>
      <c r="E47" s="71">
        <f t="shared" si="29"/>
        <v>0.100064915</v>
      </c>
      <c r="F47" s="71">
        <f t="shared" si="29"/>
        <v>0.06793251516</v>
      </c>
      <c r="G47" s="71">
        <f t="shared" si="29"/>
        <v>0.1305852265</v>
      </c>
      <c r="H47" s="71">
        <f t="shared" si="29"/>
        <v>0.1633575878</v>
      </c>
      <c r="I47" s="71">
        <f t="shared" si="29"/>
        <v>0.1428846471</v>
      </c>
      <c r="J47" s="71">
        <f t="shared" si="29"/>
        <v>0.1883358677</v>
      </c>
      <c r="K47" s="71">
        <f t="shared" si="29"/>
        <v>0.194066778</v>
      </c>
      <c r="L47" s="71">
        <f t="shared" si="29"/>
        <v>0.1584955147</v>
      </c>
      <c r="M47" s="71">
        <f t="shared" si="29"/>
        <v>0.1696290868</v>
      </c>
      <c r="N47" s="71">
        <f t="shared" si="29"/>
        <v>0.2290198825</v>
      </c>
      <c r="O47" s="71">
        <f t="shared" si="29"/>
        <v>0.3487474318</v>
      </c>
      <c r="P47" s="71">
        <f t="array" ref="P47">index(D47:O47,1,counta(D47:O47))</f>
        <v>0.3487474318</v>
      </c>
      <c r="Q47" s="73"/>
      <c r="R47" s="74"/>
      <c r="S47" s="74">
        <f>C47+S48</f>
        <v>0.3487474318</v>
      </c>
    </row>
    <row r="48">
      <c r="A48" s="51" t="s">
        <v>58</v>
      </c>
      <c r="B48" s="24"/>
      <c r="C48" s="75" t="s">
        <v>59</v>
      </c>
      <c r="D48" s="76">
        <f t="shared" ref="D48:O48" si="30">(D47-C47)</f>
        <v>0.007634895109</v>
      </c>
      <c r="E48" s="76">
        <f t="shared" si="30"/>
        <v>0.01935109715</v>
      </c>
      <c r="F48" s="76">
        <f t="shared" si="30"/>
        <v>-0.03213239979</v>
      </c>
      <c r="G48" s="76">
        <f t="shared" si="30"/>
        <v>0.06265271135</v>
      </c>
      <c r="H48" s="76">
        <f t="shared" si="30"/>
        <v>0.03277236129</v>
      </c>
      <c r="I48" s="76">
        <f t="shared" si="30"/>
        <v>-0.02047294069</v>
      </c>
      <c r="J48" s="76">
        <f t="shared" si="30"/>
        <v>0.04545122063</v>
      </c>
      <c r="K48" s="76">
        <f t="shared" si="30"/>
        <v>0.005730910278</v>
      </c>
      <c r="L48" s="76">
        <f t="shared" si="30"/>
        <v>-0.03557126331</v>
      </c>
      <c r="M48" s="76">
        <f t="shared" si="30"/>
        <v>0.01113357214</v>
      </c>
      <c r="N48" s="76">
        <f t="shared" si="30"/>
        <v>0.05939079563</v>
      </c>
      <c r="O48" s="76">
        <f t="shared" si="30"/>
        <v>0.1197275494</v>
      </c>
      <c r="P48" s="77">
        <f>P47-C47</f>
        <v>0.2756685091</v>
      </c>
      <c r="Q48" s="24"/>
      <c r="R48" s="74">
        <f>P48/count(D48:O48)</f>
        <v>0.02297237576</v>
      </c>
      <c r="S48" s="74">
        <f t="shared" ref="S48:S49" si="32">R48*12</f>
        <v>0.2756685091</v>
      </c>
    </row>
    <row r="49">
      <c r="A49" s="51" t="s">
        <v>60</v>
      </c>
      <c r="B49" s="24"/>
      <c r="C49" s="78" t="s">
        <v>59</v>
      </c>
      <c r="D49" s="79">
        <f t="shared" ref="D49:O49" si="31">D48/C47</f>
        <v>0.1044746533</v>
      </c>
      <c r="E49" s="79">
        <f t="shared" si="31"/>
        <v>0.2397494962</v>
      </c>
      <c r="F49" s="79">
        <f t="shared" si="31"/>
        <v>-0.3211155459</v>
      </c>
      <c r="G49" s="79">
        <f t="shared" si="31"/>
        <v>0.9222786938</v>
      </c>
      <c r="H49" s="79">
        <f t="shared" si="31"/>
        <v>0.2509653057</v>
      </c>
      <c r="I49" s="79">
        <f t="shared" si="31"/>
        <v>-0.1253259244</v>
      </c>
      <c r="J49" s="79">
        <f t="shared" si="31"/>
        <v>0.3180973012</v>
      </c>
      <c r="K49" s="79">
        <f t="shared" si="31"/>
        <v>0.03042920261</v>
      </c>
      <c r="L49" s="79">
        <f t="shared" si="31"/>
        <v>-0.1832939346</v>
      </c>
      <c r="M49" s="79">
        <f t="shared" si="31"/>
        <v>0.07024534517</v>
      </c>
      <c r="N49" s="79">
        <f t="shared" si="31"/>
        <v>0.3501215312</v>
      </c>
      <c r="O49" s="79">
        <f t="shared" si="31"/>
        <v>0.5227823369</v>
      </c>
      <c r="P49" s="80">
        <f>P48/C47</f>
        <v>3.772202695</v>
      </c>
      <c r="Q49" s="41"/>
      <c r="R49" s="68">
        <f>pow(1+P49, 1/count(D49:O49))-1</f>
        <v>0.1390948984</v>
      </c>
      <c r="S49" s="68">
        <f t="shared" si="32"/>
        <v>1.669138781</v>
      </c>
    </row>
    <row r="50">
      <c r="A50" s="54"/>
      <c r="B50" s="13"/>
      <c r="C50" s="26"/>
      <c r="D50" s="8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82"/>
      <c r="Q50" s="82"/>
      <c r="R50" s="17"/>
      <c r="S50" s="17"/>
    </row>
    <row r="51">
      <c r="A51" s="8" t="s">
        <v>65</v>
      </c>
      <c r="B51" s="9"/>
      <c r="C51" s="10"/>
      <c r="D51" s="10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10"/>
      <c r="Q51" s="8" t="s">
        <v>66</v>
      </c>
      <c r="R51" s="8" t="s">
        <v>67</v>
      </c>
      <c r="S51" s="10"/>
    </row>
    <row r="52">
      <c r="A52" s="27" t="s">
        <v>21</v>
      </c>
      <c r="B52" s="84" t="s">
        <v>22</v>
      </c>
      <c r="C52" s="92">
        <v>0.0</v>
      </c>
      <c r="D52" s="199">
        <v>103.93</v>
      </c>
      <c r="E52" s="86">
        <v>99.61</v>
      </c>
      <c r="F52" s="200">
        <v>102.77</v>
      </c>
      <c r="G52" s="86">
        <v>93.09</v>
      </c>
      <c r="H52" s="86">
        <v>93.55</v>
      </c>
      <c r="I52" s="86">
        <v>91.3</v>
      </c>
      <c r="J52" s="86">
        <v>91.3</v>
      </c>
      <c r="K52" s="200">
        <v>97.23</v>
      </c>
      <c r="L52" s="86">
        <v>80.25</v>
      </c>
      <c r="M52" s="86">
        <v>84.08</v>
      </c>
      <c r="N52" s="86">
        <v>90.86</v>
      </c>
      <c r="O52" s="86">
        <v>86.19</v>
      </c>
      <c r="P52" s="85">
        <f t="shared" ref="P52:P53" si="33">index(D52:O52,1,counta(D52:O52))</f>
        <v>86.19</v>
      </c>
      <c r="Q52" s="87" t="str">
        <f t="shared" ref="Q52:Q53" si="34">(P52-C52)/C52</f>
        <v>#DIV/0!</v>
      </c>
      <c r="R52" s="88">
        <f t="shared" ref="R52:R53" si="35">(index(C52:O52,1,counta(C52:O52)) - index(C52:O52,1,counta(C52:O52)-1))/index(C52:O52,1,counta(C52:O52)-1)</f>
        <v>-0.05139775479</v>
      </c>
      <c r="S52" s="89"/>
    </row>
    <row r="53">
      <c r="A53" s="27" t="s">
        <v>159</v>
      </c>
      <c r="B53" s="84" t="s">
        <v>22</v>
      </c>
      <c r="C53" s="92">
        <v>0.0</v>
      </c>
      <c r="D53" s="199">
        <v>0.0</v>
      </c>
      <c r="E53" s="200">
        <v>0.0</v>
      </c>
      <c r="F53" s="200">
        <v>11.77</v>
      </c>
      <c r="G53" s="86">
        <v>10.49</v>
      </c>
      <c r="H53" s="86">
        <v>10.67</v>
      </c>
      <c r="I53" s="86">
        <v>12.39</v>
      </c>
      <c r="J53" s="86">
        <v>12.39</v>
      </c>
      <c r="K53" s="86">
        <v>12.63</v>
      </c>
      <c r="L53" s="86">
        <v>10.97</v>
      </c>
      <c r="M53" s="86">
        <v>11.06</v>
      </c>
      <c r="N53" s="86">
        <v>11.43</v>
      </c>
      <c r="O53" s="86">
        <v>10.61</v>
      </c>
      <c r="P53" s="85">
        <f t="shared" si="33"/>
        <v>10.61</v>
      </c>
      <c r="Q53" s="87" t="str">
        <f t="shared" si="34"/>
        <v>#DIV/0!</v>
      </c>
      <c r="R53" s="88">
        <f t="shared" si="35"/>
        <v>-0.07174103237</v>
      </c>
      <c r="S53" s="89"/>
    </row>
    <row r="54">
      <c r="A54" s="90"/>
      <c r="B54" s="91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>
      <c r="A55" s="94" t="s">
        <v>70</v>
      </c>
      <c r="B55" s="95"/>
      <c r="C55" s="201">
        <v>10.555</v>
      </c>
      <c r="D55" s="200">
        <v>10.56691876</v>
      </c>
      <c r="E55" s="86">
        <v>10.66704412</v>
      </c>
      <c r="F55" s="200">
        <v>10.729</v>
      </c>
      <c r="G55" s="86">
        <v>10.51734075</v>
      </c>
      <c r="H55" s="86">
        <v>10.57695762</v>
      </c>
      <c r="I55" s="86">
        <v>10.52214027</v>
      </c>
      <c r="J55" s="86">
        <v>10.52214027</v>
      </c>
      <c r="K55" s="86">
        <v>10.61467875</v>
      </c>
      <c r="L55" s="86">
        <v>10.73195411</v>
      </c>
      <c r="M55" s="86">
        <v>10.85922028</v>
      </c>
      <c r="N55" s="86">
        <v>11.14884307</v>
      </c>
      <c r="O55" s="86">
        <v>11.157</v>
      </c>
      <c r="P55" s="97">
        <f t="shared" ref="P55:P57" si="36">index(D55:O55,1,counta(D55:O55))</f>
        <v>11.157</v>
      </c>
      <c r="Q55" s="98">
        <f t="shared" ref="Q55:Q57" si="37">(P55-C55)/C55</f>
        <v>0.05703458077</v>
      </c>
      <c r="R55" s="99">
        <f t="shared" ref="R55:R57" si="38">(index(C55:O55,1,counta(C55:O55)) - index(C55:O55,1,counta(C55:O55)-1))/index(C55:O55,1,counta(C55:O55)-1)</f>
        <v>0.000731639144</v>
      </c>
      <c r="S55" s="46"/>
    </row>
    <row r="56">
      <c r="A56" s="94" t="s">
        <v>71</v>
      </c>
      <c r="B56" s="95"/>
      <c r="C56" s="201">
        <v>1.137</v>
      </c>
      <c r="D56" s="200">
        <v>1.130435</v>
      </c>
      <c r="E56" s="86">
        <v>1.12575</v>
      </c>
      <c r="F56" s="200">
        <v>1.098</v>
      </c>
      <c r="G56" s="86">
        <v>1.05437</v>
      </c>
      <c r="H56" s="86">
        <v>1.0729499999999998</v>
      </c>
      <c r="I56" s="86">
        <v>1.02122</v>
      </c>
      <c r="J56" s="86">
        <v>1.02122</v>
      </c>
      <c r="K56" s="86">
        <v>1.00494</v>
      </c>
      <c r="L56" s="86">
        <v>0.9744999999999999</v>
      </c>
      <c r="M56" s="86">
        <v>0.9897499999999999</v>
      </c>
      <c r="N56" s="86">
        <v>1.040635</v>
      </c>
      <c r="O56" s="86">
        <v>1.0726499999999999</v>
      </c>
      <c r="P56" s="97">
        <f t="shared" si="36"/>
        <v>1.07265</v>
      </c>
      <c r="Q56" s="98">
        <f t="shared" si="37"/>
        <v>-0.05659630607</v>
      </c>
      <c r="R56" s="99">
        <f t="shared" si="38"/>
        <v>0.03076486953</v>
      </c>
      <c r="S56" s="46"/>
    </row>
    <row r="57">
      <c r="A57" s="94" t="s">
        <v>72</v>
      </c>
      <c r="B57" s="95"/>
      <c r="C57" s="201">
        <v>9.28</v>
      </c>
      <c r="D57" s="200">
        <v>9.3475</v>
      </c>
      <c r="E57" s="86">
        <v>9.4755</v>
      </c>
      <c r="F57" s="200">
        <v>9.771</v>
      </c>
      <c r="G57" s="86">
        <v>9.975</v>
      </c>
      <c r="H57" s="86">
        <v>9.857828999999999</v>
      </c>
      <c r="I57" s="86">
        <v>10.303500000000001</v>
      </c>
      <c r="J57" s="86">
        <v>10.303500000000001</v>
      </c>
      <c r="K57" s="86">
        <v>10.5625</v>
      </c>
      <c r="L57" s="86">
        <v>11.012780000000001</v>
      </c>
      <c r="M57" s="86">
        <v>10.971680000000001</v>
      </c>
      <c r="N57" s="86">
        <v>10.713500000000002</v>
      </c>
      <c r="O57" s="86">
        <v>10.43875</v>
      </c>
      <c r="P57" s="97">
        <f t="shared" si="36"/>
        <v>10.43875</v>
      </c>
      <c r="Q57" s="98">
        <f t="shared" si="37"/>
        <v>0.1248653017</v>
      </c>
      <c r="R57" s="99">
        <f t="shared" si="38"/>
        <v>-0.02564521398</v>
      </c>
    </row>
    <row r="58">
      <c r="A58" s="94"/>
      <c r="B58" s="95"/>
      <c r="C58" s="201"/>
      <c r="D58" s="2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2"/>
      <c r="Q58" s="102"/>
      <c r="R58" s="46"/>
      <c r="S58" s="46"/>
    </row>
    <row r="59">
      <c r="A59" s="27" t="s">
        <v>73</v>
      </c>
      <c r="B59" s="103"/>
      <c r="C59" s="108">
        <v>37242.9</v>
      </c>
      <c r="D59" s="202">
        <v>37242.9</v>
      </c>
      <c r="E59" s="105">
        <v>39337.700000000004</v>
      </c>
      <c r="F59" s="202">
        <v>46657.0</v>
      </c>
      <c r="G59" s="105">
        <v>38235.4</v>
      </c>
      <c r="H59" s="105">
        <v>31808.9</v>
      </c>
      <c r="I59" s="105">
        <v>23902.2</v>
      </c>
      <c r="J59" s="105">
        <v>23902.2</v>
      </c>
      <c r="K59" s="105">
        <v>20110.9</v>
      </c>
      <c r="L59" s="105">
        <v>19484.4</v>
      </c>
      <c r="M59" s="105">
        <v>20408.2</v>
      </c>
      <c r="N59" s="105">
        <v>17057.0</v>
      </c>
      <c r="O59" s="105">
        <v>16540.4</v>
      </c>
      <c r="P59" s="104">
        <f t="array" ref="P59">index(D59:O59,1,counta(D59:O59))</f>
        <v>16540.4</v>
      </c>
      <c r="Q59" s="98">
        <f>(P59-C59)/C59</f>
        <v>-0.5558777646</v>
      </c>
      <c r="R59" s="106">
        <f t="array" ref="R59">(index(C59:O59,1,counta(C59:O59)) - index(C59:O59,1,counta(C59:O59)-1))/index(C59:O59,1,counta(C59:O59)-1)</f>
        <v>-0.03028668582</v>
      </c>
      <c r="S59" s="45"/>
    </row>
    <row r="60">
      <c r="A60" s="27" t="s">
        <v>74</v>
      </c>
      <c r="B60" s="107" t="s">
        <v>26</v>
      </c>
      <c r="C60" s="108"/>
      <c r="D60" s="202"/>
      <c r="E60" s="105"/>
      <c r="F60" s="202"/>
      <c r="G60" s="105"/>
      <c r="H60" s="110">
        <v>0.177223</v>
      </c>
      <c r="I60" s="110">
        <v>0.135759</v>
      </c>
      <c r="J60" s="110">
        <v>0.13828</v>
      </c>
      <c r="K60" s="110">
        <v>0.1227</v>
      </c>
      <c r="L60" s="110">
        <v>0.1102</v>
      </c>
      <c r="M60" s="110">
        <v>0.109</v>
      </c>
      <c r="N60" s="110">
        <v>0.0624992</v>
      </c>
      <c r="O60" s="110">
        <v>0.0528749</v>
      </c>
      <c r="P60" s="104"/>
      <c r="Q60" s="98"/>
      <c r="R60" s="106"/>
      <c r="S60" s="45"/>
    </row>
    <row r="61">
      <c r="A61" s="54"/>
      <c r="B61" s="95"/>
      <c r="C61" s="111"/>
      <c r="E61" s="112"/>
      <c r="F61" s="112"/>
      <c r="G61" s="112"/>
      <c r="H61" s="112"/>
      <c r="I61" s="112"/>
      <c r="J61" s="112"/>
      <c r="K61" s="89"/>
      <c r="L61" s="89"/>
      <c r="M61" s="89"/>
      <c r="N61" s="89"/>
      <c r="O61" s="89"/>
      <c r="P61" s="102"/>
      <c r="Q61" s="102"/>
      <c r="R61" s="46"/>
      <c r="S61" s="46"/>
    </row>
    <row r="62">
      <c r="A62" s="8" t="s">
        <v>76</v>
      </c>
      <c r="B62" s="9"/>
      <c r="C62" s="10"/>
      <c r="D62" s="10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10"/>
      <c r="Q62" s="8" t="s">
        <v>66</v>
      </c>
      <c r="R62" s="8" t="s">
        <v>67</v>
      </c>
      <c r="S62" s="10"/>
    </row>
    <row r="63">
      <c r="A63" s="94" t="s">
        <v>77</v>
      </c>
      <c r="B63" s="91" t="s">
        <v>26</v>
      </c>
      <c r="C63" s="22">
        <f>(SUMIF($B$3:$B$7, "=F",C3:C7) +sum(B9)*0.8)/C55 + SUMIF($B$3:$B$7, "=E",C3:C7) + SUMIF($B$3:$B$7, "=D",C3:C7)/C56</f>
        <v>0</v>
      </c>
      <c r="D63" s="113">
        <f t="shared" ref="D63:O63" si="39">(SUMIF($B$3:$B$7, "=M",D3:D7)/D55 + SUMIF($B$3:$B$7, "=E",D3:D7) + SUMIF($B$3:$B$7, "=D",D3:D7)/D56)</f>
        <v>91.93805924</v>
      </c>
      <c r="E63" s="113">
        <f t="shared" si="39"/>
        <v>88.4832334</v>
      </c>
      <c r="F63" s="113">
        <f t="shared" si="39"/>
        <v>104.3169399</v>
      </c>
      <c r="G63" s="113">
        <f t="shared" si="39"/>
        <v>98.23875869</v>
      </c>
      <c r="H63" s="113">
        <f t="shared" si="39"/>
        <v>97.13406962</v>
      </c>
      <c r="I63" s="113">
        <f t="shared" si="39"/>
        <v>101.5354184</v>
      </c>
      <c r="J63" s="113">
        <f t="shared" si="39"/>
        <v>101.5354184</v>
      </c>
      <c r="K63" s="113">
        <f t="shared" si="39"/>
        <v>109.3199594</v>
      </c>
      <c r="L63" s="113">
        <f t="shared" si="39"/>
        <v>93.60697794</v>
      </c>
      <c r="M63" s="113">
        <f t="shared" si="39"/>
        <v>96.12528416</v>
      </c>
      <c r="N63" s="113">
        <f t="shared" si="39"/>
        <v>98.29575211</v>
      </c>
      <c r="O63" s="113">
        <f t="shared" si="39"/>
        <v>310.2969282</v>
      </c>
      <c r="P63" s="22">
        <f t="shared" ref="P63:P69" si="41">index(D63:O63,1,counta(D63:O63))</f>
        <v>310.2969282</v>
      </c>
      <c r="Q63" s="87" t="str">
        <f t="shared" ref="Q63:Q68" si="42">(P63-C63)/C63</f>
        <v>#DIV/0!</v>
      </c>
      <c r="R63" s="88">
        <f t="shared" ref="R63:R68" si="43">(index(C63:O63,1,counta(C63:O63)) - index(C63:O63,1,counta(C63:O63)-1))/index(C63:O63,1,counta(C63:O63)-1)</f>
        <v>2.156768441</v>
      </c>
      <c r="S63" s="36"/>
    </row>
    <row r="64">
      <c r="A64" s="94" t="s">
        <v>27</v>
      </c>
      <c r="B64" s="91" t="s">
        <v>26</v>
      </c>
      <c r="C64" s="22">
        <f>(SUMIF($B$9:$B$14, "=F",C9:C14) +sum(C9)*0.2)/C55 + SUMIF($B$9:$B$14, "=E",C9:C14) + SUMIF($B$9:$B$14, "=D",C9:C14)/C56</f>
        <v>1000</v>
      </c>
      <c r="D64" s="113">
        <f t="shared" ref="D64:O64" si="40">(SUMIF($B$9:$B$11, "=M",D9:D11) +SUM(D9)*0.2)/D55 + SUMIF($B$9:$B$11, "=E",D9:D11) + SUMIF($B$9:$B$11, "=D",D9:D11)/D56</f>
        <v>1000</v>
      </c>
      <c r="E64" s="113">
        <f t="shared" si="40"/>
        <v>1000</v>
      </c>
      <c r="F64" s="113">
        <f t="shared" si="40"/>
        <v>1000</v>
      </c>
      <c r="G64" s="113">
        <f t="shared" si="40"/>
        <v>1000</v>
      </c>
      <c r="H64" s="113">
        <f t="shared" si="40"/>
        <v>1000</v>
      </c>
      <c r="I64" s="113">
        <f t="shared" si="40"/>
        <v>1000</v>
      </c>
      <c r="J64" s="113">
        <f t="shared" si="40"/>
        <v>1000</v>
      </c>
      <c r="K64" s="113">
        <f t="shared" si="40"/>
        <v>1000</v>
      </c>
      <c r="L64" s="113">
        <f t="shared" si="40"/>
        <v>1000</v>
      </c>
      <c r="M64" s="113">
        <f t="shared" si="40"/>
        <v>1000</v>
      </c>
      <c r="N64" s="113">
        <f t="shared" si="40"/>
        <v>1000</v>
      </c>
      <c r="O64" s="113">
        <f t="shared" si="40"/>
        <v>1000</v>
      </c>
      <c r="P64" s="22">
        <f t="shared" si="41"/>
        <v>1000</v>
      </c>
      <c r="Q64" s="87">
        <f t="shared" si="42"/>
        <v>0</v>
      </c>
      <c r="R64" s="88">
        <f t="shared" si="43"/>
        <v>0</v>
      </c>
      <c r="S64" s="36"/>
    </row>
    <row r="65">
      <c r="A65" s="39" t="s">
        <v>29</v>
      </c>
      <c r="B65" s="114" t="s">
        <v>26</v>
      </c>
      <c r="C65" s="40">
        <f>SUMIF($B$11:$B$14, "=F",C11:C14)/C$55 + SUMIF($B$11:$B$14, "=E",C11:C14) + SUMIF($B$11:$B$14, "=D",C11:C14)/C$56</f>
        <v>0</v>
      </c>
      <c r="D65" s="113">
        <f t="shared" ref="D65:O65" si="44">SUMIF($B$11:$B$13, "=M",D$11:D$13)/D$55 + SUMIF($B$11:$B$13, "=E",D$11:D$13) + SUMIF($B$11:$B$13, "=D",D$11:D$13)/D$56</f>
        <v>0</v>
      </c>
      <c r="E65" s="113">
        <f t="shared" si="44"/>
        <v>0</v>
      </c>
      <c r="F65" s="113">
        <f t="shared" si="44"/>
        <v>0</v>
      </c>
      <c r="G65" s="113">
        <f t="shared" si="44"/>
        <v>0</v>
      </c>
      <c r="H65" s="113">
        <f t="shared" si="44"/>
        <v>52.02912834</v>
      </c>
      <c r="I65" s="113">
        <f t="shared" si="44"/>
        <v>39.85612722</v>
      </c>
      <c r="J65" s="113">
        <f t="shared" si="44"/>
        <v>40.5962424</v>
      </c>
      <c r="K65" s="113">
        <f t="shared" si="44"/>
        <v>36.022266</v>
      </c>
      <c r="L65" s="113">
        <f t="shared" si="44"/>
        <v>32.352516</v>
      </c>
      <c r="M65" s="113">
        <f t="shared" si="44"/>
        <v>32.00022</v>
      </c>
      <c r="N65" s="113">
        <f t="shared" si="44"/>
        <v>18.34851514</v>
      </c>
      <c r="O65" s="113">
        <f t="shared" si="44"/>
        <v>15.52301314</v>
      </c>
      <c r="P65" s="104">
        <f t="shared" si="41"/>
        <v>15.52301314</v>
      </c>
      <c r="Q65" s="87" t="str">
        <f t="shared" si="42"/>
        <v>#DIV/0!</v>
      </c>
      <c r="R65" s="88">
        <f t="shared" si="43"/>
        <v>-0.1539907711</v>
      </c>
      <c r="S65" s="36"/>
    </row>
    <row r="66">
      <c r="A66" s="94" t="s">
        <v>78</v>
      </c>
      <c r="B66" s="91" t="s">
        <v>26</v>
      </c>
      <c r="C66" s="113">
        <v>2241.17</v>
      </c>
      <c r="D66" s="113">
        <f t="shared" ref="D66:O66" si="45">SUMIF($B$14:$B$26, "=M",D14:D26)/D55 + SUMIF($B$14:$B$26, "=E",D14:D26) + SUMIF($B$14:$B$26, "=D",D14:D26)/D56</f>
        <v>2241.17</v>
      </c>
      <c r="E66" s="113">
        <f t="shared" si="45"/>
        <v>2954.44</v>
      </c>
      <c r="F66" s="113">
        <f t="shared" si="45"/>
        <v>2735.43</v>
      </c>
      <c r="G66" s="113">
        <f t="shared" si="45"/>
        <v>4190.87</v>
      </c>
      <c r="H66" s="113">
        <f t="shared" si="45"/>
        <v>4029.87</v>
      </c>
      <c r="I66" s="113">
        <f t="shared" si="45"/>
        <v>3098.55</v>
      </c>
      <c r="J66" s="113">
        <f t="shared" si="45"/>
        <v>4119.67</v>
      </c>
      <c r="K66" s="113">
        <f t="shared" si="45"/>
        <v>3480.28</v>
      </c>
      <c r="L66" s="113">
        <f t="shared" si="45"/>
        <v>2769.04</v>
      </c>
      <c r="M66" s="113">
        <f t="shared" si="45"/>
        <v>2964.55</v>
      </c>
      <c r="N66" s="113">
        <f t="shared" si="45"/>
        <v>4323.11</v>
      </c>
      <c r="O66" s="113">
        <f t="shared" si="45"/>
        <v>4973.29</v>
      </c>
      <c r="P66" s="22">
        <f t="shared" si="41"/>
        <v>4973.29</v>
      </c>
      <c r="Q66" s="98">
        <f t="shared" si="42"/>
        <v>1.219059688</v>
      </c>
      <c r="R66" s="99">
        <f t="shared" si="43"/>
        <v>0.1503963582</v>
      </c>
      <c r="S66" s="36"/>
    </row>
    <row r="67">
      <c r="A67" s="94" t="s">
        <v>50</v>
      </c>
      <c r="B67" s="91" t="s">
        <v>26</v>
      </c>
      <c r="C67" s="22">
        <f>SUMIF($B$26:$B$28, "=F",C26:C28)/C55 + SUMIF($B$26:$B$28, "=E",C26:C28) + SUMIF($B$26:$B$28, "=D",C26:C28)/C56</f>
        <v>0</v>
      </c>
      <c r="D67" s="113">
        <f t="shared" ref="D67:O67" si="46">SUMIF($B$26:$B$28, "=M",D26:D28)/D55 + SUMIF($B$26:$B$28, "=E",D26:D28) + SUMIF($B$26:$B$28, "=D",D26:D28)/D56</f>
        <v>0</v>
      </c>
      <c r="E67" s="113">
        <f t="shared" si="46"/>
        <v>0</v>
      </c>
      <c r="F67" s="113">
        <f t="shared" si="46"/>
        <v>0</v>
      </c>
      <c r="G67" s="113">
        <f t="shared" si="46"/>
        <v>0</v>
      </c>
      <c r="H67" s="113">
        <f t="shared" si="46"/>
        <v>0</v>
      </c>
      <c r="I67" s="113">
        <f t="shared" si="46"/>
        <v>0</v>
      </c>
      <c r="J67" s="113">
        <f t="shared" si="46"/>
        <v>0</v>
      </c>
      <c r="K67" s="113">
        <f t="shared" si="46"/>
        <v>0</v>
      </c>
      <c r="L67" s="113">
        <f t="shared" si="46"/>
        <v>0</v>
      </c>
      <c r="M67" s="113">
        <f t="shared" si="46"/>
        <v>0</v>
      </c>
      <c r="N67" s="113">
        <f t="shared" si="46"/>
        <v>0</v>
      </c>
      <c r="O67" s="113">
        <f t="shared" si="46"/>
        <v>0</v>
      </c>
      <c r="P67" s="22">
        <f t="shared" si="41"/>
        <v>0</v>
      </c>
      <c r="Q67" s="98" t="str">
        <f t="shared" si="42"/>
        <v>#DIV/0!</v>
      </c>
      <c r="R67" s="99" t="str">
        <f t="shared" si="43"/>
        <v>#DIV/0!</v>
      </c>
      <c r="S67" s="36"/>
    </row>
    <row r="68">
      <c r="A68" s="94" t="s">
        <v>52</v>
      </c>
      <c r="B68" s="91" t="s">
        <v>26</v>
      </c>
      <c r="C68" s="22">
        <f>SUMIF($B$28:$B$35, "=F",C28:C35)/C55 + SUMIF($B$28:$B$35, "=E",C28:C35) + SUMIF($B$28:$B$35, "=D",C28:C35)/C56</f>
        <v>-860.24</v>
      </c>
      <c r="D68" s="113">
        <f t="shared" ref="D68:O68" si="47">SUMIF($B$28:$B$35, "=M",D28:D35)/D55 + SUMIF($B$28:$B$35, "=E",D28:D35) + SUMIF($B$28:$B$35, "=D",D28:D35)/D56</f>
        <v>-673.94</v>
      </c>
      <c r="E68" s="113">
        <f t="shared" si="47"/>
        <v>-546.3</v>
      </c>
      <c r="F68" s="113">
        <f t="shared" si="47"/>
        <v>-953.11</v>
      </c>
      <c r="G68" s="113">
        <f t="shared" si="47"/>
        <v>-553.6</v>
      </c>
      <c r="H68" s="113">
        <f t="shared" si="47"/>
        <v>-336.1</v>
      </c>
      <c r="I68" s="113">
        <f t="shared" si="47"/>
        <v>-895.65</v>
      </c>
      <c r="J68" s="113">
        <f t="shared" si="47"/>
        <v>-853.7</v>
      </c>
      <c r="K68" s="113">
        <f t="shared" si="47"/>
        <v>-741.95</v>
      </c>
      <c r="L68" s="113">
        <f t="shared" si="47"/>
        <v>-726</v>
      </c>
      <c r="M68" s="113">
        <f t="shared" si="47"/>
        <v>-595</v>
      </c>
      <c r="N68" s="113">
        <f t="shared" si="47"/>
        <v>-1685.9</v>
      </c>
      <c r="O68" s="113">
        <f t="shared" si="47"/>
        <v>-921.38</v>
      </c>
      <c r="P68" s="22">
        <f t="shared" si="41"/>
        <v>-921.38</v>
      </c>
      <c r="Q68" s="98">
        <f t="shared" si="42"/>
        <v>0.07107318888</v>
      </c>
      <c r="R68" s="99">
        <f t="shared" si="43"/>
        <v>-0.453478854</v>
      </c>
      <c r="S68" s="36"/>
    </row>
    <row r="69">
      <c r="A69" s="94" t="s">
        <v>55</v>
      </c>
      <c r="B69" s="91" t="s">
        <v>26</v>
      </c>
      <c r="C69" s="22">
        <f>SUMIF($B$35:$B$37, "=F",C35:C37)/C55 + SUMIF($B$35:$B$37, "=E",C35:C37) + SUMIF($B$35:$B$37, "=D",C35:C37)/C56</f>
        <v>0</v>
      </c>
      <c r="D69" s="113">
        <f t="shared" ref="D69:O69" si="48">SUMIF($B$35:$B$37, "=M",D35:D37)/D55 + SUMIF($B$35:$B$37, "=E",D35:D37) + SUMIF($B$35:$B$37, "=D",D35:D37)/D56</f>
        <v>0</v>
      </c>
      <c r="E69" s="113">
        <f t="shared" si="48"/>
        <v>0</v>
      </c>
      <c r="F69" s="113">
        <f t="shared" si="48"/>
        <v>0</v>
      </c>
      <c r="G69" s="113">
        <f t="shared" si="48"/>
        <v>0</v>
      </c>
      <c r="H69" s="113">
        <f t="shared" si="48"/>
        <v>0</v>
      </c>
      <c r="I69" s="113">
        <f t="shared" si="48"/>
        <v>0</v>
      </c>
      <c r="J69" s="113">
        <f t="shared" si="48"/>
        <v>0</v>
      </c>
      <c r="K69" s="113">
        <f t="shared" si="48"/>
        <v>0</v>
      </c>
      <c r="L69" s="113">
        <f t="shared" si="48"/>
        <v>0</v>
      </c>
      <c r="M69" s="113">
        <f t="shared" si="48"/>
        <v>0</v>
      </c>
      <c r="N69" s="113">
        <f t="shared" si="48"/>
        <v>0</v>
      </c>
      <c r="O69" s="113">
        <f t="shared" si="48"/>
        <v>0</v>
      </c>
      <c r="P69" s="22">
        <f t="shared" si="41"/>
        <v>0</v>
      </c>
      <c r="Q69" s="102"/>
      <c r="R69" s="46"/>
      <c r="S69" s="36"/>
    </row>
    <row r="70">
      <c r="A70" s="54"/>
      <c r="B70" s="95"/>
      <c r="C70" s="22"/>
      <c r="D70" s="115"/>
      <c r="E70" s="116"/>
      <c r="F70" s="116"/>
      <c r="G70" s="116"/>
      <c r="H70" s="103"/>
      <c r="I70" s="103"/>
      <c r="J70" s="103"/>
      <c r="K70" s="103"/>
      <c r="L70" s="103"/>
      <c r="M70" s="103"/>
      <c r="N70" s="103"/>
      <c r="O70" s="103"/>
      <c r="P70" s="117"/>
      <c r="Q70" s="98" t="str">
        <f>(P70-C70)/C70</f>
        <v>#DIV/0!</v>
      </c>
      <c r="R70" s="106" t="str">
        <f t="array" ref="R70">(index(C70:O70,1,counta(C70:O70)) - index(C70:O70,1,counta(C70:O70)-1))/index(C70:O70,1,counta(C70:O70)-1)</f>
        <v>#VALUE!</v>
      </c>
      <c r="S70" s="36"/>
    </row>
    <row r="71">
      <c r="A71" s="8" t="s">
        <v>79</v>
      </c>
      <c r="B71" s="9"/>
      <c r="C71" s="118"/>
      <c r="D71" s="118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8"/>
      <c r="Q71" s="10"/>
      <c r="R71" s="10"/>
      <c r="S71" s="10"/>
    </row>
    <row r="72">
      <c r="A72" s="120" t="s">
        <v>80</v>
      </c>
      <c r="B72" s="103"/>
      <c r="C72" s="103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17"/>
      <c r="R72" s="61"/>
      <c r="S72" s="36"/>
    </row>
    <row r="73">
      <c r="A73" s="39" t="s">
        <v>81</v>
      </c>
      <c r="B73" s="122" t="s">
        <v>26</v>
      </c>
      <c r="C73" s="103"/>
      <c r="D73" s="123">
        <v>1773.0</v>
      </c>
      <c r="E73" s="123">
        <v>1719.0</v>
      </c>
      <c r="F73" s="123">
        <v>1779.0</v>
      </c>
      <c r="G73" s="123">
        <f>767+1709</f>
        <v>2476</v>
      </c>
      <c r="H73" s="123">
        <v>2080.0</v>
      </c>
      <c r="I73" s="123">
        <v>1733.0</v>
      </c>
      <c r="J73" s="123">
        <v>2763.0</v>
      </c>
      <c r="K73" s="123">
        <v>1822.0</v>
      </c>
      <c r="L73" s="123">
        <v>1764.0</v>
      </c>
      <c r="M73" s="123">
        <v>1849.0</v>
      </c>
      <c r="N73" s="123">
        <v>1821.0</v>
      </c>
      <c r="O73" s="123">
        <f>1574+2245</f>
        <v>3819</v>
      </c>
      <c r="P73" s="117">
        <f>sum(D73:O73)</f>
        <v>25398</v>
      </c>
      <c r="R73" s="61">
        <f>P73/count(D73:O73)</f>
        <v>2116.5</v>
      </c>
      <c r="S73" s="36"/>
    </row>
    <row r="74">
      <c r="A74" s="23" t="s">
        <v>82</v>
      </c>
      <c r="B74" s="103"/>
      <c r="C74" s="103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17"/>
      <c r="R74" s="61"/>
    </row>
    <row r="75">
      <c r="A75" s="27" t="s">
        <v>83</v>
      </c>
      <c r="B75" s="122" t="s">
        <v>26</v>
      </c>
      <c r="C75" s="103"/>
      <c r="D75" s="113">
        <v>0.0</v>
      </c>
      <c r="E75" s="123">
        <v>180.0</v>
      </c>
      <c r="F75" s="123"/>
      <c r="G75" s="123">
        <v>725.0</v>
      </c>
      <c r="H75" s="123"/>
      <c r="I75" s="123"/>
      <c r="J75" s="121"/>
      <c r="K75" s="121"/>
      <c r="L75" s="121"/>
      <c r="M75" s="121"/>
      <c r="N75" s="121"/>
      <c r="O75" s="121"/>
      <c r="P75" s="117">
        <f t="shared" ref="P75:P79" si="49">sum(D75:O75)</f>
        <v>905</v>
      </c>
      <c r="R75" s="61">
        <f>P75/count(D75:O75)</f>
        <v>301.6666667</v>
      </c>
    </row>
    <row r="76">
      <c r="A76" s="39" t="s">
        <v>84</v>
      </c>
      <c r="B76" s="122" t="s">
        <v>26</v>
      </c>
      <c r="C76" s="103"/>
      <c r="D76" s="123">
        <v>0.0</v>
      </c>
      <c r="E76" s="123">
        <v>5.0</v>
      </c>
      <c r="F76" s="123"/>
      <c r="G76" s="123"/>
      <c r="H76" s="123"/>
      <c r="I76" s="123"/>
      <c r="J76" s="121"/>
      <c r="K76" s="121"/>
      <c r="L76" s="121"/>
      <c r="M76" s="123"/>
      <c r="N76" s="121"/>
      <c r="O76" s="121"/>
      <c r="P76" s="117">
        <f t="shared" si="49"/>
        <v>5</v>
      </c>
      <c r="Q76" s="89"/>
      <c r="R76" s="124"/>
      <c r="S76" s="89"/>
    </row>
    <row r="77">
      <c r="A77" s="39" t="s">
        <v>85</v>
      </c>
      <c r="B77" s="122" t="s">
        <v>26</v>
      </c>
      <c r="C77" s="103"/>
      <c r="D77" s="123">
        <v>45.0</v>
      </c>
      <c r="E77" s="121"/>
      <c r="F77" s="121"/>
      <c r="G77" s="121"/>
      <c r="H77" s="121"/>
      <c r="I77" s="121"/>
      <c r="J77" s="113"/>
      <c r="K77" s="113"/>
      <c r="L77" s="113"/>
      <c r="M77" s="113"/>
      <c r="N77" s="113"/>
      <c r="O77" s="113"/>
      <c r="P77" s="117">
        <f t="shared" si="49"/>
        <v>45</v>
      </c>
      <c r="Q77" s="89"/>
      <c r="R77" s="124"/>
      <c r="S77" s="89"/>
    </row>
    <row r="78">
      <c r="A78" s="27" t="s">
        <v>86</v>
      </c>
      <c r="B78" s="122" t="s">
        <v>26</v>
      </c>
      <c r="C78" s="103"/>
      <c r="D78" s="113">
        <v>0.0</v>
      </c>
      <c r="E78" s="113"/>
      <c r="F78" s="125"/>
      <c r="G78" s="125"/>
      <c r="H78" s="125"/>
      <c r="I78" s="125"/>
      <c r="J78" s="121"/>
      <c r="K78" s="121"/>
      <c r="L78" s="121"/>
      <c r="M78" s="121"/>
      <c r="N78" s="121"/>
      <c r="O78" s="121"/>
      <c r="P78" s="117">
        <f t="shared" si="49"/>
        <v>0</v>
      </c>
      <c r="Q78" s="89"/>
      <c r="R78" s="124"/>
      <c r="S78" s="89"/>
    </row>
    <row r="79" ht="13.5" customHeight="1">
      <c r="A79" s="27" t="s">
        <v>52</v>
      </c>
      <c r="B79" s="122" t="s">
        <v>26</v>
      </c>
      <c r="C79" s="103"/>
      <c r="D79" s="125">
        <v>250.0</v>
      </c>
      <c r="E79" s="125">
        <f>850+416+200</f>
        <v>1466</v>
      </c>
      <c r="F79" s="125">
        <f>100+100+200</f>
        <v>400</v>
      </c>
      <c r="G79" s="125">
        <v>456.91</v>
      </c>
      <c r="H79" s="125">
        <f>25+40</f>
        <v>65</v>
      </c>
      <c r="I79" s="125"/>
      <c r="J79" s="113">
        <f>25.31+179.06</f>
        <v>204.37</v>
      </c>
      <c r="K79" s="125"/>
      <c r="L79" s="113"/>
      <c r="M79" s="125">
        <v>180.0</v>
      </c>
      <c r="N79" s="125">
        <f>300+950+59.99+40+17.99</f>
        <v>1367.98</v>
      </c>
      <c r="O79" s="125">
        <v>100.0</v>
      </c>
      <c r="P79" s="117">
        <f t="shared" si="49"/>
        <v>4490.26</v>
      </c>
      <c r="Q79" s="89"/>
      <c r="R79" s="124"/>
      <c r="S79" s="89"/>
    </row>
    <row r="80">
      <c r="A80" s="23" t="s">
        <v>87</v>
      </c>
      <c r="B80" s="103"/>
      <c r="C80" s="103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17"/>
      <c r="R80" s="61"/>
    </row>
    <row r="81">
      <c r="A81" s="39" t="s">
        <v>88</v>
      </c>
      <c r="B81" s="126" t="s">
        <v>22</v>
      </c>
      <c r="C81" s="103"/>
      <c r="D81" s="121">
        <v>0.0</v>
      </c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P81" s="117">
        <f>sum(D81:O81)</f>
        <v>0</v>
      </c>
      <c r="R81" s="61">
        <f>P81/count(D81:O81)</f>
        <v>0</v>
      </c>
    </row>
    <row r="82">
      <c r="A82" s="27" t="s">
        <v>89</v>
      </c>
      <c r="B82" s="84" t="s">
        <v>26</v>
      </c>
      <c r="C82" s="103"/>
      <c r="D82" s="123">
        <v>0.0</v>
      </c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17"/>
      <c r="R82" s="61"/>
    </row>
    <row r="83">
      <c r="A83" s="39"/>
      <c r="B83" s="103"/>
      <c r="C83" s="103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02"/>
      <c r="R83" s="128"/>
      <c r="S83" s="128"/>
    </row>
    <row r="84">
      <c r="A84" s="39" t="s">
        <v>90</v>
      </c>
      <c r="B84" s="122" t="s">
        <v>26</v>
      </c>
      <c r="C84" s="89"/>
      <c r="D84" s="121">
        <f t="shared" ref="D84:O84" si="50">(SUMIF($B$73:$B$83, "=E",D73:D83)) +SUMIF($B$73:$B$83, "=M",D73:D83)*D55 +SUMIF($B$73:$B$83, "=D",D73:D83)*D56</f>
        <v>2068</v>
      </c>
      <c r="E84" s="121">
        <f t="shared" si="50"/>
        <v>3370</v>
      </c>
      <c r="F84" s="121">
        <f t="shared" si="50"/>
        <v>2179</v>
      </c>
      <c r="G84" s="121">
        <f t="shared" si="50"/>
        <v>3657.91</v>
      </c>
      <c r="H84" s="121">
        <f t="shared" si="50"/>
        <v>2145</v>
      </c>
      <c r="I84" s="121">
        <f t="shared" si="50"/>
        <v>1733</v>
      </c>
      <c r="J84" s="121">
        <f t="shared" si="50"/>
        <v>2967.37</v>
      </c>
      <c r="K84" s="121">
        <f t="shared" si="50"/>
        <v>1822</v>
      </c>
      <c r="L84" s="121">
        <f t="shared" si="50"/>
        <v>1764</v>
      </c>
      <c r="M84" s="121">
        <f t="shared" si="50"/>
        <v>2029</v>
      </c>
      <c r="N84" s="121">
        <f t="shared" si="50"/>
        <v>3188.98</v>
      </c>
      <c r="O84" s="121">
        <f t="shared" si="50"/>
        <v>3919</v>
      </c>
      <c r="P84" s="129">
        <f t="shared" ref="P84:P85" si="51">sum(D84:O84)</f>
        <v>30843.26</v>
      </c>
      <c r="Q84" s="130"/>
      <c r="R84" s="61">
        <f t="shared" ref="R84:R86" si="52">P84/count(D84:O84)</f>
        <v>2570.271667</v>
      </c>
      <c r="S84" s="61">
        <f t="shared" ref="S84:S86" si="53">12*R84</f>
        <v>30843.26</v>
      </c>
    </row>
    <row r="85">
      <c r="A85" s="94" t="s">
        <v>91</v>
      </c>
      <c r="B85" s="122" t="s">
        <v>26</v>
      </c>
      <c r="C85" s="111"/>
      <c r="D85" s="131">
        <f>IFERROR(__xludf.DUMMYFUNCTION("IMPORTRANGE(""https://docs.google.com/spreadsheets/d/14QNjEHU4GmPWCLJMMLbF2OEBGXX6iHnMLzuU5Hm4UOQ/edit?usp=sharing"", D1&amp;""!H2"")"),2082.59)</f>
        <v>2082.59</v>
      </c>
      <c r="E85" s="131">
        <f>IFERROR(__xludf.DUMMYFUNCTION("IMPORTRANGE(""https://docs.google.com/spreadsheets/d/14QNjEHU4GmPWCLJMMLbF2OEBGXX6iHnMLzuU5Hm4UOQ/edit?usp=sharing"", E1&amp;""!H2"")"),2403.88)</f>
        <v>2403.88</v>
      </c>
      <c r="F85" s="131">
        <f>IFERROR(__xludf.DUMMYFUNCTION("IMPORTRANGE(""https://docs.google.com/spreadsheets/d/14QNjEHU4GmPWCLJMMLbF2OEBGXX6iHnMLzuU5Hm4UOQ/edit?usp=sharing"", F1&amp;""!H2"")"),2791.599999999999)</f>
        <v>2791.6</v>
      </c>
      <c r="G85" s="131">
        <f>IFERROR(__xludf.DUMMYFUNCTION("IMPORTRANGE(""https://docs.google.com/spreadsheets/d/14QNjEHU4GmPWCLJMMLbF2OEBGXX6iHnMLzuU5Hm4UOQ/edit?usp=sharing"", G1&amp;""!H2"")"),1690.8900000000003)</f>
        <v>1690.89</v>
      </c>
      <c r="H85" s="131">
        <f>IFERROR(__xludf.DUMMYFUNCTION("IMPORTRANGE(""https://docs.google.com/spreadsheets/d/14QNjEHU4GmPWCLJMMLbF2OEBGXX6iHnMLzuU5Hm4UOQ/edit?usp=sharing"", H1&amp;""!H2"")"),2216.0000000000005)</f>
        <v>2216</v>
      </c>
      <c r="I85" s="131">
        <f>IFERROR(__xludf.DUMMYFUNCTION("IMPORTRANGE(""https://docs.google.com/spreadsheets/d/14QNjEHU4GmPWCLJMMLbF2OEBGXX6iHnMLzuU5Hm4UOQ/edit?usp=sharing"", I1&amp;""!H2"")"),2384.979999999999)</f>
        <v>2384.98</v>
      </c>
      <c r="J85" s="131">
        <f>IFERROR(__xludf.DUMMYFUNCTION("IMPORTRANGE(""https://docs.google.com/spreadsheets/d/14QNjEHU4GmPWCLJMMLbF2OEBGXX6iHnMLzuU5Hm4UOQ/edit?usp=sharing"", J1&amp;""!H2"")"),2279.34)</f>
        <v>2279.34</v>
      </c>
      <c r="K85" s="131">
        <f>IFERROR(__xludf.DUMMYFUNCTION("IMPORTRANGE(""https://docs.google.com/spreadsheets/d/14QNjEHU4GmPWCLJMMLbF2OEBGXX6iHnMLzuU5Hm4UOQ/edit?usp=sharing"", K1&amp;""!H2"")"),2247.9700000000003)</f>
        <v>2247.97</v>
      </c>
      <c r="L85" s="131">
        <f>IFERROR(__xludf.DUMMYFUNCTION("IMPORTRANGE(""https://docs.google.com/spreadsheets/d/14QNjEHU4GmPWCLJMMLbF2OEBGXX6iHnMLzuU5Hm4UOQ/edit?usp=sharing"", L1&amp;""!H2"")"),2514.96)</f>
        <v>2514.96</v>
      </c>
      <c r="M85" s="131">
        <f>IFERROR(__xludf.DUMMYFUNCTION("IMPORTRANGE(""https://docs.google.com/spreadsheets/d/14QNjEHU4GmPWCLJMMLbF2OEBGXX6iHnMLzuU5Hm4UOQ/edit?usp=sharing"", M1&amp;""!H2"")"),1729.0400000000002)</f>
        <v>1729.04</v>
      </c>
      <c r="N85" s="131">
        <f>IFERROR(__xludf.DUMMYFUNCTION("IMPORTRANGE(""https://docs.google.com/spreadsheets/d/14QNjEHU4GmPWCLJMMLbF2OEBGXX6iHnMLzuU5Hm4UOQ/edit?usp=sharing"", N1&amp;""!H2"")"),2851.07)</f>
        <v>2851.07</v>
      </c>
      <c r="O85" s="131">
        <f>IFERROR(__xludf.DUMMYFUNCTION("IMPORTRANGE(""https://docs.google.com/spreadsheets/d/14QNjEHU4GmPWCLJMMLbF2OEBGXX6iHnMLzuU5Hm4UOQ/edit?usp=sharing"", O1&amp;""!H2"")"),1908.2900000000004)</f>
        <v>1908.29</v>
      </c>
      <c r="P85" s="129">
        <f t="shared" si="51"/>
        <v>27100.61</v>
      </c>
      <c r="Q85" s="130"/>
      <c r="R85" s="61">
        <f t="shared" si="52"/>
        <v>2258.384167</v>
      </c>
      <c r="S85" s="61">
        <f t="shared" si="53"/>
        <v>27100.61</v>
      </c>
    </row>
    <row r="86">
      <c r="A86" s="94" t="s">
        <v>92</v>
      </c>
      <c r="B86" s="122" t="s">
        <v>26</v>
      </c>
      <c r="C86" s="111"/>
      <c r="D86" s="131">
        <f t="shared" ref="D86:P86" si="54">D84-D85</f>
        <v>-14.59</v>
      </c>
      <c r="E86" s="131">
        <f t="shared" si="54"/>
        <v>966.12</v>
      </c>
      <c r="F86" s="131">
        <f t="shared" si="54"/>
        <v>-612.6</v>
      </c>
      <c r="G86" s="131">
        <f t="shared" si="54"/>
        <v>1967.02</v>
      </c>
      <c r="H86" s="131">
        <f t="shared" si="54"/>
        <v>-71</v>
      </c>
      <c r="I86" s="131">
        <f t="shared" si="54"/>
        <v>-651.98</v>
      </c>
      <c r="J86" s="131">
        <f t="shared" si="54"/>
        <v>688.03</v>
      </c>
      <c r="K86" s="131">
        <f t="shared" si="54"/>
        <v>-425.97</v>
      </c>
      <c r="L86" s="131">
        <f t="shared" si="54"/>
        <v>-750.96</v>
      </c>
      <c r="M86" s="131">
        <f t="shared" si="54"/>
        <v>299.96</v>
      </c>
      <c r="N86" s="131">
        <f t="shared" si="54"/>
        <v>337.91</v>
      </c>
      <c r="O86" s="131">
        <f t="shared" si="54"/>
        <v>2010.71</v>
      </c>
      <c r="P86" s="129">
        <f t="shared" si="54"/>
        <v>3742.65</v>
      </c>
      <c r="Q86" s="130"/>
      <c r="R86" s="61">
        <f t="shared" si="52"/>
        <v>311.8875</v>
      </c>
      <c r="S86" s="61">
        <f t="shared" si="53"/>
        <v>3742.65</v>
      </c>
    </row>
    <row r="87">
      <c r="A87" s="94" t="s">
        <v>93</v>
      </c>
      <c r="B87" s="122" t="s">
        <v>26</v>
      </c>
      <c r="C87" s="111"/>
      <c r="D87" s="132">
        <f t="shared" ref="D87:P87" si="55">D86/D84</f>
        <v>-0.007055125725</v>
      </c>
      <c r="E87" s="132">
        <f t="shared" si="55"/>
        <v>0.2866824926</v>
      </c>
      <c r="F87" s="132">
        <f t="shared" si="55"/>
        <v>-0.2811381368</v>
      </c>
      <c r="G87" s="132">
        <f t="shared" si="55"/>
        <v>0.537744231</v>
      </c>
      <c r="H87" s="132">
        <f t="shared" si="55"/>
        <v>-0.0331002331</v>
      </c>
      <c r="I87" s="132">
        <f t="shared" si="55"/>
        <v>-0.3762146567</v>
      </c>
      <c r="J87" s="132">
        <f t="shared" si="55"/>
        <v>0.2318652544</v>
      </c>
      <c r="K87" s="132">
        <f t="shared" si="55"/>
        <v>-0.2337925357</v>
      </c>
      <c r="L87" s="132">
        <f t="shared" si="55"/>
        <v>-0.4257142857</v>
      </c>
      <c r="M87" s="132">
        <f t="shared" si="55"/>
        <v>0.1478363726</v>
      </c>
      <c r="N87" s="132">
        <f t="shared" si="55"/>
        <v>0.1059617809</v>
      </c>
      <c r="O87" s="132">
        <f t="shared" si="55"/>
        <v>0.513067109</v>
      </c>
      <c r="P87" s="133">
        <f t="shared" si="55"/>
        <v>0.121344177</v>
      </c>
      <c r="Q87" s="134"/>
      <c r="R87" s="61"/>
      <c r="S87" s="61"/>
    </row>
    <row r="88">
      <c r="A88" s="54"/>
      <c r="B88" s="95"/>
      <c r="C88" s="111"/>
      <c r="D88" s="135"/>
      <c r="E88" s="103"/>
      <c r="F88" s="135"/>
      <c r="G88" s="135"/>
      <c r="H88" s="103"/>
      <c r="I88" s="103"/>
      <c r="J88" s="103"/>
      <c r="K88" s="103"/>
      <c r="L88" s="103"/>
      <c r="M88" s="103"/>
      <c r="N88" s="103"/>
      <c r="O88" s="103"/>
      <c r="P88" s="102"/>
      <c r="Q88" s="102"/>
      <c r="R88" s="102"/>
      <c r="S88" s="102"/>
    </row>
    <row r="89">
      <c r="A89" s="8" t="s">
        <v>94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36" t="s">
        <v>95</v>
      </c>
      <c r="B90" s="137"/>
      <c r="C90" s="138"/>
      <c r="D90" s="139">
        <v>2022.0</v>
      </c>
      <c r="E90" s="138"/>
      <c r="H90" s="135"/>
      <c r="I90" s="135"/>
      <c r="J90" s="135"/>
      <c r="K90" s="135"/>
      <c r="L90" s="135"/>
      <c r="M90" s="135"/>
      <c r="N90" s="135"/>
      <c r="O90" s="135"/>
      <c r="P90" s="102"/>
      <c r="Q90" s="102"/>
      <c r="R90" s="102"/>
      <c r="S90" s="102"/>
    </row>
    <row r="91">
      <c r="B91" s="137"/>
      <c r="C91" s="138"/>
      <c r="D91" s="140"/>
      <c r="E91" s="138"/>
      <c r="H91" s="135"/>
      <c r="I91" s="135"/>
      <c r="J91" s="135"/>
      <c r="K91" s="135"/>
      <c r="L91" s="135"/>
      <c r="M91" s="135"/>
      <c r="N91" s="135"/>
      <c r="O91" s="135"/>
      <c r="P91" s="102"/>
      <c r="Q91" s="102"/>
      <c r="R91" s="102"/>
      <c r="S91" s="102"/>
    </row>
    <row r="92">
      <c r="B92" s="137"/>
      <c r="C92" s="138"/>
      <c r="D92" s="140"/>
      <c r="E92" s="138"/>
      <c r="H92" s="135"/>
      <c r="I92" s="135"/>
      <c r="J92" s="135"/>
      <c r="K92" s="135"/>
      <c r="L92" s="135"/>
      <c r="M92" s="135"/>
      <c r="N92" s="135"/>
      <c r="O92" s="135"/>
      <c r="P92" s="102"/>
      <c r="Q92" s="102"/>
      <c r="R92" s="102"/>
      <c r="S92" s="102"/>
    </row>
    <row r="93">
      <c r="A93" s="136" t="s">
        <v>96</v>
      </c>
      <c r="B93" s="137"/>
      <c r="C93" s="138"/>
      <c r="D93" s="141">
        <v>1.0</v>
      </c>
      <c r="E93" s="141">
        <v>2.0</v>
      </c>
      <c r="F93" s="142">
        <v>3.0</v>
      </c>
      <c r="G93" s="142">
        <v>3.0</v>
      </c>
      <c r="H93" s="115">
        <v>5.0</v>
      </c>
      <c r="I93" s="115">
        <v>6.0</v>
      </c>
      <c r="J93" s="115">
        <v>7.0</v>
      </c>
      <c r="K93" s="115">
        <v>8.0</v>
      </c>
      <c r="L93" s="115">
        <v>9.0</v>
      </c>
      <c r="M93" s="115">
        <v>10.0</v>
      </c>
      <c r="N93" s="115">
        <v>11.0</v>
      </c>
      <c r="O93" s="115">
        <v>12.0</v>
      </c>
      <c r="P93" s="102"/>
      <c r="Q93" s="102"/>
      <c r="R93" s="102"/>
      <c r="S93" s="102"/>
    </row>
    <row r="94">
      <c r="B94" s="137"/>
      <c r="C94" s="138"/>
      <c r="D94" s="140"/>
      <c r="E94" s="138"/>
      <c r="H94" s="135"/>
      <c r="I94" s="135"/>
      <c r="J94" s="135"/>
      <c r="K94" s="135"/>
      <c r="L94" s="135"/>
      <c r="M94" s="135"/>
      <c r="N94" s="135"/>
      <c r="O94" s="135"/>
      <c r="P94" s="102"/>
      <c r="Q94" s="102"/>
      <c r="R94" s="102"/>
      <c r="S94" s="102"/>
    </row>
    <row r="95">
      <c r="B95" s="137"/>
      <c r="C95" s="138"/>
      <c r="D95" s="140"/>
      <c r="E95" s="138"/>
      <c r="H95" s="135"/>
      <c r="I95" s="135"/>
      <c r="J95" s="135"/>
      <c r="K95" s="135"/>
      <c r="L95" s="135"/>
      <c r="M95" s="135"/>
      <c r="N95" s="135"/>
      <c r="O95" s="135"/>
      <c r="P95" s="102"/>
      <c r="Q95" s="102"/>
      <c r="R95" s="102"/>
      <c r="S95" s="102"/>
    </row>
    <row r="96">
      <c r="B96" s="137"/>
      <c r="C96" s="138"/>
      <c r="D96" s="140"/>
      <c r="E96" s="138"/>
      <c r="H96" s="135"/>
      <c r="I96" s="135"/>
      <c r="J96" s="135"/>
      <c r="K96" s="135"/>
      <c r="L96" s="135"/>
      <c r="M96" s="135"/>
      <c r="N96" s="135"/>
      <c r="O96" s="135"/>
      <c r="P96" s="102"/>
      <c r="Q96" s="102"/>
      <c r="R96" s="102"/>
      <c r="S96" s="102"/>
    </row>
    <row r="97">
      <c r="B97" s="137"/>
      <c r="C97" s="138"/>
      <c r="D97" s="140"/>
      <c r="E97" s="138"/>
      <c r="H97" s="135"/>
      <c r="I97" s="135"/>
      <c r="J97" s="135"/>
      <c r="K97" s="135"/>
      <c r="L97" s="135"/>
      <c r="M97" s="135"/>
      <c r="N97" s="135"/>
      <c r="O97" s="135"/>
      <c r="P97" s="102"/>
      <c r="Q97" s="102"/>
      <c r="R97" s="102"/>
      <c r="S97" s="102"/>
    </row>
    <row r="98">
      <c r="B98" s="137"/>
      <c r="C98" s="138"/>
      <c r="D98" s="140"/>
      <c r="E98" s="138"/>
      <c r="H98" s="135"/>
      <c r="I98" s="135"/>
      <c r="J98" s="135"/>
      <c r="K98" s="135"/>
      <c r="L98" s="135"/>
      <c r="M98" s="135"/>
      <c r="N98" s="135"/>
      <c r="O98" s="135"/>
      <c r="P98" s="102"/>
      <c r="Q98" s="102"/>
      <c r="R98" s="102"/>
      <c r="S98" s="102"/>
    </row>
    <row r="99">
      <c r="B99" s="137"/>
      <c r="C99" s="138"/>
      <c r="D99" s="140"/>
      <c r="E99" s="138"/>
      <c r="H99" s="135"/>
      <c r="I99" s="135"/>
      <c r="J99" s="135"/>
      <c r="K99" s="135"/>
      <c r="L99" s="135"/>
      <c r="M99" s="135"/>
      <c r="N99" s="135"/>
      <c r="O99" s="135"/>
      <c r="P99" s="102"/>
      <c r="Q99" s="102"/>
      <c r="R99" s="102"/>
      <c r="S99" s="102"/>
    </row>
    <row r="100">
      <c r="B100" s="137"/>
      <c r="C100" s="138"/>
      <c r="D100" s="140"/>
      <c r="E100" s="138"/>
      <c r="H100" s="135"/>
      <c r="I100" s="143"/>
      <c r="J100" s="135"/>
      <c r="K100" s="135"/>
      <c r="L100" s="135"/>
      <c r="M100" s="135"/>
      <c r="N100" s="135"/>
      <c r="O100" s="135"/>
      <c r="P100" s="102"/>
      <c r="Q100" s="102"/>
      <c r="R100" s="102"/>
      <c r="S100" s="102"/>
    </row>
    <row r="101">
      <c r="B101" s="137"/>
      <c r="C101" s="138"/>
      <c r="D101" s="140"/>
      <c r="E101" s="138"/>
      <c r="H101" s="135"/>
      <c r="I101" s="144"/>
      <c r="J101" s="135"/>
      <c r="K101" s="135"/>
      <c r="L101" s="135"/>
      <c r="M101" s="135"/>
      <c r="N101" s="135"/>
      <c r="O101" s="135"/>
      <c r="P101" s="102"/>
      <c r="Q101" s="102"/>
      <c r="R101" s="102"/>
      <c r="S101" s="102"/>
    </row>
    <row r="102">
      <c r="B102" s="137"/>
      <c r="C102" s="138"/>
      <c r="D102" s="140"/>
      <c r="E102" s="138"/>
      <c r="H102" s="135"/>
      <c r="I102" s="135"/>
      <c r="J102" s="135"/>
      <c r="K102" s="135"/>
      <c r="L102" s="135"/>
      <c r="M102" s="135"/>
      <c r="N102" s="135"/>
      <c r="O102" s="135"/>
      <c r="P102" s="102"/>
      <c r="Q102" s="102"/>
      <c r="R102" s="102"/>
      <c r="S102" s="102"/>
    </row>
    <row r="103">
      <c r="B103" s="137"/>
      <c r="C103" s="138"/>
      <c r="D103" s="140"/>
      <c r="E103" s="138"/>
      <c r="H103" s="135"/>
      <c r="I103" s="135"/>
      <c r="J103" s="135"/>
      <c r="K103" s="135"/>
      <c r="L103" s="135"/>
      <c r="M103" s="135"/>
      <c r="N103" s="135"/>
      <c r="O103" s="135"/>
      <c r="P103" s="102"/>
      <c r="Q103" s="102"/>
      <c r="R103" s="102"/>
      <c r="S103" s="102"/>
    </row>
    <row r="104">
      <c r="B104" s="137"/>
      <c r="C104" s="138"/>
      <c r="D104" s="140"/>
      <c r="E104" s="138"/>
      <c r="H104" s="135"/>
      <c r="I104" s="135"/>
      <c r="J104" s="135"/>
      <c r="K104" s="135"/>
      <c r="L104" s="135"/>
      <c r="M104" s="135"/>
      <c r="N104" s="135"/>
      <c r="O104" s="135"/>
      <c r="P104" s="102"/>
      <c r="Q104" s="102"/>
      <c r="R104" s="102"/>
      <c r="S104" s="102"/>
    </row>
    <row r="105">
      <c r="B105" s="137"/>
      <c r="C105" s="138"/>
      <c r="D105" s="140"/>
      <c r="E105" s="138"/>
      <c r="H105" s="135"/>
      <c r="I105" s="135"/>
      <c r="J105" s="135"/>
      <c r="K105" s="135"/>
      <c r="L105" s="135"/>
      <c r="M105" s="135"/>
      <c r="N105" s="135"/>
      <c r="O105" s="135"/>
      <c r="P105" s="102"/>
      <c r="Q105" s="102"/>
      <c r="R105" s="102"/>
      <c r="S105" s="102"/>
    </row>
    <row r="106">
      <c r="B106" s="137"/>
      <c r="C106" s="138"/>
      <c r="D106" s="138"/>
      <c r="E106" s="138"/>
      <c r="H106" s="135"/>
      <c r="I106" s="135"/>
      <c r="J106" s="135"/>
      <c r="K106" s="135"/>
      <c r="L106" s="135"/>
      <c r="M106" s="135"/>
      <c r="N106" s="135"/>
      <c r="O106" s="135"/>
      <c r="P106" s="102"/>
      <c r="Q106" s="102"/>
      <c r="R106" s="102"/>
      <c r="S106" s="102"/>
    </row>
  </sheetData>
  <conditionalFormatting sqref="B1:B106">
    <cfRule type="cellIs" dxfId="0" priority="1" operator="equal">
      <formula>"E"</formula>
    </cfRule>
  </conditionalFormatting>
  <conditionalFormatting sqref="B1:B106">
    <cfRule type="cellIs" dxfId="1" priority="2" operator="equal">
      <formula>"F"</formula>
    </cfRule>
  </conditionalFormatting>
  <conditionalFormatting sqref="B1:B106">
    <cfRule type="cellIs" dxfId="2" priority="3" operator="equal">
      <formula>"D"</formula>
    </cfRule>
  </conditionalFormatting>
  <conditionalFormatting sqref="D52:O53 D55:D57 E55:O61 D59:D61">
    <cfRule type="expression" dxfId="3" priority="4">
      <formula>C52="-"</formula>
    </cfRule>
  </conditionalFormatting>
  <conditionalFormatting sqref="D52:O53 D55:D57 E55:O61 D59:D61">
    <cfRule type="cellIs" dxfId="4" priority="5" operator="lessThan">
      <formula>C52</formula>
    </cfRule>
  </conditionalFormatting>
  <conditionalFormatting sqref="D52:O53 D55:D57 E55:O61 D59:D61">
    <cfRule type="cellIs" dxfId="5" priority="6" operator="greaterThan">
      <formula>C52</formula>
    </cfRule>
  </conditionalFormatting>
  <conditionalFormatting sqref="Q52:R53 Q55:R57 Q59:Q60 Q63:R68 Q70">
    <cfRule type="cellIs" dxfId="0" priority="7" operator="greaterThan">
      <formula>0</formula>
    </cfRule>
  </conditionalFormatting>
  <conditionalFormatting sqref="Q52:R53 Q55:R57 Q59:Q60 Q63:R68 Q70">
    <cfRule type="cellIs" dxfId="2" priority="8" operator="lessThanOrEqual">
      <formula>0</formula>
    </cfRule>
  </conditionalFormatting>
  <conditionalFormatting sqref="D39:O39 D42:O42 D45:O45 F48:O48">
    <cfRule type="cellIs" dxfId="0" priority="9" operator="greaterThan">
      <formula>0</formula>
    </cfRule>
  </conditionalFormatting>
  <conditionalFormatting sqref="D39:O39 D42:O42 D45:O45 F48:O48">
    <cfRule type="cellIs" dxfId="4" priority="10" operator="lessThanOrEqual">
      <formula>0</formula>
    </cfRule>
  </conditionalFormatting>
  <hyperlinks>
    <hyperlink r:id="rId2" ref="Q1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75"/>
    <col customWidth="1" min="2" max="13" width="7.63"/>
    <col customWidth="1" hidden="1" min="14" max="14" width="7.63"/>
    <col customWidth="1" min="15" max="15" width="12.25"/>
    <col customWidth="1" min="16" max="17" width="8.88"/>
    <col customWidth="1" min="18" max="18" width="12.88"/>
  </cols>
  <sheetData>
    <row r="1" ht="45.75" customHeight="1">
      <c r="A1" s="203" t="s">
        <v>160</v>
      </c>
    </row>
    <row r="2">
      <c r="A2" s="204" t="s">
        <v>161</v>
      </c>
      <c r="B2" s="205" t="s">
        <v>3</v>
      </c>
      <c r="C2" s="205" t="s">
        <v>4</v>
      </c>
      <c r="D2" s="205" t="s">
        <v>5</v>
      </c>
      <c r="E2" s="206" t="s">
        <v>6</v>
      </c>
      <c r="F2" s="205" t="s">
        <v>7</v>
      </c>
      <c r="G2" s="205" t="s">
        <v>8</v>
      </c>
      <c r="H2" s="205" t="s">
        <v>9</v>
      </c>
      <c r="I2" s="205" t="s">
        <v>10</v>
      </c>
      <c r="J2" s="205" t="s">
        <v>162</v>
      </c>
      <c r="K2" s="205" t="s">
        <v>12</v>
      </c>
      <c r="L2" s="205" t="s">
        <v>13</v>
      </c>
      <c r="M2" s="205" t="s">
        <v>14</v>
      </c>
      <c r="N2" s="207" t="s">
        <v>116</v>
      </c>
      <c r="O2" s="205" t="s">
        <v>101</v>
      </c>
      <c r="P2" s="207" t="s">
        <v>163</v>
      </c>
      <c r="Q2" s="207" t="s">
        <v>164</v>
      </c>
      <c r="R2" s="207"/>
    </row>
    <row r="3">
      <c r="A3" s="168" t="s">
        <v>104</v>
      </c>
      <c r="B3" s="208">
        <f>Expenses!B3</f>
        <v>643.95</v>
      </c>
      <c r="C3" s="208">
        <f>Expenses!C3</f>
        <v>1022.27</v>
      </c>
      <c r="D3" s="208">
        <f>Expenses!D3</f>
        <v>881.95</v>
      </c>
      <c r="E3" s="208">
        <f>Expenses!E3</f>
        <v>674.74</v>
      </c>
      <c r="F3" s="208">
        <f>Expenses!F3</f>
        <v>860.99</v>
      </c>
      <c r="G3" s="208">
        <f>Expenses!G3</f>
        <v>659.74</v>
      </c>
      <c r="H3" s="208">
        <f>Expenses!H3</f>
        <v>752.95</v>
      </c>
      <c r="I3" s="208">
        <f>Expenses!I3</f>
        <v>653.75</v>
      </c>
      <c r="J3" s="208">
        <f>Expenses!J3</f>
        <v>742.83</v>
      </c>
      <c r="K3" s="208">
        <f>Expenses!K3</f>
        <v>652.74</v>
      </c>
      <c r="L3" s="208">
        <f>Expenses!L3</f>
        <v>890.68</v>
      </c>
      <c r="M3" s="208">
        <f>Expenses!M3</f>
        <v>726.02</v>
      </c>
      <c r="N3" s="209"/>
      <c r="O3" s="209">
        <f t="shared" ref="O3:O14" si="1">sum(B3:M3)</f>
        <v>9162.61</v>
      </c>
      <c r="P3" s="209">
        <f t="shared" ref="P3:P14" si="2">O3/COUNT(B3:M3)*12</f>
        <v>9162.61</v>
      </c>
      <c r="Q3" s="209">
        <f t="shared" ref="Q3:Q14" si="3">P3/12</f>
        <v>763.5508333</v>
      </c>
      <c r="R3" s="210"/>
    </row>
    <row r="4">
      <c r="A4" s="168" t="s">
        <v>105</v>
      </c>
      <c r="B4" s="208">
        <f>Expenses!B4</f>
        <v>0</v>
      </c>
      <c r="C4" s="208">
        <f>Expenses!C4</f>
        <v>0</v>
      </c>
      <c r="D4" s="208">
        <f>Expenses!D4</f>
        <v>30</v>
      </c>
      <c r="E4" s="208">
        <f>Expenses!E4</f>
        <v>19.8</v>
      </c>
      <c r="F4" s="208">
        <f>Expenses!F4</f>
        <v>0</v>
      </c>
      <c r="G4" s="208">
        <f>Expenses!G4</f>
        <v>0</v>
      </c>
      <c r="H4" s="208">
        <f>Expenses!H4</f>
        <v>0</v>
      </c>
      <c r="I4" s="208">
        <f>Expenses!I4</f>
        <v>0</v>
      </c>
      <c r="J4" s="208">
        <f>Expenses!J4</f>
        <v>0</v>
      </c>
      <c r="K4" s="208">
        <f>Expenses!K4</f>
        <v>0</v>
      </c>
      <c r="L4" s="208">
        <f>Expenses!L4</f>
        <v>0</v>
      </c>
      <c r="M4" s="208">
        <f>Expenses!M4</f>
        <v>0</v>
      </c>
      <c r="N4" s="209"/>
      <c r="O4" s="209">
        <f t="shared" si="1"/>
        <v>49.8</v>
      </c>
      <c r="P4" s="209">
        <f t="shared" si="2"/>
        <v>49.8</v>
      </c>
      <c r="Q4" s="209">
        <f t="shared" si="3"/>
        <v>4.15</v>
      </c>
      <c r="R4" s="210"/>
    </row>
    <row r="5">
      <c r="A5" s="168" t="s">
        <v>106</v>
      </c>
      <c r="B5" s="208">
        <f>Expenses!B5</f>
        <v>127.62</v>
      </c>
      <c r="C5" s="208">
        <f>Expenses!C5</f>
        <v>122.81</v>
      </c>
      <c r="D5" s="208">
        <f>Expenses!D5</f>
        <v>185.05</v>
      </c>
      <c r="E5" s="208">
        <f>Expenses!E5</f>
        <v>94.02</v>
      </c>
      <c r="F5" s="208">
        <f>Expenses!F5</f>
        <v>71.62</v>
      </c>
      <c r="G5" s="208">
        <f>Expenses!G5</f>
        <v>6.05</v>
      </c>
      <c r="H5" s="208">
        <f>Expenses!H5</f>
        <v>7.47</v>
      </c>
      <c r="I5" s="208">
        <f>Expenses!I5</f>
        <v>8.17</v>
      </c>
      <c r="J5" s="208">
        <f>Expenses!J5</f>
        <v>28.69</v>
      </c>
      <c r="K5" s="208">
        <f>Expenses!K5</f>
        <v>17.71</v>
      </c>
      <c r="L5" s="208">
        <f>Expenses!L5</f>
        <v>74.83</v>
      </c>
      <c r="M5" s="208">
        <f>Expenses!M5</f>
        <v>178.88</v>
      </c>
      <c r="N5" s="209"/>
      <c r="O5" s="209">
        <f t="shared" si="1"/>
        <v>922.92</v>
      </c>
      <c r="P5" s="209">
        <f t="shared" si="2"/>
        <v>922.92</v>
      </c>
      <c r="Q5" s="209">
        <f t="shared" si="3"/>
        <v>76.91</v>
      </c>
      <c r="R5" s="210"/>
    </row>
    <row r="6">
      <c r="A6" s="168" t="s">
        <v>107</v>
      </c>
      <c r="B6" s="208">
        <f>Expenses!B6</f>
        <v>96.9</v>
      </c>
      <c r="C6" s="208">
        <f>Expenses!C6</f>
        <v>499.67</v>
      </c>
      <c r="D6" s="208">
        <f>Expenses!D6</f>
        <v>37.6</v>
      </c>
      <c r="E6" s="208">
        <f>Expenses!E6</f>
        <v>78.4</v>
      </c>
      <c r="F6" s="208">
        <f>Expenses!F6</f>
        <v>176.98</v>
      </c>
      <c r="G6" s="208">
        <f>Expenses!G6</f>
        <v>205.28</v>
      </c>
      <c r="H6" s="208">
        <f>Expenses!H6</f>
        <v>76.3</v>
      </c>
      <c r="I6" s="208">
        <f>Expenses!I6</f>
        <v>100.1</v>
      </c>
      <c r="J6" s="208">
        <f>Expenses!J6</f>
        <v>241.99</v>
      </c>
      <c r="K6" s="208">
        <f>Expenses!K6</f>
        <v>124.6</v>
      </c>
      <c r="L6" s="208">
        <f>Expenses!L6</f>
        <v>197.02</v>
      </c>
      <c r="M6" s="208">
        <f>Expenses!M6</f>
        <v>98.45</v>
      </c>
      <c r="N6" s="209"/>
      <c r="O6" s="209">
        <f t="shared" si="1"/>
        <v>1933.29</v>
      </c>
      <c r="P6" s="209">
        <f t="shared" si="2"/>
        <v>1933.29</v>
      </c>
      <c r="Q6" s="209">
        <f t="shared" si="3"/>
        <v>161.1075</v>
      </c>
      <c r="R6" s="210"/>
    </row>
    <row r="7">
      <c r="A7" s="168" t="s">
        <v>108</v>
      </c>
      <c r="B7" s="208">
        <f>Expenses!B7</f>
        <v>536.78</v>
      </c>
      <c r="C7" s="208">
        <f>Expenses!C7</f>
        <v>402.53</v>
      </c>
      <c r="D7" s="208">
        <f>Expenses!D7</f>
        <v>318.74</v>
      </c>
      <c r="E7" s="208">
        <f>Expenses!E7</f>
        <v>253.74</v>
      </c>
      <c r="F7" s="208">
        <f>Expenses!F7</f>
        <v>468.59</v>
      </c>
      <c r="G7" s="208">
        <f>Expenses!G7</f>
        <v>458.02</v>
      </c>
      <c r="H7" s="208">
        <f>Expenses!H7</f>
        <v>305.97</v>
      </c>
      <c r="I7" s="208">
        <f>Expenses!I7</f>
        <v>311.76</v>
      </c>
      <c r="J7" s="208">
        <f>Expenses!J7</f>
        <v>591.96</v>
      </c>
      <c r="K7" s="208">
        <f>Expenses!K7</f>
        <v>509.79</v>
      </c>
      <c r="L7" s="208">
        <f>Expenses!L7</f>
        <v>437.39</v>
      </c>
      <c r="M7" s="208">
        <f>Expenses!M7</f>
        <v>372.17</v>
      </c>
      <c r="N7" s="209"/>
      <c r="O7" s="209">
        <f t="shared" si="1"/>
        <v>4967.44</v>
      </c>
      <c r="P7" s="209">
        <f t="shared" si="2"/>
        <v>4967.44</v>
      </c>
      <c r="Q7" s="209">
        <f t="shared" si="3"/>
        <v>413.9533333</v>
      </c>
      <c r="R7" s="210"/>
    </row>
    <row r="8">
      <c r="A8" s="168" t="s">
        <v>109</v>
      </c>
      <c r="B8" s="208">
        <f>Expenses!B8</f>
        <v>436.45</v>
      </c>
      <c r="C8" s="208">
        <f>Expenses!C8</f>
        <v>10.2</v>
      </c>
      <c r="D8" s="208">
        <f>Expenses!D8</f>
        <v>294.45</v>
      </c>
      <c r="E8" s="208">
        <f>Expenses!E8</f>
        <v>0</v>
      </c>
      <c r="F8" s="208">
        <f>Expenses!F8</f>
        <v>163.92</v>
      </c>
      <c r="G8" s="208">
        <f>Expenses!G8</f>
        <v>655.65</v>
      </c>
      <c r="H8" s="208">
        <f>Expenses!H8</f>
        <v>295.89</v>
      </c>
      <c r="I8" s="208">
        <f>Expenses!I8</f>
        <v>784.74</v>
      </c>
      <c r="J8" s="208">
        <f>Expenses!J8</f>
        <v>0</v>
      </c>
      <c r="K8" s="208">
        <f>Expenses!K8</f>
        <v>0</v>
      </c>
      <c r="L8" s="208">
        <f>Expenses!L8</f>
        <v>0</v>
      </c>
      <c r="M8" s="208">
        <f>Expenses!M8</f>
        <v>0</v>
      </c>
      <c r="N8" s="209"/>
      <c r="O8" s="209">
        <f t="shared" si="1"/>
        <v>2641.3</v>
      </c>
      <c r="P8" s="209">
        <f t="shared" si="2"/>
        <v>2641.3</v>
      </c>
      <c r="Q8" s="209">
        <f t="shared" si="3"/>
        <v>220.1083333</v>
      </c>
      <c r="R8" s="210"/>
    </row>
    <row r="9">
      <c r="A9" s="168" t="s">
        <v>110</v>
      </c>
      <c r="B9" s="208">
        <f>Expenses!B9</f>
        <v>0</v>
      </c>
      <c r="C9" s="208">
        <f>Expenses!C9</f>
        <v>0</v>
      </c>
      <c r="D9" s="208">
        <f>Expenses!D9</f>
        <v>0</v>
      </c>
      <c r="E9" s="208">
        <f>Expenses!E9</f>
        <v>0</v>
      </c>
      <c r="F9" s="208">
        <f>Expenses!F9</f>
        <v>0</v>
      </c>
      <c r="G9" s="208">
        <f>Expenses!G9</f>
        <v>0</v>
      </c>
      <c r="H9" s="208">
        <f>Expenses!H9</f>
        <v>0</v>
      </c>
      <c r="I9" s="208">
        <f>Expenses!I9</f>
        <v>0</v>
      </c>
      <c r="J9" s="208">
        <f>Expenses!J9</f>
        <v>0</v>
      </c>
      <c r="K9" s="208">
        <f>Expenses!K9</f>
        <v>0</v>
      </c>
      <c r="L9" s="208">
        <f>Expenses!L9</f>
        <v>0</v>
      </c>
      <c r="M9" s="208">
        <f>Expenses!M9</f>
        <v>0</v>
      </c>
      <c r="N9" s="209"/>
      <c r="O9" s="209">
        <f t="shared" si="1"/>
        <v>0</v>
      </c>
      <c r="P9" s="209">
        <f t="shared" si="2"/>
        <v>0</v>
      </c>
      <c r="Q9" s="209">
        <f t="shared" si="3"/>
        <v>0</v>
      </c>
      <c r="R9" s="210"/>
    </row>
    <row r="10">
      <c r="A10" s="168" t="s">
        <v>111</v>
      </c>
      <c r="B10" s="208">
        <f>Expenses!B10</f>
        <v>0</v>
      </c>
      <c r="C10" s="208">
        <f>Expenses!C10</f>
        <v>0</v>
      </c>
      <c r="D10" s="208">
        <f>Expenses!D10</f>
        <v>0</v>
      </c>
      <c r="E10" s="208">
        <f>Expenses!E10</f>
        <v>302.84</v>
      </c>
      <c r="F10" s="208">
        <f>Expenses!F10</f>
        <v>15</v>
      </c>
      <c r="G10" s="208">
        <f>Expenses!G10</f>
        <v>261</v>
      </c>
      <c r="H10" s="208">
        <f>Expenses!H10</f>
        <v>0</v>
      </c>
      <c r="I10" s="208">
        <f>Expenses!I10</f>
        <v>0</v>
      </c>
      <c r="J10" s="208">
        <f>Expenses!J10</f>
        <v>0</v>
      </c>
      <c r="K10" s="208">
        <f>Expenses!K10</f>
        <v>0</v>
      </c>
      <c r="L10" s="208">
        <f>Expenses!L10</f>
        <v>0</v>
      </c>
      <c r="M10" s="208">
        <f>Expenses!M10</f>
        <v>110</v>
      </c>
      <c r="N10" s="209"/>
      <c r="O10" s="209">
        <f t="shared" si="1"/>
        <v>688.84</v>
      </c>
      <c r="P10" s="209">
        <f t="shared" si="2"/>
        <v>688.84</v>
      </c>
      <c r="Q10" s="209">
        <f t="shared" si="3"/>
        <v>57.40333333</v>
      </c>
      <c r="R10" s="206"/>
    </row>
    <row r="11">
      <c r="A11" s="168" t="s">
        <v>112</v>
      </c>
      <c r="B11" s="208">
        <f>Expenses!B11</f>
        <v>66.5</v>
      </c>
      <c r="C11" s="208">
        <f>Expenses!C11</f>
        <v>42.5</v>
      </c>
      <c r="D11" s="208">
        <f>Expenses!D11</f>
        <v>84.5</v>
      </c>
      <c r="E11" s="208">
        <f>Expenses!E11</f>
        <v>129.11</v>
      </c>
      <c r="F11" s="208">
        <f>Expenses!F11</f>
        <v>234.61</v>
      </c>
      <c r="G11" s="208">
        <f>Expenses!G11</f>
        <v>42.9</v>
      </c>
      <c r="H11" s="208">
        <f>Expenses!H11</f>
        <v>140</v>
      </c>
      <c r="I11" s="208">
        <f>Expenses!I11</f>
        <v>278.98</v>
      </c>
      <c r="J11" s="208">
        <f>Expenses!J11</f>
        <v>188.79</v>
      </c>
      <c r="K11" s="208">
        <f>Expenses!K11</f>
        <v>192.46</v>
      </c>
      <c r="L11" s="208">
        <f>Expenses!L11</f>
        <v>1080.05</v>
      </c>
      <c r="M11" s="208">
        <f>Expenses!M11</f>
        <v>263.53</v>
      </c>
      <c r="N11" s="209"/>
      <c r="O11" s="209">
        <f t="shared" si="1"/>
        <v>2743.93</v>
      </c>
      <c r="P11" s="209">
        <f t="shared" si="2"/>
        <v>2743.93</v>
      </c>
      <c r="Q11" s="209">
        <f t="shared" si="3"/>
        <v>228.6608333</v>
      </c>
      <c r="R11" s="206"/>
    </row>
    <row r="12">
      <c r="A12" s="168" t="s">
        <v>113</v>
      </c>
      <c r="B12" s="208">
        <f>Expenses!B12</f>
        <v>46.97</v>
      </c>
      <c r="C12" s="208">
        <f>Expenses!C12</f>
        <v>0</v>
      </c>
      <c r="D12" s="208">
        <f>Expenses!D12</f>
        <v>29.99</v>
      </c>
      <c r="E12" s="208">
        <f>Expenses!E12</f>
        <v>0</v>
      </c>
      <c r="F12" s="208">
        <f>Expenses!F12</f>
        <v>0</v>
      </c>
      <c r="G12" s="208">
        <f>Expenses!G12</f>
        <v>11</v>
      </c>
      <c r="H12" s="208">
        <f>Expenses!H12</f>
        <v>23.5</v>
      </c>
      <c r="I12" s="208">
        <f>Expenses!I12</f>
        <v>0</v>
      </c>
      <c r="J12" s="208">
        <f>Expenses!J12</f>
        <v>173.09</v>
      </c>
      <c r="K12" s="208">
        <f>Expenses!K12</f>
        <v>15</v>
      </c>
      <c r="L12" s="208">
        <f>Expenses!L12</f>
        <v>52.85</v>
      </c>
      <c r="M12" s="208">
        <f>Expenses!M12</f>
        <v>101</v>
      </c>
      <c r="N12" s="209"/>
      <c r="O12" s="209">
        <f t="shared" si="1"/>
        <v>453.4</v>
      </c>
      <c r="P12" s="209">
        <f t="shared" si="2"/>
        <v>453.4</v>
      </c>
      <c r="Q12" s="209">
        <f t="shared" si="3"/>
        <v>37.78333333</v>
      </c>
      <c r="R12" s="206"/>
    </row>
    <row r="13">
      <c r="A13" s="168" t="s">
        <v>114</v>
      </c>
      <c r="B13" s="208">
        <f>Expenses!B13</f>
        <v>98.91</v>
      </c>
      <c r="C13" s="208">
        <f>Expenses!C13</f>
        <v>75.16</v>
      </c>
      <c r="D13" s="208">
        <f>Expenses!D13</f>
        <v>52.93</v>
      </c>
      <c r="E13" s="208">
        <f>Expenses!E13</f>
        <v>50.53</v>
      </c>
      <c r="F13" s="208">
        <f>Expenses!F13</f>
        <v>66.12</v>
      </c>
      <c r="G13" s="208">
        <f>Expenses!G13</f>
        <v>58.53</v>
      </c>
      <c r="H13" s="208">
        <f>Expenses!H13</f>
        <v>32.97</v>
      </c>
      <c r="I13" s="208">
        <f>Expenses!I13</f>
        <v>39.96</v>
      </c>
      <c r="J13" s="208">
        <f>Expenses!J13</f>
        <v>39.96</v>
      </c>
      <c r="K13" s="208">
        <f>Expenses!K13</f>
        <v>216.74</v>
      </c>
      <c r="L13" s="208">
        <f>Expenses!L13</f>
        <v>118.25</v>
      </c>
      <c r="M13" s="208">
        <f>Expenses!M13</f>
        <v>58.24</v>
      </c>
      <c r="N13" s="209"/>
      <c r="O13" s="209">
        <f t="shared" si="1"/>
        <v>908.3</v>
      </c>
      <c r="P13" s="209">
        <f t="shared" si="2"/>
        <v>908.3</v>
      </c>
      <c r="Q13" s="209">
        <f t="shared" si="3"/>
        <v>75.69166667</v>
      </c>
      <c r="R13" s="206"/>
    </row>
    <row r="14">
      <c r="A14" s="168" t="s">
        <v>115</v>
      </c>
      <c r="B14" s="208">
        <f>Expenses!B14</f>
        <v>28.51</v>
      </c>
      <c r="C14" s="208">
        <f>Expenses!C14</f>
        <v>228.74</v>
      </c>
      <c r="D14" s="208">
        <f>Expenses!D14</f>
        <v>876.39</v>
      </c>
      <c r="E14" s="208">
        <f>Expenses!E14</f>
        <v>87.71</v>
      </c>
      <c r="F14" s="208">
        <f>Expenses!F14</f>
        <v>158.17</v>
      </c>
      <c r="G14" s="208">
        <f>Expenses!G14</f>
        <v>26.81</v>
      </c>
      <c r="H14" s="208">
        <f>Expenses!H14</f>
        <v>644.29</v>
      </c>
      <c r="I14" s="208">
        <f>Expenses!I14</f>
        <v>70.51</v>
      </c>
      <c r="J14" s="208">
        <f>Expenses!J14</f>
        <v>507.65</v>
      </c>
      <c r="K14" s="208">
        <f>Expenses!K14</f>
        <v>0</v>
      </c>
      <c r="L14" s="208">
        <f>Expenses!L14</f>
        <v>0</v>
      </c>
      <c r="M14" s="208">
        <f>Expenses!M14</f>
        <v>0</v>
      </c>
      <c r="N14" s="209"/>
      <c r="O14" s="209">
        <f t="shared" si="1"/>
        <v>2628.78</v>
      </c>
      <c r="P14" s="209">
        <f t="shared" si="2"/>
        <v>2628.78</v>
      </c>
      <c r="Q14" s="209">
        <f t="shared" si="3"/>
        <v>219.065</v>
      </c>
      <c r="R14" s="206"/>
    </row>
    <row r="15" hidden="1">
      <c r="A15" s="170" t="s">
        <v>116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64"/>
    </row>
    <row r="16">
      <c r="A16" s="146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64"/>
    </row>
    <row r="17">
      <c r="A17" s="211" t="s">
        <v>117</v>
      </c>
      <c r="B17" s="212">
        <f t="shared" ref="B17:M17" si="4">sum(B3:B16)</f>
        <v>2082.59</v>
      </c>
      <c r="C17" s="212">
        <f t="shared" si="4"/>
        <v>2403.88</v>
      </c>
      <c r="D17" s="212">
        <f t="shared" si="4"/>
        <v>2791.6</v>
      </c>
      <c r="E17" s="212">
        <f t="shared" si="4"/>
        <v>1690.89</v>
      </c>
      <c r="F17" s="212">
        <f t="shared" si="4"/>
        <v>2216</v>
      </c>
      <c r="G17" s="212">
        <f t="shared" si="4"/>
        <v>2384.98</v>
      </c>
      <c r="H17" s="212">
        <f t="shared" si="4"/>
        <v>2279.34</v>
      </c>
      <c r="I17" s="212">
        <f t="shared" si="4"/>
        <v>2247.97</v>
      </c>
      <c r="J17" s="212">
        <f t="shared" si="4"/>
        <v>2514.96</v>
      </c>
      <c r="K17" s="212">
        <f t="shared" si="4"/>
        <v>1729.04</v>
      </c>
      <c r="L17" s="212">
        <f t="shared" si="4"/>
        <v>2851.07</v>
      </c>
      <c r="M17" s="212">
        <f t="shared" si="4"/>
        <v>1908.29</v>
      </c>
      <c r="N17" s="212"/>
      <c r="O17" s="212">
        <f t="shared" ref="O17:Q17" si="5">sum(O3:O16)</f>
        <v>27100.61</v>
      </c>
      <c r="P17" s="212">
        <f t="shared" si="5"/>
        <v>27100.61</v>
      </c>
      <c r="Q17" s="212">
        <f t="shared" si="5"/>
        <v>2258.384167</v>
      </c>
      <c r="R17" s="164"/>
    </row>
    <row r="18">
      <c r="A18" s="170" t="s">
        <v>165</v>
      </c>
      <c r="B18" s="171">
        <f>'2022'!D84</f>
        <v>2068</v>
      </c>
      <c r="C18" s="171">
        <f>'2022'!E84</f>
        <v>3370</v>
      </c>
      <c r="D18" s="171">
        <f>'2022'!F84</f>
        <v>2179</v>
      </c>
      <c r="E18" s="171">
        <f>'2022'!G84</f>
        <v>3657.91</v>
      </c>
      <c r="F18" s="171">
        <f>'2022'!H84</f>
        <v>2145</v>
      </c>
      <c r="G18" s="171">
        <f>'2022'!I84</f>
        <v>1733</v>
      </c>
      <c r="H18" s="171">
        <f>'2022'!J84</f>
        <v>2967.37</v>
      </c>
      <c r="I18" s="171">
        <f>'2022'!K84</f>
        <v>1822</v>
      </c>
      <c r="J18" s="171">
        <f>'2022'!L84</f>
        <v>1764</v>
      </c>
      <c r="K18" s="171">
        <f>'2022'!M84</f>
        <v>2029</v>
      </c>
      <c r="L18" s="171">
        <f>'2022'!N84</f>
        <v>3188.98</v>
      </c>
      <c r="M18" s="171">
        <f>'2022'!O84</f>
        <v>3919</v>
      </c>
      <c r="N18" s="171"/>
      <c r="O18" s="171">
        <f t="shared" ref="O18:O19" si="7">sum(B18:M18)</f>
        <v>30843.26</v>
      </c>
      <c r="P18" s="171">
        <f t="shared" ref="P18:P19" si="8">O18/COUNT(B18:M18)*12</f>
        <v>30843.26</v>
      </c>
      <c r="Q18" s="171">
        <f t="shared" ref="Q18:Q19" si="9">P18/12</f>
        <v>2570.271667</v>
      </c>
      <c r="R18" s="164"/>
    </row>
    <row r="19">
      <c r="A19" s="170" t="s">
        <v>166</v>
      </c>
      <c r="B19" s="171">
        <f t="shared" ref="B19:M19" si="6">B18-B17</f>
        <v>-14.59</v>
      </c>
      <c r="C19" s="171">
        <f t="shared" si="6"/>
        <v>966.12</v>
      </c>
      <c r="D19" s="171">
        <f t="shared" si="6"/>
        <v>-612.6</v>
      </c>
      <c r="E19" s="171">
        <f t="shared" si="6"/>
        <v>1967.02</v>
      </c>
      <c r="F19" s="171">
        <f t="shared" si="6"/>
        <v>-71</v>
      </c>
      <c r="G19" s="171">
        <f t="shared" si="6"/>
        <v>-651.98</v>
      </c>
      <c r="H19" s="171">
        <f t="shared" si="6"/>
        <v>688.03</v>
      </c>
      <c r="I19" s="171">
        <f t="shared" si="6"/>
        <v>-425.97</v>
      </c>
      <c r="J19" s="171">
        <f t="shared" si="6"/>
        <v>-750.96</v>
      </c>
      <c r="K19" s="171">
        <f t="shared" si="6"/>
        <v>299.96</v>
      </c>
      <c r="L19" s="171">
        <f t="shared" si="6"/>
        <v>337.91</v>
      </c>
      <c r="M19" s="171">
        <f t="shared" si="6"/>
        <v>2010.71</v>
      </c>
      <c r="N19" s="171"/>
      <c r="O19" s="171">
        <f t="shared" si="7"/>
        <v>3742.65</v>
      </c>
      <c r="P19" s="171">
        <f t="shared" si="8"/>
        <v>3742.65</v>
      </c>
      <c r="Q19" s="171">
        <f t="shared" si="9"/>
        <v>311.8875</v>
      </c>
      <c r="R19" s="164"/>
    </row>
    <row r="20">
      <c r="A20" s="170" t="s">
        <v>167</v>
      </c>
      <c r="B20" s="213">
        <f t="shared" ref="B20:M20" si="10">B19/B18</f>
        <v>-0.007055125725</v>
      </c>
      <c r="C20" s="213">
        <f t="shared" si="10"/>
        <v>0.2866824926</v>
      </c>
      <c r="D20" s="213">
        <f t="shared" si="10"/>
        <v>-0.2811381368</v>
      </c>
      <c r="E20" s="213">
        <f t="shared" si="10"/>
        <v>0.537744231</v>
      </c>
      <c r="F20" s="213">
        <f t="shared" si="10"/>
        <v>-0.0331002331</v>
      </c>
      <c r="G20" s="213">
        <f t="shared" si="10"/>
        <v>-0.3762146567</v>
      </c>
      <c r="H20" s="213">
        <f t="shared" si="10"/>
        <v>0.2318652544</v>
      </c>
      <c r="I20" s="213">
        <f t="shared" si="10"/>
        <v>-0.2337925357</v>
      </c>
      <c r="J20" s="213">
        <f t="shared" si="10"/>
        <v>-0.4257142857</v>
      </c>
      <c r="K20" s="213">
        <f t="shared" si="10"/>
        <v>0.1478363726</v>
      </c>
      <c r="L20" s="213">
        <f t="shared" si="10"/>
        <v>0.1059617809</v>
      </c>
      <c r="M20" s="213">
        <f t="shared" si="10"/>
        <v>0.513067109</v>
      </c>
      <c r="N20" s="164"/>
      <c r="O20" s="213">
        <f t="shared" ref="O20:Q20" si="11">O19/O18</f>
        <v>0.121344177</v>
      </c>
      <c r="P20" s="213">
        <f t="shared" si="11"/>
        <v>0.121344177</v>
      </c>
      <c r="Q20" s="213">
        <f t="shared" si="11"/>
        <v>0.121344177</v>
      </c>
      <c r="R20" s="164"/>
    </row>
    <row r="21">
      <c r="A21" s="146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</row>
    <row r="22">
      <c r="A22" s="214">
        <v>1.0</v>
      </c>
      <c r="B22" s="164">
        <v>2.0</v>
      </c>
      <c r="C22" s="164">
        <v>3.0</v>
      </c>
      <c r="D22" s="164">
        <v>4.0</v>
      </c>
      <c r="E22" s="164">
        <v>5.0</v>
      </c>
      <c r="F22" s="164">
        <v>6.0</v>
      </c>
      <c r="G22" s="164">
        <v>7.0</v>
      </c>
      <c r="H22" s="164">
        <v>8.0</v>
      </c>
      <c r="I22" s="164">
        <v>9.0</v>
      </c>
      <c r="J22" s="164">
        <v>10.0</v>
      </c>
      <c r="K22" s="164">
        <v>11.0</v>
      </c>
      <c r="L22" s="164">
        <v>12.0</v>
      </c>
      <c r="M22" s="164">
        <v>13.0</v>
      </c>
      <c r="N22" s="164"/>
      <c r="O22" s="164"/>
      <c r="P22" s="164"/>
      <c r="Q22" s="164"/>
      <c r="R22" s="164"/>
    </row>
    <row r="23">
      <c r="A23" s="215" t="s">
        <v>168</v>
      </c>
      <c r="B23" s="164" t="str">
        <f>A3</f>
        <v>Housing</v>
      </c>
      <c r="C23" s="164" t="str">
        <f>A4</f>
        <v>Health</v>
      </c>
      <c r="D23" s="164" t="str">
        <f>A5</f>
        <v>Groceries</v>
      </c>
      <c r="E23" s="164" t="str">
        <f>A6</f>
        <v>Transport</v>
      </c>
      <c r="F23" s="164" t="str">
        <f>A7</f>
        <v>Out</v>
      </c>
      <c r="G23" s="164" t="str">
        <f>A8</f>
        <v>Travel</v>
      </c>
      <c r="H23" s="164" t="str">
        <f>A9</f>
        <v>YouTube</v>
      </c>
      <c r="I23" s="164" t="str">
        <f>A10</f>
        <v>Clothing</v>
      </c>
      <c r="J23" s="164" t="str">
        <f>A11</f>
        <v>Leisure</v>
      </c>
      <c r="K23" s="164" t="str">
        <f>A12</f>
        <v>Gifts</v>
      </c>
      <c r="L23" s="164" t="str">
        <f>A13</f>
        <v>Fees</v>
      </c>
      <c r="M23" s="216" t="str">
        <f>A14</f>
        <v>OtherExpenses</v>
      </c>
      <c r="N23" s="164"/>
      <c r="O23" s="164" t="str">
        <f>A17</f>
        <v>Total Expenses</v>
      </c>
      <c r="P23" s="162" t="s">
        <v>166</v>
      </c>
      <c r="Q23" s="164"/>
      <c r="R23" s="164"/>
    </row>
    <row r="24">
      <c r="A24" s="170" t="s">
        <v>162</v>
      </c>
      <c r="B24" s="171">
        <f t="shared" ref="B24:N24" si="12">HLOOKUP($A24, $B$2:$Q$17, B$22, false)</f>
        <v>742.83</v>
      </c>
      <c r="C24" s="171">
        <f t="shared" si="12"/>
        <v>0</v>
      </c>
      <c r="D24" s="171">
        <f t="shared" si="12"/>
        <v>28.69</v>
      </c>
      <c r="E24" s="171">
        <f t="shared" si="12"/>
        <v>241.99</v>
      </c>
      <c r="F24" s="171">
        <f t="shared" si="12"/>
        <v>591.96</v>
      </c>
      <c r="G24" s="171">
        <f t="shared" si="12"/>
        <v>0</v>
      </c>
      <c r="H24" s="171">
        <f t="shared" si="12"/>
        <v>0</v>
      </c>
      <c r="I24" s="171">
        <f t="shared" si="12"/>
        <v>0</v>
      </c>
      <c r="J24" s="171">
        <f t="shared" si="12"/>
        <v>188.79</v>
      </c>
      <c r="K24" s="171">
        <f t="shared" si="12"/>
        <v>173.09</v>
      </c>
      <c r="L24" s="171">
        <f t="shared" si="12"/>
        <v>39.96</v>
      </c>
      <c r="M24" s="171">
        <f t="shared" si="12"/>
        <v>507.65</v>
      </c>
      <c r="N24" s="171" t="str">
        <f t="shared" si="12"/>
        <v>#VALUE!</v>
      </c>
      <c r="O24" s="171">
        <f>HLOOKUP($A24, $B$2:$Q$17, 16, false)</f>
        <v>2514.96</v>
      </c>
      <c r="P24" s="171">
        <f>HLOOKUP($A24, $B$2:$Q$21, 18, false)</f>
        <v>-750.96</v>
      </c>
      <c r="Q24" s="164"/>
      <c r="R24" s="164"/>
    </row>
    <row r="25">
      <c r="A25" s="146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</row>
    <row r="26">
      <c r="A26" s="146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</row>
    <row r="27">
      <c r="A27" s="146"/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</row>
    <row r="28">
      <c r="A28" s="146"/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</row>
    <row r="29">
      <c r="A29" s="146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</row>
    <row r="30">
      <c r="A30" s="146"/>
      <c r="B30" s="164"/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</row>
    <row r="31">
      <c r="A31" s="146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</row>
    <row r="32">
      <c r="A32" s="146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</row>
    <row r="33">
      <c r="A33" s="146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</row>
    <row r="34">
      <c r="A34" s="146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</row>
    <row r="35">
      <c r="A35" s="146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</row>
    <row r="36">
      <c r="A36" s="146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</row>
    <row r="37">
      <c r="A37" s="146"/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</row>
    <row r="38">
      <c r="A38" s="146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</row>
    <row r="39">
      <c r="A39" s="146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</row>
    <row r="40">
      <c r="A40" s="146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</row>
    <row r="41">
      <c r="A41" s="146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</row>
    <row r="42">
      <c r="A42" s="146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</row>
    <row r="43">
      <c r="A43" s="146"/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</row>
    <row r="44">
      <c r="A44" s="146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</row>
    <row r="45">
      <c r="A45" s="146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</row>
    <row r="46">
      <c r="A46" s="146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</row>
    <row r="47">
      <c r="A47" s="146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</row>
    <row r="48">
      <c r="A48" s="146"/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</row>
    <row r="49">
      <c r="A49" s="146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</row>
    <row r="50">
      <c r="A50" s="146"/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</row>
    <row r="51">
      <c r="A51" s="146"/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</row>
    <row r="52">
      <c r="A52" s="146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</row>
    <row r="53">
      <c r="A53" s="146"/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</row>
    <row r="54">
      <c r="A54" s="146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</row>
    <row r="55">
      <c r="A55" s="146"/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</row>
    <row r="56">
      <c r="A56" s="146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</row>
    <row r="57">
      <c r="A57" s="146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</row>
    <row r="58">
      <c r="A58" s="146"/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</row>
    <row r="59">
      <c r="A59" s="146"/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</row>
    <row r="60">
      <c r="A60" s="146"/>
      <c r="B60" s="164"/>
      <c r="C60" s="164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</row>
    <row r="61">
      <c r="A61" s="146"/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</row>
    <row r="62">
      <c r="A62" s="146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</row>
    <row r="63">
      <c r="A63" s="146"/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</row>
    <row r="64">
      <c r="A64" s="146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</row>
    <row r="65">
      <c r="A65" s="146"/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</row>
    <row r="66">
      <c r="A66" s="146"/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</row>
    <row r="67">
      <c r="A67" s="146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</row>
    <row r="68">
      <c r="A68" s="146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</row>
    <row r="69">
      <c r="A69" s="146"/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</row>
    <row r="70">
      <c r="A70" s="146"/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</row>
    <row r="71">
      <c r="A71" s="146"/>
      <c r="B71" s="164"/>
      <c r="C71" s="164"/>
      <c r="D71" s="164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</row>
    <row r="72">
      <c r="A72" s="146"/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</row>
    <row r="73">
      <c r="A73" s="146"/>
      <c r="B73" s="164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</row>
    <row r="74">
      <c r="A74" s="146"/>
      <c r="B74" s="164"/>
      <c r="C74" s="164"/>
      <c r="D74" s="164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</row>
    <row r="75">
      <c r="A75" s="146"/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</row>
    <row r="76">
      <c r="A76" s="146"/>
      <c r="B76" s="164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</row>
    <row r="77">
      <c r="A77" s="146"/>
      <c r="B77" s="164"/>
      <c r="C77" s="164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</row>
    <row r="78">
      <c r="A78" s="168" t="s">
        <v>118</v>
      </c>
      <c r="B78" s="164" t="str">
        <f t="shared" ref="B78:M78" si="13">B2</f>
        <v>Jan</v>
      </c>
      <c r="C78" s="164" t="str">
        <f t="shared" si="13"/>
        <v>Feb</v>
      </c>
      <c r="D78" s="164" t="str">
        <f t="shared" si="13"/>
        <v>Mar</v>
      </c>
      <c r="E78" s="164" t="str">
        <f t="shared" si="13"/>
        <v>Apr</v>
      </c>
      <c r="F78" s="164" t="str">
        <f t="shared" si="13"/>
        <v>May</v>
      </c>
      <c r="G78" s="164" t="str">
        <f t="shared" si="13"/>
        <v>Jun</v>
      </c>
      <c r="H78" s="164" t="str">
        <f t="shared" si="13"/>
        <v>Jul</v>
      </c>
      <c r="I78" s="164" t="str">
        <f t="shared" si="13"/>
        <v>Aug</v>
      </c>
      <c r="J78" s="164" t="str">
        <f t="shared" si="13"/>
        <v>Sept</v>
      </c>
      <c r="K78" s="164" t="str">
        <f t="shared" si="13"/>
        <v>Oct</v>
      </c>
      <c r="L78" s="164" t="str">
        <f t="shared" si="13"/>
        <v>Nov</v>
      </c>
      <c r="M78" s="164" t="str">
        <f t="shared" si="13"/>
        <v>Dec</v>
      </c>
      <c r="N78" s="164" t="str">
        <f>'2018 Expenses Short'!N46</f>
        <v>#REF!</v>
      </c>
      <c r="O78" s="164" t="str">
        <f>O2</f>
        <v>Total</v>
      </c>
      <c r="P78" s="164"/>
      <c r="Q78" s="164"/>
      <c r="R78" s="164"/>
    </row>
    <row r="79">
      <c r="A79" s="170" t="s">
        <v>108</v>
      </c>
      <c r="B79" s="171">
        <f t="shared" ref="B79:M79" si="14">VLOOKUP($A79, $A$2:$O$17, B$22, false)</f>
        <v>536.78</v>
      </c>
      <c r="C79" s="171">
        <f t="shared" si="14"/>
        <v>402.53</v>
      </c>
      <c r="D79" s="171">
        <f t="shared" si="14"/>
        <v>318.74</v>
      </c>
      <c r="E79" s="171">
        <f t="shared" si="14"/>
        <v>253.74</v>
      </c>
      <c r="F79" s="171">
        <f t="shared" si="14"/>
        <v>468.59</v>
      </c>
      <c r="G79" s="171">
        <f t="shared" si="14"/>
        <v>458.02</v>
      </c>
      <c r="H79" s="171">
        <f t="shared" si="14"/>
        <v>305.97</v>
      </c>
      <c r="I79" s="171">
        <f t="shared" si="14"/>
        <v>311.76</v>
      </c>
      <c r="J79" s="171">
        <f t="shared" si="14"/>
        <v>591.96</v>
      </c>
      <c r="K79" s="171">
        <f t="shared" si="14"/>
        <v>509.79</v>
      </c>
      <c r="L79" s="171">
        <f t="shared" si="14"/>
        <v>437.39</v>
      </c>
      <c r="M79" s="171">
        <f t="shared" si="14"/>
        <v>372.17</v>
      </c>
      <c r="N79" s="171" t="str">
        <f t="shared" ref="N79:N81" si="16">VLOOKUP($A79, '2018 Expenses Short'!$A$1:$O$16, N$2, false)</f>
        <v>#VALUE!</v>
      </c>
      <c r="O79" s="171">
        <f t="shared" ref="O79:O81" si="17">VLOOKUP($A79, $A$2:$O$17, 15, false)</f>
        <v>4967.44</v>
      </c>
      <c r="P79" s="164"/>
      <c r="Q79" s="164"/>
      <c r="R79" s="164"/>
    </row>
    <row r="80">
      <c r="A80" s="170" t="s">
        <v>106</v>
      </c>
      <c r="B80" s="171">
        <f t="shared" ref="B80:M80" si="15">VLOOKUP($A80, $A$2:$O$17, B$22, false)</f>
        <v>127.62</v>
      </c>
      <c r="C80" s="171">
        <f t="shared" si="15"/>
        <v>122.81</v>
      </c>
      <c r="D80" s="171">
        <f t="shared" si="15"/>
        <v>185.05</v>
      </c>
      <c r="E80" s="171">
        <f t="shared" si="15"/>
        <v>94.02</v>
      </c>
      <c r="F80" s="171">
        <f t="shared" si="15"/>
        <v>71.62</v>
      </c>
      <c r="G80" s="171">
        <f t="shared" si="15"/>
        <v>6.05</v>
      </c>
      <c r="H80" s="171">
        <f t="shared" si="15"/>
        <v>7.47</v>
      </c>
      <c r="I80" s="171">
        <f t="shared" si="15"/>
        <v>8.17</v>
      </c>
      <c r="J80" s="171">
        <f t="shared" si="15"/>
        <v>28.69</v>
      </c>
      <c r="K80" s="171">
        <f t="shared" si="15"/>
        <v>17.71</v>
      </c>
      <c r="L80" s="171">
        <f t="shared" si="15"/>
        <v>74.83</v>
      </c>
      <c r="M80" s="171">
        <f t="shared" si="15"/>
        <v>178.88</v>
      </c>
      <c r="N80" s="171" t="str">
        <f t="shared" si="16"/>
        <v>#VALUE!</v>
      </c>
      <c r="O80" s="171">
        <f t="shared" si="17"/>
        <v>922.92</v>
      </c>
      <c r="P80" s="164"/>
      <c r="Q80" s="164"/>
      <c r="R80" s="164"/>
    </row>
    <row r="81">
      <c r="A81" s="170" t="s">
        <v>104</v>
      </c>
      <c r="B81" s="171">
        <f t="shared" ref="B81:M81" si="18">VLOOKUP($A81, $A$2:$O$17, B$22, false)</f>
        <v>643.95</v>
      </c>
      <c r="C81" s="171">
        <f t="shared" si="18"/>
        <v>1022.27</v>
      </c>
      <c r="D81" s="171">
        <f t="shared" si="18"/>
        <v>881.95</v>
      </c>
      <c r="E81" s="171">
        <f t="shared" si="18"/>
        <v>674.74</v>
      </c>
      <c r="F81" s="171">
        <f t="shared" si="18"/>
        <v>860.99</v>
      </c>
      <c r="G81" s="171">
        <f t="shared" si="18"/>
        <v>659.74</v>
      </c>
      <c r="H81" s="171">
        <f t="shared" si="18"/>
        <v>752.95</v>
      </c>
      <c r="I81" s="171">
        <f t="shared" si="18"/>
        <v>653.75</v>
      </c>
      <c r="J81" s="171">
        <f t="shared" si="18"/>
        <v>742.83</v>
      </c>
      <c r="K81" s="171">
        <f t="shared" si="18"/>
        <v>652.74</v>
      </c>
      <c r="L81" s="171">
        <f t="shared" si="18"/>
        <v>890.68</v>
      </c>
      <c r="M81" s="171">
        <f t="shared" si="18"/>
        <v>726.02</v>
      </c>
      <c r="N81" s="171" t="str">
        <f t="shared" si="16"/>
        <v>#VALUE!</v>
      </c>
      <c r="O81" s="171">
        <f t="shared" si="17"/>
        <v>9162.61</v>
      </c>
      <c r="P81" s="164"/>
      <c r="Q81" s="164"/>
      <c r="R81" s="164"/>
    </row>
    <row r="82">
      <c r="A82" s="146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</row>
    <row r="83">
      <c r="A83" s="146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</row>
    <row r="84">
      <c r="A84" s="146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</row>
    <row r="85">
      <c r="A85" s="146"/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</row>
    <row r="86">
      <c r="A86" s="146"/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</row>
    <row r="87">
      <c r="A87" s="146"/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</row>
    <row r="88">
      <c r="A88" s="146"/>
      <c r="B88" s="164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</row>
    <row r="89">
      <c r="A89" s="146"/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</row>
    <row r="90">
      <c r="A90" s="146"/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</row>
    <row r="91">
      <c r="A91" s="146"/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</row>
    <row r="92">
      <c r="A92" s="146"/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</row>
    <row r="93">
      <c r="A93" s="146"/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</row>
    <row r="94">
      <c r="A94" s="146"/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</row>
    <row r="95">
      <c r="A95" s="146"/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</row>
    <row r="96">
      <c r="A96" s="146"/>
      <c r="B96" s="164"/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</row>
    <row r="97">
      <c r="A97" s="146"/>
      <c r="B97" s="164"/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</row>
    <row r="98">
      <c r="A98" s="146"/>
      <c r="B98" s="164"/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</row>
    <row r="99">
      <c r="A99" s="146"/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</row>
    <row r="100">
      <c r="A100" s="146"/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</row>
    <row r="101">
      <c r="A101" s="146"/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</row>
    <row r="102">
      <c r="A102" s="146"/>
      <c r="B102" s="164"/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</row>
    <row r="103">
      <c r="A103" s="146"/>
      <c r="B103" s="164"/>
      <c r="C103" s="164"/>
      <c r="D103" s="164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</row>
    <row r="104">
      <c r="A104" s="146"/>
      <c r="B104" s="164"/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</row>
    <row r="105">
      <c r="A105" s="146"/>
      <c r="B105" s="164"/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</row>
    <row r="106">
      <c r="A106" s="146"/>
      <c r="B106" s="164"/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</row>
    <row r="107">
      <c r="A107" s="146"/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</row>
    <row r="108">
      <c r="A108" s="146"/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</row>
    <row r="109">
      <c r="A109" s="146"/>
      <c r="B109" s="164"/>
      <c r="C109" s="164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</row>
    <row r="110">
      <c r="A110" s="146"/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</row>
    <row r="111">
      <c r="A111" s="146"/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</row>
    <row r="112">
      <c r="A112" s="146"/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</row>
    <row r="113">
      <c r="A113" s="146"/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</row>
    <row r="114">
      <c r="A114" s="146"/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</row>
    <row r="115">
      <c r="A115" s="146"/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</row>
    <row r="116">
      <c r="A116" s="146"/>
      <c r="B116" s="164"/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</row>
    <row r="117">
      <c r="A117" s="146"/>
      <c r="B117" s="164"/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</row>
    <row r="118">
      <c r="A118" s="146"/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</row>
    <row r="119">
      <c r="A119" s="146"/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</row>
    <row r="120">
      <c r="A120" s="146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</row>
    <row r="121">
      <c r="A121" s="146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</row>
    <row r="122">
      <c r="A122" s="146"/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</row>
    <row r="123">
      <c r="A123" s="146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</row>
    <row r="124">
      <c r="A124" s="146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</row>
    <row r="125">
      <c r="A125" s="146"/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</row>
    <row r="126">
      <c r="A126" s="146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</row>
    <row r="127">
      <c r="A127" s="146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</row>
    <row r="128">
      <c r="A128" s="146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</row>
    <row r="129">
      <c r="A129" s="146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</row>
    <row r="130">
      <c r="A130" s="146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</row>
    <row r="131">
      <c r="A131" s="146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</row>
    <row r="132">
      <c r="A132" s="146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</row>
    <row r="133">
      <c r="A133" s="146"/>
      <c r="B133" s="164"/>
      <c r="C133" s="164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</row>
    <row r="134">
      <c r="A134" s="146"/>
      <c r="B134" s="164"/>
      <c r="C134" s="164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</row>
    <row r="135">
      <c r="A135" s="146"/>
      <c r="B135" s="164"/>
      <c r="C135" s="164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</row>
    <row r="136">
      <c r="A136" s="146"/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</row>
    <row r="137">
      <c r="A137" s="146"/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</row>
    <row r="138">
      <c r="A138" s="146"/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</row>
    <row r="139">
      <c r="A139" s="146"/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</row>
    <row r="140">
      <c r="A140" s="146"/>
      <c r="B140" s="164"/>
      <c r="C140" s="164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</row>
    <row r="141">
      <c r="A141" s="146"/>
      <c r="B141" s="164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</row>
    <row r="142">
      <c r="A142" s="146"/>
      <c r="B142" s="164"/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</row>
    <row r="143">
      <c r="A143" s="146"/>
      <c r="B143" s="164"/>
      <c r="C143" s="164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</row>
    <row r="144">
      <c r="A144" s="146"/>
      <c r="B144" s="164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</row>
    <row r="145">
      <c r="A145" s="146"/>
      <c r="B145" s="164"/>
      <c r="C145" s="164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</row>
    <row r="146">
      <c r="A146" s="146"/>
      <c r="B146" s="164"/>
      <c r="C146" s="164"/>
      <c r="D146" s="164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</row>
    <row r="147">
      <c r="A147" s="146"/>
      <c r="B147" s="164"/>
      <c r="C147" s="164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</row>
    <row r="148">
      <c r="A148" s="146"/>
      <c r="B148" s="164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</row>
    <row r="149">
      <c r="A149" s="146"/>
      <c r="B149" s="164"/>
      <c r="C149" s="164"/>
      <c r="D149" s="164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</row>
    <row r="150">
      <c r="A150" s="146"/>
      <c r="B150" s="164"/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</row>
    <row r="151">
      <c r="A151" s="146"/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</row>
    <row r="152">
      <c r="A152" s="146"/>
      <c r="B152" s="164"/>
      <c r="C152" s="164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</row>
    <row r="153">
      <c r="A153" s="146"/>
      <c r="B153" s="164"/>
      <c r="C153" s="164"/>
      <c r="D153" s="164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</row>
    <row r="154">
      <c r="A154" s="146"/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</row>
    <row r="155">
      <c r="A155" s="146"/>
      <c r="B155" s="164"/>
      <c r="C155" s="164"/>
      <c r="D155" s="164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</row>
    <row r="156">
      <c r="A156" s="146"/>
      <c r="B156" s="164"/>
      <c r="C156" s="164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</row>
    <row r="157">
      <c r="A157" s="146"/>
      <c r="B157" s="164"/>
      <c r="C157" s="164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</row>
    <row r="158">
      <c r="A158" s="146"/>
      <c r="B158" s="164"/>
      <c r="C158" s="164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</row>
    <row r="159">
      <c r="A159" s="146"/>
      <c r="B159" s="164"/>
      <c r="C159" s="164"/>
      <c r="D159" s="164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</row>
    <row r="160">
      <c r="A160" s="146"/>
      <c r="B160" s="164"/>
      <c r="C160" s="164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</row>
    <row r="161">
      <c r="A161" s="146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</row>
    <row r="162">
      <c r="A162" s="146"/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</row>
    <row r="163">
      <c r="A163" s="146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</row>
  </sheetData>
  <mergeCells count="1">
    <mergeCell ref="A1:R1"/>
  </mergeCells>
  <dataValidations>
    <dataValidation type="list" allowBlank="1" showErrorMessage="1" sqref="A79:A81">
      <formula1>'2022 Exp - Deprecated'!$A$3:$A$17</formula1>
    </dataValidation>
    <dataValidation type="list" allowBlank="1" showErrorMessage="1" sqref="A24">
      <formula1>'2022 Exp - Deprecated'!$B$2:$Q$2</formula1>
    </dataValidation>
  </dataValidations>
  <hyperlinks>
    <hyperlink r:id="rId1" ref="A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9.13"/>
    <col customWidth="1" min="2" max="2" width="25.75"/>
    <col customWidth="1" min="3" max="6" width="7.63"/>
    <col customWidth="1" min="7" max="7" width="12.0"/>
    <col customWidth="1" min="8" max="8" width="11.0"/>
    <col customWidth="1" min="9" max="9" width="10.13"/>
    <col customWidth="1" min="10" max="10" width="3.63"/>
    <col customWidth="1" min="11" max="11" width="13.5"/>
    <col customWidth="1" min="12" max="12" width="50.13"/>
  </cols>
  <sheetData>
    <row r="1">
      <c r="A1" s="189"/>
      <c r="B1" s="217"/>
      <c r="C1" s="218" t="s">
        <v>169</v>
      </c>
      <c r="E1" s="219" t="s">
        <v>170</v>
      </c>
      <c r="G1" s="116"/>
      <c r="H1" s="220"/>
      <c r="I1" s="220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>
      <c r="A2" s="221" t="s">
        <v>171</v>
      </c>
      <c r="B2" s="222" t="s">
        <v>172</v>
      </c>
      <c r="C2" s="223" t="s">
        <v>173</v>
      </c>
      <c r="D2" s="223" t="s">
        <v>174</v>
      </c>
      <c r="E2" s="223" t="s">
        <v>173</v>
      </c>
      <c r="F2" s="224" t="s">
        <v>174</v>
      </c>
      <c r="G2" s="225" t="s">
        <v>175</v>
      </c>
      <c r="H2" s="226" t="s">
        <v>176</v>
      </c>
      <c r="I2" s="226" t="s">
        <v>177</v>
      </c>
      <c r="J2" s="83"/>
      <c r="K2" s="227" t="s">
        <v>178</v>
      </c>
      <c r="L2" s="228" t="s">
        <v>179</v>
      </c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>
      <c r="A3" s="229" t="s">
        <v>27</v>
      </c>
      <c r="B3" s="217"/>
      <c r="C3" s="230"/>
      <c r="D3" s="231">
        <f>100%-D4</f>
        <v>0.4966666667</v>
      </c>
      <c r="E3" s="231" t="str">
        <f t="shared" ref="E3:E7" si="1">G3/G$8</f>
        <v>#REF!</v>
      </c>
      <c r="F3" s="231" t="str">
        <f t="shared" ref="F3:F7" si="2">G3/G$8</f>
        <v>#REF!</v>
      </c>
      <c r="G3" s="179" t="str">
        <f>G17</f>
        <v>#REF!</v>
      </c>
      <c r="H3" s="232" t="str">
        <f t="shared" ref="H3:H4" si="3">IF($D3="OFF",G3,D3*($G$8-SUMIF(D$3:D$7,"OFF",H$3:H$7)))</f>
        <v>#REF!</v>
      </c>
      <c r="I3" s="233" t="str">
        <f t="shared" ref="I3:I7" si="4">H3-G3</f>
        <v>#REF!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</row>
    <row r="4">
      <c r="A4" s="229" t="s">
        <v>77</v>
      </c>
      <c r="B4" s="217"/>
      <c r="C4" s="230"/>
      <c r="D4" s="231">
        <f>IF(B36&lt;B37, B40, IF(B36&gt;B38, B39, B39 +(B40-B39)*(B38-B36)/(B38-B37)))</f>
        <v>0.5033333333</v>
      </c>
      <c r="E4" s="231" t="str">
        <f t="shared" si="1"/>
        <v>#REF!</v>
      </c>
      <c r="F4" s="231" t="str">
        <f t="shared" si="2"/>
        <v>#REF!</v>
      </c>
      <c r="G4" s="179" t="str">
        <f>G25</f>
        <v>#REF!</v>
      </c>
      <c r="H4" s="232" t="str">
        <f t="shared" si="3"/>
        <v>#REF!</v>
      </c>
      <c r="I4" s="234" t="str">
        <f t="shared" si="4"/>
        <v>#REF!</v>
      </c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</row>
    <row r="5">
      <c r="A5" s="229" t="s">
        <v>180</v>
      </c>
      <c r="B5" s="217"/>
      <c r="C5" s="230"/>
      <c r="D5" s="235" t="s">
        <v>181</v>
      </c>
      <c r="E5" s="231" t="str">
        <f t="shared" si="1"/>
        <v>#REF!</v>
      </c>
      <c r="F5" s="231" t="str">
        <f t="shared" si="2"/>
        <v>#REF!</v>
      </c>
      <c r="G5" s="179" t="str">
        <f>G31</f>
        <v>#REF!</v>
      </c>
      <c r="H5" s="236">
        <v>50000.0</v>
      </c>
      <c r="I5" s="234" t="str">
        <f t="shared" si="4"/>
        <v>#REF!</v>
      </c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</row>
    <row r="6">
      <c r="A6" s="229" t="s">
        <v>182</v>
      </c>
      <c r="B6" s="217"/>
      <c r="C6" s="230"/>
      <c r="D6" s="235" t="s">
        <v>181</v>
      </c>
      <c r="E6" s="231" t="str">
        <f t="shared" si="1"/>
        <v>#REF!</v>
      </c>
      <c r="F6" s="231" t="str">
        <f t="shared" si="2"/>
        <v>#REF!</v>
      </c>
      <c r="G6" s="179">
        <f>sum('2022'!P66:P68)</f>
        <v>4051.91</v>
      </c>
      <c r="H6" s="237">
        <v>100000.0</v>
      </c>
      <c r="I6" s="233">
        <f t="shared" si="4"/>
        <v>95948.09</v>
      </c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</row>
    <row r="7">
      <c r="A7" s="229" t="s">
        <v>55</v>
      </c>
      <c r="B7" s="217"/>
      <c r="C7" s="230"/>
      <c r="D7" s="235" t="s">
        <v>181</v>
      </c>
      <c r="E7" s="231" t="str">
        <f t="shared" si="1"/>
        <v>#REF!</v>
      </c>
      <c r="F7" s="231" t="str">
        <f t="shared" si="2"/>
        <v>#REF!</v>
      </c>
      <c r="G7" s="179">
        <f>'2022'!P69</f>
        <v>0</v>
      </c>
      <c r="H7" s="237">
        <f>G7</f>
        <v>0</v>
      </c>
      <c r="I7" s="234">
        <f t="shared" si="4"/>
        <v>0</v>
      </c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>
      <c r="A8" s="238" t="s">
        <v>101</v>
      </c>
      <c r="B8" s="217"/>
      <c r="C8" s="230"/>
      <c r="D8" s="239">
        <f t="shared" ref="D8:I8" si="5">sum(D3:D7)</f>
        <v>1</v>
      </c>
      <c r="E8" s="239" t="str">
        <f t="shared" si="5"/>
        <v>#REF!</v>
      </c>
      <c r="F8" s="239" t="str">
        <f t="shared" si="5"/>
        <v>#REF!</v>
      </c>
      <c r="G8" s="186" t="str">
        <f t="shared" si="5"/>
        <v>#REF!</v>
      </c>
      <c r="H8" s="186" t="str">
        <f t="shared" si="5"/>
        <v>#REF!</v>
      </c>
      <c r="I8" s="240" t="str">
        <f t="shared" si="5"/>
        <v>#REF!</v>
      </c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</row>
    <row r="9">
      <c r="A9" s="89"/>
      <c r="B9" s="217"/>
      <c r="C9" s="230"/>
      <c r="D9" s="230"/>
      <c r="E9" s="230"/>
      <c r="F9" s="230"/>
      <c r="G9" s="116"/>
      <c r="H9" s="220"/>
      <c r="I9" s="220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</row>
    <row r="10">
      <c r="A10" s="238" t="s">
        <v>27</v>
      </c>
      <c r="B10" s="217"/>
      <c r="C10" s="230"/>
      <c r="D10" s="230"/>
      <c r="E10" s="230"/>
      <c r="F10" s="230"/>
      <c r="G10" s="116"/>
      <c r="H10" s="220"/>
      <c r="I10" s="220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</row>
    <row r="11">
      <c r="A11" s="229" t="s">
        <v>183</v>
      </c>
      <c r="B11" s="241" t="s">
        <v>184</v>
      </c>
      <c r="C11" s="230"/>
      <c r="D11" s="235" t="s">
        <v>181</v>
      </c>
      <c r="E11" s="242" t="str">
        <f t="shared" ref="E11:E16" si="6">G11/G$8</f>
        <v>#REF!</v>
      </c>
      <c r="F11" s="242" t="str">
        <f t="shared" ref="F11:F16" si="7">G11/$G$17</f>
        <v>#REF!</v>
      </c>
      <c r="G11" s="179" t="str">
        <f>#REF!</f>
        <v>#REF!</v>
      </c>
      <c r="H11" s="232" t="str">
        <f t="shared" ref="H11:H16" si="8">IF($D11="OFF",G11,D11*($H$3-SUMIF(D$11:D$13,"OFF",H$11:H$13)))</f>
        <v>#REF!</v>
      </c>
      <c r="I11" s="234" t="str">
        <f t="shared" ref="I11:I16" si="9">H11-G11</f>
        <v>#REF!</v>
      </c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</row>
    <row r="12">
      <c r="A12" s="229" t="s">
        <v>185</v>
      </c>
      <c r="B12" s="241" t="s">
        <v>186</v>
      </c>
      <c r="C12" s="230"/>
      <c r="D12" s="235" t="s">
        <v>181</v>
      </c>
      <c r="E12" s="242" t="str">
        <f t="shared" si="6"/>
        <v>#REF!</v>
      </c>
      <c r="F12" s="242" t="str">
        <f t="shared" si="7"/>
        <v>#REF!</v>
      </c>
      <c r="G12" s="179">
        <f>(sum('2022'!P9)*0.2+sum('2022'!P9:P10))/B$34</f>
        <v>1072.788714</v>
      </c>
      <c r="H12" s="232">
        <f t="shared" si="8"/>
        <v>1072.788714</v>
      </c>
      <c r="I12" s="234">
        <f t="shared" si="9"/>
        <v>0</v>
      </c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</row>
    <row r="13">
      <c r="A13" s="229" t="s">
        <v>187</v>
      </c>
      <c r="B13" s="243" t="s">
        <v>188</v>
      </c>
      <c r="C13" s="230"/>
      <c r="D13" s="244">
        <v>0.2</v>
      </c>
      <c r="E13" s="242" t="str">
        <f t="shared" si="6"/>
        <v>#REF!</v>
      </c>
      <c r="F13" s="242" t="str">
        <f t="shared" si="7"/>
        <v>#REF!</v>
      </c>
      <c r="G13" s="179" t="str">
        <f>(#REF!)/B$35</f>
        <v>#REF!</v>
      </c>
      <c r="H13" s="232" t="str">
        <f t="shared" si="8"/>
        <v>#REF!</v>
      </c>
      <c r="I13" s="233" t="str">
        <f t="shared" si="9"/>
        <v>#REF!</v>
      </c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</row>
    <row r="14">
      <c r="A14" s="229" t="s">
        <v>189</v>
      </c>
      <c r="B14" s="241" t="s">
        <v>190</v>
      </c>
      <c r="C14" s="230"/>
      <c r="D14" s="235">
        <v>0.3</v>
      </c>
      <c r="E14" s="242" t="str">
        <f t="shared" si="6"/>
        <v>#REF!</v>
      </c>
      <c r="F14" s="242" t="str">
        <f t="shared" si="7"/>
        <v>#REF!</v>
      </c>
      <c r="G14" s="179" t="str">
        <f t="shared" ref="G14:G15" si="10">#REF!/B$34</f>
        <v>#REF!</v>
      </c>
      <c r="H14" s="232" t="str">
        <f t="shared" si="8"/>
        <v>#REF!</v>
      </c>
      <c r="I14" s="234" t="str">
        <f t="shared" si="9"/>
        <v>#REF!</v>
      </c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</row>
    <row r="15">
      <c r="A15" s="229" t="s">
        <v>191</v>
      </c>
      <c r="B15" s="241" t="s">
        <v>192</v>
      </c>
      <c r="C15" s="230"/>
      <c r="D15" s="235">
        <v>0.2</v>
      </c>
      <c r="E15" s="242" t="str">
        <f t="shared" si="6"/>
        <v>#REF!</v>
      </c>
      <c r="F15" s="242" t="str">
        <f t="shared" si="7"/>
        <v>#REF!</v>
      </c>
      <c r="G15" s="179" t="str">
        <f t="shared" si="10"/>
        <v>#REF!</v>
      </c>
      <c r="H15" s="232" t="str">
        <f t="shared" si="8"/>
        <v>#REF!</v>
      </c>
      <c r="I15" s="233" t="str">
        <f t="shared" si="9"/>
        <v>#REF!</v>
      </c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</row>
    <row r="16">
      <c r="A16" s="229" t="s">
        <v>193</v>
      </c>
      <c r="B16" s="241" t="s">
        <v>194</v>
      </c>
      <c r="C16" s="230"/>
      <c r="D16" s="244">
        <v>0.3</v>
      </c>
      <c r="E16" s="242" t="str">
        <f t="shared" si="6"/>
        <v>#REF!</v>
      </c>
      <c r="F16" s="242" t="str">
        <f t="shared" si="7"/>
        <v>#REF!</v>
      </c>
      <c r="G16" s="179" t="str">
        <f>#REF!</f>
        <v>#REF!</v>
      </c>
      <c r="H16" s="232" t="str">
        <f t="shared" si="8"/>
        <v>#REF!</v>
      </c>
      <c r="I16" s="233" t="str">
        <f t="shared" si="9"/>
        <v>#REF!</v>
      </c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</row>
    <row r="17">
      <c r="A17" s="238" t="s">
        <v>195</v>
      </c>
      <c r="B17" s="217"/>
      <c r="C17" s="230"/>
      <c r="D17" s="239">
        <f t="shared" ref="D17:I17" si="11">sum(D10:D16)</f>
        <v>1</v>
      </c>
      <c r="E17" s="239" t="str">
        <f t="shared" si="11"/>
        <v>#REF!</v>
      </c>
      <c r="F17" s="239" t="str">
        <f t="shared" si="11"/>
        <v>#REF!</v>
      </c>
      <c r="G17" s="245" t="str">
        <f t="shared" si="11"/>
        <v>#REF!</v>
      </c>
      <c r="H17" s="245" t="str">
        <f t="shared" si="11"/>
        <v>#REF!</v>
      </c>
      <c r="I17" s="233" t="str">
        <f t="shared" si="11"/>
        <v>#REF!</v>
      </c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</row>
    <row r="18">
      <c r="A18" s="89"/>
      <c r="B18" s="217"/>
      <c r="C18" s="230"/>
      <c r="D18" s="230"/>
      <c r="E18" s="230"/>
      <c r="F18" s="230"/>
      <c r="G18" s="116"/>
      <c r="H18" s="220"/>
      <c r="I18" s="220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>
      <c r="A19" s="238" t="s">
        <v>77</v>
      </c>
      <c r="B19" s="217"/>
      <c r="C19" s="230"/>
      <c r="D19" s="230"/>
      <c r="E19" s="230"/>
      <c r="F19" s="230"/>
      <c r="G19" s="116"/>
      <c r="H19" s="220"/>
      <c r="I19" s="220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</row>
    <row r="20">
      <c r="A20" s="246" t="s">
        <v>196</v>
      </c>
      <c r="B20" s="241" t="s">
        <v>197</v>
      </c>
      <c r="C20" s="230"/>
      <c r="D20" s="235">
        <v>0.35</v>
      </c>
      <c r="E20" s="242" t="str">
        <f t="shared" ref="E20:E24" si="12">G20/G$8</f>
        <v>#REF!</v>
      </c>
      <c r="F20" s="242" t="str">
        <f t="shared" ref="F20:F24" si="13">G20/$G$25</f>
        <v>#REF!</v>
      </c>
      <c r="G20" s="179">
        <f>'2022'!P4/B$35 +(sum('2022'!P6:P7) +sum('2022'!P9)*0.8)/B$34</f>
        <v>223.0295537</v>
      </c>
      <c r="H20" s="232" t="str">
        <f t="shared" ref="H20:H24" si="14">D20*$H$4</f>
        <v>#REF!</v>
      </c>
      <c r="I20" s="234" t="str">
        <f t="shared" ref="I20:I24" si="15">H20-G20</f>
        <v>#REF!</v>
      </c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</row>
    <row r="21">
      <c r="A21" s="229" t="s">
        <v>198</v>
      </c>
      <c r="B21" s="241" t="s">
        <v>199</v>
      </c>
      <c r="C21" s="230"/>
      <c r="D21" s="235">
        <v>0.075</v>
      </c>
      <c r="E21" s="242" t="str">
        <f t="shared" si="12"/>
        <v>#REF!</v>
      </c>
      <c r="F21" s="242" t="str">
        <f t="shared" si="13"/>
        <v>#REF!</v>
      </c>
      <c r="G21" s="179" t="str">
        <f t="shared" ref="G21:G22" si="16">#REF!/B$35</f>
        <v>#REF!</v>
      </c>
      <c r="H21" s="232" t="str">
        <f t="shared" si="14"/>
        <v>#REF!</v>
      </c>
      <c r="I21" s="234" t="str">
        <f t="shared" si="15"/>
        <v>#REF!</v>
      </c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</row>
    <row r="22">
      <c r="A22" s="229" t="s">
        <v>200</v>
      </c>
      <c r="B22" s="247" t="s">
        <v>201</v>
      </c>
      <c r="C22" s="230"/>
      <c r="D22" s="235">
        <v>0.075</v>
      </c>
      <c r="E22" s="242" t="str">
        <f t="shared" si="12"/>
        <v>#REF!</v>
      </c>
      <c r="F22" s="242" t="str">
        <f t="shared" si="13"/>
        <v>#REF!</v>
      </c>
      <c r="G22" s="179" t="str">
        <f t="shared" si="16"/>
        <v>#REF!</v>
      </c>
      <c r="H22" s="232" t="str">
        <f t="shared" si="14"/>
        <v>#REF!</v>
      </c>
      <c r="I22" s="234" t="str">
        <f t="shared" si="15"/>
        <v>#REF!</v>
      </c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</row>
    <row r="23">
      <c r="A23" s="229" t="s">
        <v>202</v>
      </c>
      <c r="B23" s="247" t="s">
        <v>203</v>
      </c>
      <c r="C23" s="230"/>
      <c r="D23" s="235">
        <v>0.25</v>
      </c>
      <c r="E23" s="242" t="str">
        <f t="shared" si="12"/>
        <v>#REF!</v>
      </c>
      <c r="F23" s="242" t="str">
        <f t="shared" si="13"/>
        <v>#REF!</v>
      </c>
      <c r="G23" s="179" t="str">
        <f>(#REF! +#REF! +#REF! +#REF!)/B$35</f>
        <v>#REF!</v>
      </c>
      <c r="H23" s="232" t="str">
        <f t="shared" si="14"/>
        <v>#REF!</v>
      </c>
      <c r="I23" s="233" t="str">
        <f t="shared" si="15"/>
        <v>#REF!</v>
      </c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</row>
    <row r="24">
      <c r="A24" s="229" t="s">
        <v>204</v>
      </c>
      <c r="B24" s="247" t="s">
        <v>205</v>
      </c>
      <c r="C24" s="230"/>
      <c r="D24" s="235">
        <v>0.25</v>
      </c>
      <c r="E24" s="242" t="str">
        <f t="shared" si="12"/>
        <v>#REF!</v>
      </c>
      <c r="F24" s="242" t="str">
        <f t="shared" si="13"/>
        <v>#REF!</v>
      </c>
      <c r="G24" s="179" t="str">
        <f>(#REF! +#REF!)/B$35</f>
        <v>#REF!</v>
      </c>
      <c r="H24" s="232" t="str">
        <f t="shared" si="14"/>
        <v>#REF!</v>
      </c>
      <c r="I24" s="234" t="str">
        <f t="shared" si="15"/>
        <v>#REF!</v>
      </c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</row>
    <row r="25">
      <c r="A25" s="238" t="s">
        <v>206</v>
      </c>
      <c r="B25" s="217"/>
      <c r="C25" s="230"/>
      <c r="D25" s="239">
        <f t="shared" ref="D25:I25" si="17">sum(D20:D24)</f>
        <v>1</v>
      </c>
      <c r="E25" s="239" t="str">
        <f t="shared" si="17"/>
        <v>#REF!</v>
      </c>
      <c r="F25" s="239" t="str">
        <f t="shared" si="17"/>
        <v>#REF!</v>
      </c>
      <c r="G25" s="245" t="str">
        <f t="shared" si="17"/>
        <v>#REF!</v>
      </c>
      <c r="H25" s="245" t="str">
        <f t="shared" si="17"/>
        <v>#REF!</v>
      </c>
      <c r="I25" s="234" t="str">
        <f t="shared" si="17"/>
        <v>#REF!</v>
      </c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</row>
    <row r="26">
      <c r="A26" s="89"/>
      <c r="B26" s="217"/>
      <c r="C26" s="230"/>
      <c r="D26" s="230"/>
      <c r="E26" s="230"/>
      <c r="F26" s="230"/>
      <c r="G26" s="116"/>
      <c r="H26" s="220"/>
      <c r="I26" s="220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</row>
    <row r="27">
      <c r="A27" s="238" t="s">
        <v>207</v>
      </c>
      <c r="B27" s="217"/>
      <c r="C27" s="230"/>
      <c r="D27" s="230"/>
      <c r="E27" s="230"/>
      <c r="F27" s="230"/>
      <c r="G27" s="116"/>
      <c r="H27" s="220"/>
      <c r="I27" s="220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</row>
    <row r="28">
      <c r="A28" s="229" t="s">
        <v>208</v>
      </c>
      <c r="B28" s="243" t="s">
        <v>209</v>
      </c>
      <c r="C28" s="230"/>
      <c r="D28" s="230"/>
      <c r="E28" s="230"/>
      <c r="F28" s="230"/>
      <c r="G28" s="179">
        <f>'2022'!P65</f>
        <v>15.52301314</v>
      </c>
      <c r="H28" s="220"/>
      <c r="I28" s="220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</row>
    <row r="29">
      <c r="A29" s="246" t="s">
        <v>210</v>
      </c>
      <c r="B29" s="243" t="s">
        <v>211</v>
      </c>
      <c r="C29" s="230"/>
      <c r="D29" s="230"/>
      <c r="E29" s="230"/>
      <c r="F29" s="230"/>
      <c r="G29" s="179" t="str">
        <f>#REF!</f>
        <v>#REF!</v>
      </c>
      <c r="H29" s="220"/>
      <c r="I29" s="220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</row>
    <row r="30">
      <c r="A30" s="246" t="s">
        <v>212</v>
      </c>
      <c r="B30" s="241" t="s">
        <v>213</v>
      </c>
      <c r="C30" s="230"/>
      <c r="D30" s="230"/>
      <c r="E30" s="230"/>
      <c r="F30" s="230"/>
      <c r="G30" s="179" t="str">
        <f>(#REF! + #REF!)/B$35</f>
        <v>#REF!</v>
      </c>
      <c r="H30" s="220"/>
      <c r="I30" s="220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</row>
    <row r="31">
      <c r="A31" s="238" t="s">
        <v>214</v>
      </c>
      <c r="B31" s="217"/>
      <c r="C31" s="230"/>
      <c r="D31" s="230"/>
      <c r="E31" s="230"/>
      <c r="F31" s="230"/>
      <c r="G31" s="186" t="str">
        <f>sum(G27:G30)</f>
        <v>#REF!</v>
      </c>
      <c r="H31" s="245">
        <f>H5</f>
        <v>50000</v>
      </c>
      <c r="I31" s="234" t="str">
        <f>H31-G31</f>
        <v>#REF!</v>
      </c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</row>
    <row r="32">
      <c r="A32" s="89"/>
      <c r="B32" s="217"/>
      <c r="C32" s="230"/>
      <c r="D32" s="230"/>
      <c r="E32" s="230"/>
      <c r="F32" s="230"/>
      <c r="G32" s="116"/>
      <c r="H32" s="220"/>
      <c r="I32" s="220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</row>
    <row r="33">
      <c r="A33" s="221" t="s">
        <v>215</v>
      </c>
      <c r="B33" s="248"/>
      <c r="C33" s="249"/>
      <c r="D33" s="249"/>
      <c r="E33" s="249"/>
      <c r="F33" s="249"/>
      <c r="G33" s="119"/>
      <c r="H33" s="250"/>
      <c r="I33" s="250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229" t="s">
        <v>216</v>
      </c>
      <c r="B34" s="251">
        <f>IFERROR(__xludf.DUMMYFUNCTION("GOOGLEFINANCE(A34)"),0.9321499999999999)</f>
        <v>0.93215</v>
      </c>
      <c r="C34" s="230"/>
      <c r="D34" s="230"/>
      <c r="E34" s="230"/>
      <c r="F34" s="230"/>
      <c r="G34" s="116"/>
      <c r="H34" s="220"/>
      <c r="I34" s="220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</row>
    <row r="35">
      <c r="A35" s="51" t="s">
        <v>71</v>
      </c>
      <c r="B35" s="251">
        <f>IFERROR(__xludf.DUMMYFUNCTION("GOOGLEFINANCE(A35)"),1.15935308)</f>
        <v>1.15935308</v>
      </c>
      <c r="C35" s="230"/>
      <c r="D35" s="230"/>
      <c r="E35" s="230"/>
      <c r="F35" s="230"/>
      <c r="G35" s="116"/>
      <c r="H35" s="220"/>
      <c r="I35" s="220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</row>
    <row r="36">
      <c r="A36" s="252" t="s">
        <v>217</v>
      </c>
      <c r="B36" s="253">
        <v>27.0</v>
      </c>
      <c r="C36" s="230"/>
      <c r="D36" s="230"/>
      <c r="E36" s="230"/>
      <c r="F36" s="230"/>
      <c r="G36" s="116"/>
      <c r="H36" s="220"/>
      <c r="I36" s="220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</row>
    <row r="37">
      <c r="A37" s="89" t="s">
        <v>218</v>
      </c>
      <c r="B37" s="254">
        <v>10.0</v>
      </c>
      <c r="C37" s="230"/>
      <c r="D37" s="230"/>
      <c r="E37" s="230"/>
      <c r="F37" s="116"/>
      <c r="G37" s="220"/>
      <c r="H37" s="220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</row>
    <row r="38">
      <c r="A38" s="89" t="s">
        <v>219</v>
      </c>
      <c r="B38" s="254">
        <v>40.0</v>
      </c>
      <c r="C38" s="230"/>
      <c r="D38" s="230"/>
      <c r="E38" s="230"/>
      <c r="F38" s="116"/>
      <c r="G38" s="220"/>
      <c r="H38" s="220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</row>
    <row r="39">
      <c r="A39" s="89" t="s">
        <v>220</v>
      </c>
      <c r="B39" s="255">
        <v>0.2</v>
      </c>
      <c r="C39" s="230"/>
      <c r="D39" s="230"/>
      <c r="E39" s="230"/>
      <c r="F39" s="116"/>
      <c r="G39" s="220"/>
      <c r="H39" s="220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</row>
    <row r="40">
      <c r="A40" s="89" t="s">
        <v>221</v>
      </c>
      <c r="B40" s="256">
        <v>0.9</v>
      </c>
      <c r="C40" s="230"/>
      <c r="D40" s="230"/>
      <c r="E40" s="230"/>
      <c r="F40" s="116"/>
      <c r="G40" s="220"/>
      <c r="H40" s="220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</row>
    <row r="41">
      <c r="B41" s="257"/>
      <c r="C41" s="258"/>
      <c r="D41" s="258"/>
      <c r="E41" s="259"/>
      <c r="F41" s="259"/>
      <c r="G41" s="260"/>
      <c r="H41" s="260"/>
    </row>
    <row r="42">
      <c r="B42" s="257"/>
      <c r="C42" s="258"/>
      <c r="D42" s="258"/>
      <c r="E42" s="259"/>
      <c r="F42" s="259"/>
      <c r="G42" s="260"/>
      <c r="H42" s="260"/>
    </row>
    <row r="43">
      <c r="B43" s="257"/>
      <c r="C43" s="258"/>
      <c r="D43" s="258"/>
      <c r="E43" s="259"/>
      <c r="F43" s="259"/>
      <c r="G43" s="260"/>
      <c r="H43" s="260"/>
    </row>
    <row r="44">
      <c r="B44" s="257"/>
      <c r="C44" s="258"/>
      <c r="D44" s="258"/>
      <c r="E44" s="259"/>
      <c r="F44" s="259"/>
      <c r="G44" s="260"/>
      <c r="H44" s="260"/>
    </row>
    <row r="45">
      <c r="B45" s="257"/>
      <c r="C45" s="258"/>
      <c r="D45" s="258"/>
      <c r="E45" s="259"/>
      <c r="F45" s="259"/>
      <c r="G45" s="260"/>
      <c r="H45" s="260"/>
    </row>
    <row r="46">
      <c r="B46" s="257"/>
      <c r="C46" s="258"/>
      <c r="D46" s="258"/>
      <c r="E46" s="259"/>
      <c r="F46" s="259"/>
      <c r="G46" s="260"/>
      <c r="H46" s="260"/>
    </row>
    <row r="47">
      <c r="B47" s="257"/>
      <c r="C47" s="258"/>
      <c r="D47" s="258"/>
      <c r="E47" s="259"/>
      <c r="F47" s="259"/>
      <c r="G47" s="260"/>
      <c r="H47" s="260"/>
    </row>
    <row r="48">
      <c r="B48" s="257"/>
      <c r="C48" s="258"/>
      <c r="D48" s="258"/>
      <c r="E48" s="259"/>
      <c r="F48" s="259"/>
      <c r="G48" s="260"/>
      <c r="H48" s="260"/>
    </row>
    <row r="49">
      <c r="B49" s="257"/>
      <c r="C49" s="258"/>
      <c r="D49" s="258"/>
      <c r="E49" s="259"/>
      <c r="F49" s="259"/>
      <c r="G49" s="260"/>
      <c r="H49" s="260"/>
    </row>
    <row r="50">
      <c r="B50" s="257"/>
      <c r="C50" s="258"/>
      <c r="D50" s="258"/>
      <c r="E50" s="259"/>
      <c r="F50" s="259"/>
      <c r="G50" s="260"/>
      <c r="H50" s="260"/>
    </row>
    <row r="51">
      <c r="B51" s="257"/>
      <c r="C51" s="258"/>
      <c r="D51" s="258"/>
      <c r="E51" s="259"/>
      <c r="F51" s="259"/>
      <c r="G51" s="260"/>
      <c r="H51" s="260"/>
    </row>
    <row r="52">
      <c r="B52" s="257"/>
      <c r="C52" s="258"/>
      <c r="D52" s="258"/>
      <c r="E52" s="259"/>
      <c r="F52" s="259"/>
      <c r="G52" s="260"/>
      <c r="H52" s="260"/>
    </row>
    <row r="53">
      <c r="B53" s="257"/>
      <c r="C53" s="258"/>
      <c r="D53" s="258"/>
      <c r="E53" s="259"/>
      <c r="F53" s="259"/>
      <c r="G53" s="260"/>
      <c r="H53" s="260"/>
    </row>
    <row r="54">
      <c r="B54" s="257"/>
      <c r="C54" s="258"/>
      <c r="D54" s="258"/>
      <c r="E54" s="259"/>
      <c r="F54" s="259"/>
      <c r="G54" s="260"/>
      <c r="H54" s="260"/>
    </row>
    <row r="55">
      <c r="B55" s="257"/>
      <c r="C55" s="258"/>
      <c r="D55" s="258"/>
      <c r="E55" s="259"/>
      <c r="F55" s="259"/>
      <c r="G55" s="260"/>
      <c r="H55" s="260"/>
    </row>
    <row r="56">
      <c r="B56" s="257"/>
      <c r="C56" s="258"/>
      <c r="D56" s="258"/>
      <c r="E56" s="259"/>
      <c r="F56" s="259"/>
      <c r="G56" s="260"/>
      <c r="H56" s="260"/>
    </row>
    <row r="57">
      <c r="B57" s="257"/>
      <c r="C57" s="258"/>
      <c r="D57" s="258"/>
      <c r="E57" s="259"/>
      <c r="F57" s="259"/>
      <c r="G57" s="260"/>
      <c r="H57" s="260"/>
    </row>
    <row r="58">
      <c r="B58" s="257"/>
      <c r="C58" s="258"/>
      <c r="D58" s="258"/>
      <c r="E58" s="259"/>
      <c r="F58" s="259"/>
      <c r="G58" s="260"/>
      <c r="H58" s="260"/>
    </row>
    <row r="59">
      <c r="B59" s="257"/>
      <c r="C59" s="258"/>
      <c r="D59" s="258"/>
      <c r="E59" s="259"/>
      <c r="F59" s="259"/>
      <c r="G59" s="260"/>
      <c r="H59" s="260"/>
    </row>
    <row r="60">
      <c r="B60" s="257"/>
      <c r="C60" s="258"/>
      <c r="D60" s="258"/>
      <c r="E60" s="259"/>
      <c r="F60" s="259"/>
      <c r="G60" s="260"/>
      <c r="H60" s="260"/>
    </row>
    <row r="61">
      <c r="B61" s="257"/>
      <c r="C61" s="258"/>
      <c r="D61" s="258"/>
      <c r="E61" s="259"/>
      <c r="F61" s="259"/>
      <c r="G61" s="260"/>
      <c r="H61" s="260"/>
    </row>
    <row r="62">
      <c r="B62" s="257"/>
      <c r="C62" s="258"/>
      <c r="D62" s="258"/>
      <c r="E62" s="259"/>
      <c r="F62" s="259"/>
      <c r="G62" s="260"/>
      <c r="H62" s="260"/>
    </row>
    <row r="63">
      <c r="B63" s="257"/>
      <c r="C63" s="258"/>
      <c r="D63" s="258"/>
      <c r="E63" s="259"/>
      <c r="F63" s="259"/>
      <c r="G63" s="260"/>
      <c r="H63" s="260"/>
    </row>
    <row r="64">
      <c r="B64" s="257"/>
      <c r="C64" s="258"/>
      <c r="D64" s="258"/>
      <c r="E64" s="259"/>
      <c r="F64" s="259"/>
      <c r="G64" s="260"/>
      <c r="H64" s="260"/>
    </row>
    <row r="65">
      <c r="B65" s="257"/>
      <c r="C65" s="258"/>
      <c r="D65" s="258"/>
      <c r="E65" s="259"/>
      <c r="F65" s="259"/>
      <c r="G65" s="260"/>
      <c r="H65" s="260"/>
    </row>
    <row r="66">
      <c r="B66" s="257"/>
      <c r="C66" s="258"/>
      <c r="D66" s="258"/>
      <c r="E66" s="259"/>
      <c r="F66" s="259"/>
      <c r="G66" s="260"/>
      <c r="H66" s="260"/>
    </row>
    <row r="67">
      <c r="B67" s="257"/>
      <c r="C67" s="258"/>
      <c r="D67" s="258"/>
      <c r="E67" s="259"/>
      <c r="F67" s="259"/>
      <c r="G67" s="260"/>
      <c r="H67" s="260"/>
    </row>
    <row r="68">
      <c r="B68" s="257"/>
      <c r="C68" s="258"/>
      <c r="D68" s="258"/>
      <c r="E68" s="259"/>
      <c r="F68" s="259"/>
      <c r="G68" s="260"/>
      <c r="H68" s="260"/>
    </row>
    <row r="69">
      <c r="B69" s="257"/>
      <c r="C69" s="258"/>
      <c r="D69" s="258"/>
      <c r="E69" s="259"/>
      <c r="F69" s="259"/>
      <c r="G69" s="260"/>
      <c r="H69" s="260"/>
    </row>
    <row r="70">
      <c r="B70" s="257"/>
      <c r="C70" s="258"/>
      <c r="D70" s="258"/>
      <c r="E70" s="259"/>
      <c r="F70" s="259"/>
      <c r="G70" s="260"/>
      <c r="H70" s="260"/>
    </row>
    <row r="71">
      <c r="B71" s="257"/>
      <c r="C71" s="258"/>
      <c r="D71" s="258"/>
      <c r="E71" s="259"/>
      <c r="F71" s="259"/>
      <c r="G71" s="260"/>
      <c r="H71" s="260"/>
    </row>
    <row r="72">
      <c r="B72" s="257"/>
      <c r="C72" s="258"/>
      <c r="D72" s="258"/>
      <c r="E72" s="259"/>
      <c r="F72" s="259"/>
      <c r="G72" s="260"/>
      <c r="H72" s="260"/>
    </row>
    <row r="73">
      <c r="B73" s="257"/>
      <c r="C73" s="258"/>
      <c r="D73" s="258"/>
      <c r="E73" s="259"/>
      <c r="F73" s="259"/>
      <c r="G73" s="260"/>
      <c r="H73" s="260"/>
    </row>
    <row r="74">
      <c r="B74" s="257"/>
      <c r="C74" s="258"/>
      <c r="D74" s="258"/>
      <c r="E74" s="259"/>
      <c r="F74" s="259"/>
      <c r="G74" s="260"/>
      <c r="H74" s="260"/>
    </row>
    <row r="75">
      <c r="B75" s="257"/>
      <c r="C75" s="258"/>
      <c r="D75" s="258"/>
      <c r="E75" s="259"/>
      <c r="F75" s="259"/>
      <c r="G75" s="260"/>
      <c r="H75" s="260"/>
    </row>
    <row r="76">
      <c r="B76" s="257"/>
      <c r="C76" s="258"/>
      <c r="D76" s="258"/>
      <c r="E76" s="259"/>
      <c r="F76" s="259"/>
      <c r="G76" s="260"/>
      <c r="H76" s="260"/>
    </row>
    <row r="77">
      <c r="B77" s="257"/>
      <c r="C77" s="258"/>
      <c r="D77" s="258"/>
      <c r="E77" s="259"/>
      <c r="F77" s="259"/>
      <c r="G77" s="260"/>
      <c r="H77" s="260"/>
    </row>
    <row r="78">
      <c r="B78" s="257"/>
      <c r="C78" s="258"/>
      <c r="D78" s="258"/>
      <c r="E78" s="259"/>
      <c r="F78" s="259"/>
      <c r="G78" s="260"/>
      <c r="H78" s="260"/>
    </row>
    <row r="79">
      <c r="B79" s="257"/>
      <c r="C79" s="258"/>
      <c r="D79" s="258"/>
      <c r="E79" s="259"/>
      <c r="F79" s="259"/>
      <c r="G79" s="260"/>
      <c r="H79" s="260"/>
    </row>
    <row r="80">
      <c r="B80" s="257"/>
      <c r="C80" s="258"/>
      <c r="D80" s="258"/>
      <c r="E80" s="259"/>
      <c r="F80" s="259"/>
      <c r="G80" s="260"/>
      <c r="H80" s="260"/>
    </row>
    <row r="81">
      <c r="B81" s="257"/>
      <c r="C81" s="258"/>
      <c r="D81" s="258"/>
      <c r="E81" s="259"/>
      <c r="F81" s="259"/>
      <c r="G81" s="260"/>
      <c r="H81" s="260"/>
    </row>
    <row r="82">
      <c r="B82" s="257"/>
      <c r="C82" s="258"/>
      <c r="D82" s="258"/>
      <c r="E82" s="259"/>
      <c r="F82" s="259"/>
      <c r="G82" s="260"/>
      <c r="H82" s="260"/>
    </row>
    <row r="83">
      <c r="B83" s="257"/>
      <c r="C83" s="258"/>
      <c r="D83" s="258"/>
      <c r="E83" s="259"/>
      <c r="F83" s="259"/>
      <c r="G83" s="260"/>
      <c r="H83" s="260"/>
    </row>
    <row r="84">
      <c r="B84" s="257"/>
      <c r="C84" s="258"/>
      <c r="D84" s="258"/>
      <c r="E84" s="259"/>
      <c r="F84" s="259"/>
      <c r="G84" s="260"/>
      <c r="H84" s="260"/>
    </row>
    <row r="85">
      <c r="B85" s="257"/>
      <c r="C85" s="258"/>
      <c r="D85" s="258"/>
      <c r="E85" s="259"/>
      <c r="F85" s="259"/>
      <c r="G85" s="260"/>
      <c r="H85" s="260"/>
    </row>
    <row r="86">
      <c r="B86" s="257"/>
      <c r="C86" s="258"/>
      <c r="D86" s="258"/>
      <c r="E86" s="259"/>
      <c r="F86" s="259"/>
      <c r="G86" s="260"/>
      <c r="H86" s="260"/>
    </row>
    <row r="87">
      <c r="B87" s="257"/>
      <c r="C87" s="258"/>
      <c r="D87" s="258"/>
      <c r="E87" s="259"/>
      <c r="F87" s="259"/>
      <c r="G87" s="260"/>
      <c r="H87" s="260"/>
    </row>
    <row r="88">
      <c r="B88" s="257"/>
      <c r="C88" s="258"/>
      <c r="D88" s="258"/>
      <c r="E88" s="259"/>
      <c r="F88" s="259"/>
      <c r="G88" s="260"/>
      <c r="H88" s="260"/>
    </row>
    <row r="89">
      <c r="B89" s="257"/>
      <c r="C89" s="258"/>
      <c r="D89" s="258"/>
      <c r="E89" s="259"/>
      <c r="F89" s="259"/>
      <c r="G89" s="260"/>
      <c r="H89" s="260"/>
    </row>
    <row r="90">
      <c r="B90" s="257"/>
      <c r="C90" s="258"/>
      <c r="D90" s="258"/>
      <c r="E90" s="259"/>
      <c r="F90" s="259"/>
      <c r="G90" s="260"/>
      <c r="H90" s="260"/>
    </row>
    <row r="91">
      <c r="B91" s="257"/>
      <c r="C91" s="258"/>
      <c r="D91" s="258"/>
      <c r="E91" s="259"/>
      <c r="F91" s="259"/>
      <c r="G91" s="260"/>
      <c r="H91" s="260"/>
    </row>
    <row r="92">
      <c r="B92" s="257"/>
      <c r="C92" s="258"/>
      <c r="D92" s="258"/>
      <c r="E92" s="259"/>
      <c r="F92" s="259"/>
      <c r="G92" s="260"/>
      <c r="H92" s="260"/>
    </row>
    <row r="93">
      <c r="B93" s="257"/>
      <c r="C93" s="258"/>
      <c r="D93" s="258"/>
      <c r="E93" s="259"/>
      <c r="F93" s="259"/>
      <c r="G93" s="260"/>
      <c r="H93" s="260"/>
    </row>
    <row r="94">
      <c r="B94" s="257"/>
      <c r="C94" s="258"/>
      <c r="D94" s="258"/>
      <c r="E94" s="259"/>
      <c r="F94" s="259"/>
      <c r="G94" s="260"/>
      <c r="H94" s="260"/>
    </row>
    <row r="95">
      <c r="B95" s="257"/>
      <c r="C95" s="258"/>
      <c r="D95" s="258"/>
      <c r="E95" s="259"/>
      <c r="F95" s="259"/>
      <c r="G95" s="260"/>
      <c r="H95" s="260"/>
    </row>
    <row r="96">
      <c r="B96" s="257"/>
      <c r="C96" s="258"/>
      <c r="D96" s="258"/>
      <c r="E96" s="259"/>
      <c r="F96" s="259"/>
      <c r="G96" s="260"/>
      <c r="H96" s="260"/>
    </row>
    <row r="97">
      <c r="B97" s="257"/>
      <c r="C97" s="258"/>
      <c r="D97" s="258"/>
      <c r="E97" s="259"/>
      <c r="F97" s="259"/>
      <c r="G97" s="260"/>
      <c r="H97" s="260"/>
    </row>
    <row r="98">
      <c r="B98" s="257"/>
      <c r="C98" s="258"/>
      <c r="D98" s="258"/>
      <c r="E98" s="259"/>
      <c r="F98" s="259"/>
      <c r="G98" s="260"/>
      <c r="H98" s="260"/>
    </row>
    <row r="99">
      <c r="B99" s="257"/>
      <c r="C99" s="258"/>
      <c r="D99" s="258"/>
      <c r="E99" s="259"/>
      <c r="F99" s="259"/>
      <c r="G99" s="260"/>
      <c r="H99" s="260"/>
    </row>
    <row r="100">
      <c r="B100" s="257"/>
      <c r="C100" s="258"/>
      <c r="D100" s="258"/>
      <c r="E100" s="259"/>
      <c r="F100" s="259"/>
      <c r="G100" s="260"/>
      <c r="H100" s="260"/>
    </row>
    <row r="101">
      <c r="B101" s="257"/>
      <c r="C101" s="258"/>
      <c r="D101" s="258"/>
      <c r="E101" s="259"/>
      <c r="F101" s="259"/>
      <c r="G101" s="260"/>
      <c r="H101" s="260"/>
    </row>
    <row r="102">
      <c r="B102" s="257"/>
      <c r="C102" s="258"/>
      <c r="D102" s="258"/>
      <c r="E102" s="259"/>
      <c r="F102" s="259"/>
      <c r="G102" s="260"/>
      <c r="H102" s="260"/>
    </row>
    <row r="103">
      <c r="B103" s="257"/>
      <c r="C103" s="258"/>
      <c r="D103" s="258"/>
      <c r="E103" s="259"/>
      <c r="F103" s="259"/>
      <c r="G103" s="260"/>
      <c r="H103" s="260"/>
    </row>
    <row r="104">
      <c r="B104" s="257"/>
      <c r="C104" s="258"/>
      <c r="D104" s="258"/>
      <c r="E104" s="259"/>
      <c r="F104" s="259"/>
      <c r="G104" s="260"/>
      <c r="H104" s="260"/>
    </row>
    <row r="105">
      <c r="B105" s="257"/>
      <c r="C105" s="258"/>
      <c r="D105" s="258"/>
      <c r="E105" s="259"/>
      <c r="F105" s="259"/>
      <c r="G105" s="260"/>
      <c r="H105" s="260"/>
    </row>
    <row r="106">
      <c r="B106" s="257"/>
      <c r="C106" s="258"/>
      <c r="D106" s="258"/>
      <c r="E106" s="259"/>
      <c r="F106" s="259"/>
      <c r="G106" s="260"/>
      <c r="H106" s="260"/>
    </row>
    <row r="107">
      <c r="B107" s="257"/>
      <c r="C107" s="258"/>
      <c r="D107" s="258"/>
      <c r="E107" s="259"/>
      <c r="F107" s="259"/>
      <c r="G107" s="260"/>
      <c r="H107" s="260"/>
    </row>
    <row r="108">
      <c r="B108" s="257"/>
      <c r="C108" s="258"/>
      <c r="D108" s="258"/>
      <c r="E108" s="259"/>
      <c r="F108" s="259"/>
      <c r="G108" s="260"/>
      <c r="H108" s="260"/>
    </row>
    <row r="109">
      <c r="B109" s="257"/>
      <c r="C109" s="258"/>
      <c r="D109" s="258"/>
      <c r="E109" s="259"/>
      <c r="F109" s="259"/>
      <c r="G109" s="260"/>
      <c r="H109" s="260"/>
    </row>
    <row r="110">
      <c r="B110" s="257"/>
      <c r="C110" s="258"/>
      <c r="D110" s="258"/>
      <c r="E110" s="259"/>
      <c r="F110" s="259"/>
      <c r="G110" s="260"/>
      <c r="H110" s="260"/>
    </row>
    <row r="111">
      <c r="B111" s="257"/>
      <c r="C111" s="258"/>
      <c r="D111" s="258"/>
      <c r="E111" s="259"/>
      <c r="F111" s="259"/>
      <c r="G111" s="260"/>
      <c r="H111" s="260"/>
    </row>
    <row r="112">
      <c r="B112" s="257"/>
      <c r="C112" s="258"/>
      <c r="D112" s="258"/>
      <c r="E112" s="259"/>
      <c r="F112" s="259"/>
      <c r="G112" s="260"/>
      <c r="H112" s="260"/>
    </row>
    <row r="113">
      <c r="B113" s="257"/>
      <c r="C113" s="258"/>
      <c r="D113" s="258"/>
      <c r="E113" s="259"/>
      <c r="F113" s="259"/>
      <c r="G113" s="260"/>
      <c r="H113" s="260"/>
    </row>
    <row r="114">
      <c r="B114" s="257"/>
      <c r="C114" s="258"/>
      <c r="D114" s="258"/>
      <c r="E114" s="259"/>
      <c r="F114" s="259"/>
      <c r="G114" s="260"/>
      <c r="H114" s="260"/>
    </row>
    <row r="115">
      <c r="B115" s="257"/>
      <c r="C115" s="258"/>
      <c r="D115" s="258"/>
      <c r="E115" s="259"/>
      <c r="F115" s="259"/>
      <c r="G115" s="260"/>
      <c r="H115" s="260"/>
    </row>
    <row r="116">
      <c r="B116" s="257"/>
      <c r="C116" s="258"/>
      <c r="D116" s="258"/>
      <c r="E116" s="259"/>
      <c r="F116" s="259"/>
      <c r="G116" s="260"/>
      <c r="H116" s="260"/>
    </row>
    <row r="117">
      <c r="B117" s="257"/>
      <c r="C117" s="258"/>
      <c r="D117" s="258"/>
      <c r="E117" s="259"/>
      <c r="F117" s="259"/>
      <c r="G117" s="260"/>
      <c r="H117" s="260"/>
    </row>
    <row r="118">
      <c r="B118" s="257"/>
      <c r="C118" s="258"/>
      <c r="D118" s="258"/>
      <c r="E118" s="259"/>
      <c r="F118" s="259"/>
      <c r="G118" s="260"/>
      <c r="H118" s="260"/>
    </row>
    <row r="119">
      <c r="B119" s="257"/>
      <c r="C119" s="258"/>
      <c r="D119" s="258"/>
      <c r="E119" s="259"/>
      <c r="F119" s="259"/>
      <c r="G119" s="260"/>
      <c r="H119" s="260"/>
    </row>
    <row r="120">
      <c r="B120" s="257"/>
      <c r="C120" s="258"/>
      <c r="D120" s="258"/>
      <c r="E120" s="259"/>
      <c r="F120" s="259"/>
      <c r="G120" s="260"/>
      <c r="H120" s="260"/>
    </row>
    <row r="121">
      <c r="B121" s="257"/>
      <c r="C121" s="258"/>
      <c r="D121" s="258"/>
      <c r="E121" s="259"/>
      <c r="F121" s="259"/>
      <c r="G121" s="260"/>
      <c r="H121" s="260"/>
    </row>
    <row r="122">
      <c r="B122" s="257"/>
      <c r="C122" s="258"/>
      <c r="D122" s="258"/>
      <c r="E122" s="259"/>
      <c r="F122" s="259"/>
      <c r="G122" s="260"/>
      <c r="H122" s="260"/>
    </row>
    <row r="123">
      <c r="B123" s="257"/>
      <c r="C123" s="258"/>
      <c r="D123" s="258"/>
      <c r="E123" s="259"/>
      <c r="F123" s="259"/>
      <c r="G123" s="260"/>
      <c r="H123" s="260"/>
    </row>
    <row r="124">
      <c r="B124" s="257"/>
      <c r="C124" s="258"/>
      <c r="D124" s="258"/>
      <c r="E124" s="259"/>
      <c r="F124" s="259"/>
      <c r="G124" s="260"/>
      <c r="H124" s="260"/>
    </row>
    <row r="125">
      <c r="B125" s="257"/>
      <c r="C125" s="258"/>
      <c r="D125" s="258"/>
      <c r="E125" s="259"/>
      <c r="F125" s="259"/>
      <c r="G125" s="260"/>
      <c r="H125" s="260"/>
    </row>
    <row r="126">
      <c r="B126" s="257"/>
      <c r="C126" s="258"/>
      <c r="D126" s="258"/>
      <c r="E126" s="259"/>
      <c r="F126" s="259"/>
      <c r="G126" s="260"/>
      <c r="H126" s="260"/>
    </row>
    <row r="127">
      <c r="B127" s="257"/>
      <c r="C127" s="258"/>
      <c r="D127" s="258"/>
      <c r="E127" s="259"/>
      <c r="F127" s="259"/>
      <c r="G127" s="260"/>
      <c r="H127" s="260"/>
    </row>
    <row r="128">
      <c r="B128" s="257"/>
      <c r="C128" s="258"/>
      <c r="D128" s="258"/>
      <c r="E128" s="259"/>
      <c r="F128" s="259"/>
      <c r="G128" s="260"/>
      <c r="H128" s="260"/>
    </row>
    <row r="129">
      <c r="B129" s="257"/>
      <c r="C129" s="258"/>
      <c r="D129" s="258"/>
      <c r="E129" s="259"/>
      <c r="F129" s="259"/>
      <c r="G129" s="260"/>
      <c r="H129" s="260"/>
    </row>
    <row r="130">
      <c r="B130" s="257"/>
      <c r="C130" s="258"/>
      <c r="D130" s="258"/>
      <c r="E130" s="259"/>
      <c r="F130" s="259"/>
      <c r="G130" s="260"/>
      <c r="H130" s="260"/>
    </row>
    <row r="131">
      <c r="B131" s="257"/>
      <c r="C131" s="258"/>
      <c r="D131" s="258"/>
      <c r="E131" s="259"/>
      <c r="F131" s="259"/>
      <c r="G131" s="260"/>
      <c r="H131" s="260"/>
    </row>
    <row r="132">
      <c r="B132" s="257"/>
      <c r="C132" s="258"/>
      <c r="D132" s="258"/>
      <c r="E132" s="259"/>
      <c r="F132" s="259"/>
      <c r="G132" s="260"/>
      <c r="H132" s="260"/>
    </row>
    <row r="133">
      <c r="B133" s="257"/>
      <c r="C133" s="258"/>
      <c r="D133" s="258"/>
      <c r="E133" s="259"/>
      <c r="F133" s="259"/>
      <c r="G133" s="260"/>
      <c r="H133" s="260"/>
    </row>
    <row r="134">
      <c r="B134" s="257"/>
      <c r="C134" s="258"/>
      <c r="D134" s="258"/>
      <c r="E134" s="259"/>
      <c r="F134" s="259"/>
      <c r="G134" s="260"/>
      <c r="H134" s="260"/>
    </row>
    <row r="135">
      <c r="B135" s="257"/>
      <c r="C135" s="258"/>
      <c r="D135" s="258"/>
      <c r="E135" s="259"/>
      <c r="F135" s="259"/>
      <c r="G135" s="260"/>
      <c r="H135" s="260"/>
    </row>
    <row r="136">
      <c r="B136" s="257"/>
      <c r="C136" s="258"/>
      <c r="D136" s="258"/>
      <c r="E136" s="259"/>
      <c r="F136" s="259"/>
      <c r="G136" s="260"/>
      <c r="H136" s="260"/>
    </row>
    <row r="137">
      <c r="B137" s="257"/>
      <c r="C137" s="258"/>
      <c r="D137" s="258"/>
      <c r="E137" s="259"/>
      <c r="F137" s="259"/>
      <c r="G137" s="260"/>
      <c r="H137" s="260"/>
    </row>
    <row r="138">
      <c r="B138" s="257"/>
      <c r="C138" s="258"/>
      <c r="D138" s="258"/>
      <c r="E138" s="259"/>
      <c r="F138" s="259"/>
      <c r="G138" s="260"/>
      <c r="H138" s="260"/>
    </row>
    <row r="139">
      <c r="B139" s="257"/>
      <c r="C139" s="258"/>
      <c r="D139" s="258"/>
      <c r="E139" s="259"/>
      <c r="F139" s="259"/>
      <c r="G139" s="260"/>
      <c r="H139" s="260"/>
    </row>
    <row r="140">
      <c r="B140" s="257"/>
      <c r="C140" s="258"/>
      <c r="D140" s="258"/>
      <c r="E140" s="259"/>
      <c r="F140" s="259"/>
      <c r="G140" s="260"/>
      <c r="H140" s="260"/>
    </row>
    <row r="141">
      <c r="B141" s="257"/>
      <c r="C141" s="258"/>
      <c r="D141" s="258"/>
      <c r="E141" s="259"/>
      <c r="F141" s="259"/>
      <c r="G141" s="260"/>
      <c r="H141" s="260"/>
    </row>
    <row r="142">
      <c r="B142" s="257"/>
      <c r="C142" s="258"/>
      <c r="D142" s="258"/>
      <c r="E142" s="259"/>
      <c r="F142" s="259"/>
      <c r="G142" s="260"/>
      <c r="H142" s="260"/>
    </row>
    <row r="143">
      <c r="B143" s="257"/>
      <c r="C143" s="258"/>
      <c r="D143" s="258"/>
      <c r="E143" s="259"/>
      <c r="F143" s="259"/>
      <c r="G143" s="260"/>
      <c r="H143" s="260"/>
    </row>
    <row r="144">
      <c r="B144" s="257"/>
      <c r="C144" s="258"/>
      <c r="D144" s="258"/>
      <c r="E144" s="259"/>
      <c r="F144" s="259"/>
      <c r="G144" s="260"/>
      <c r="H144" s="260"/>
    </row>
    <row r="145">
      <c r="B145" s="257"/>
      <c r="C145" s="258"/>
      <c r="D145" s="258"/>
      <c r="E145" s="259"/>
      <c r="F145" s="259"/>
      <c r="G145" s="260"/>
      <c r="H145" s="260"/>
    </row>
    <row r="146">
      <c r="B146" s="257"/>
      <c r="C146" s="258"/>
      <c r="D146" s="258"/>
      <c r="E146" s="259"/>
      <c r="F146" s="259"/>
      <c r="G146" s="260"/>
      <c r="H146" s="260"/>
    </row>
    <row r="147">
      <c r="B147" s="257"/>
      <c r="C147" s="258"/>
      <c r="D147" s="258"/>
      <c r="E147" s="259"/>
      <c r="F147" s="259"/>
      <c r="G147" s="260"/>
      <c r="H147" s="260"/>
    </row>
    <row r="148">
      <c r="B148" s="257"/>
      <c r="C148" s="258"/>
      <c r="D148" s="258"/>
      <c r="E148" s="259"/>
      <c r="F148" s="259"/>
      <c r="G148" s="260"/>
      <c r="H148" s="260"/>
    </row>
    <row r="149">
      <c r="B149" s="257"/>
      <c r="C149" s="258"/>
      <c r="D149" s="258"/>
      <c r="E149" s="259"/>
      <c r="F149" s="259"/>
      <c r="G149" s="260"/>
      <c r="H149" s="260"/>
    </row>
    <row r="150">
      <c r="B150" s="257"/>
      <c r="C150" s="258"/>
      <c r="D150" s="258"/>
      <c r="E150" s="259"/>
      <c r="F150" s="259"/>
      <c r="G150" s="260"/>
      <c r="H150" s="260"/>
    </row>
    <row r="151">
      <c r="B151" s="257"/>
      <c r="C151" s="258"/>
      <c r="D151" s="258"/>
      <c r="E151" s="259"/>
      <c r="F151" s="259"/>
      <c r="G151" s="260"/>
      <c r="H151" s="260"/>
    </row>
    <row r="152">
      <c r="B152" s="257"/>
      <c r="C152" s="258"/>
      <c r="D152" s="258"/>
      <c r="E152" s="259"/>
      <c r="F152" s="259"/>
      <c r="G152" s="260"/>
      <c r="H152" s="260"/>
    </row>
    <row r="153">
      <c r="B153" s="257"/>
      <c r="C153" s="258"/>
      <c r="D153" s="258"/>
      <c r="E153" s="259"/>
      <c r="F153" s="259"/>
      <c r="G153" s="260"/>
      <c r="H153" s="260"/>
    </row>
    <row r="154">
      <c r="B154" s="257"/>
      <c r="C154" s="258"/>
      <c r="D154" s="258"/>
      <c r="E154" s="259"/>
      <c r="F154" s="259"/>
      <c r="G154" s="260"/>
      <c r="H154" s="260"/>
    </row>
    <row r="155">
      <c r="B155" s="257"/>
      <c r="C155" s="258"/>
      <c r="D155" s="258"/>
      <c r="E155" s="259"/>
      <c r="F155" s="259"/>
      <c r="G155" s="260"/>
      <c r="H155" s="260"/>
    </row>
    <row r="156">
      <c r="B156" s="257"/>
      <c r="C156" s="258"/>
      <c r="D156" s="258"/>
      <c r="E156" s="259"/>
      <c r="F156" s="259"/>
      <c r="G156" s="260"/>
      <c r="H156" s="260"/>
    </row>
    <row r="157">
      <c r="B157" s="257"/>
      <c r="C157" s="258"/>
      <c r="D157" s="258"/>
      <c r="E157" s="259"/>
      <c r="F157" s="259"/>
      <c r="G157" s="260"/>
      <c r="H157" s="260"/>
    </row>
    <row r="158">
      <c r="B158" s="257"/>
      <c r="C158" s="258"/>
      <c r="D158" s="258"/>
      <c r="E158" s="259"/>
      <c r="F158" s="259"/>
      <c r="G158" s="260"/>
      <c r="H158" s="260"/>
    </row>
    <row r="159">
      <c r="B159" s="257"/>
      <c r="C159" s="258"/>
      <c r="D159" s="136" t="s">
        <v>222</v>
      </c>
      <c r="E159" s="261" t="s">
        <v>223</v>
      </c>
      <c r="F159" s="259"/>
      <c r="G159" s="260"/>
      <c r="H159" s="260"/>
    </row>
    <row r="160">
      <c r="B160" s="257"/>
      <c r="C160" s="258"/>
      <c r="D160" s="262">
        <v>0.0</v>
      </c>
      <c r="E160" s="192">
        <f>B40</f>
        <v>0.9</v>
      </c>
      <c r="F160" s="259"/>
      <c r="G160" s="260"/>
      <c r="H160" s="260"/>
    </row>
    <row r="161">
      <c r="B161" s="257"/>
      <c r="C161" s="258"/>
      <c r="D161" s="263">
        <f>B37</f>
        <v>10</v>
      </c>
      <c r="E161" s="192">
        <f>B40</f>
        <v>0.9</v>
      </c>
      <c r="F161" s="259"/>
      <c r="G161" s="260"/>
      <c r="H161" s="260"/>
    </row>
    <row r="162">
      <c r="B162" s="257"/>
      <c r="C162" s="258"/>
      <c r="D162" s="263">
        <f>B36</f>
        <v>27</v>
      </c>
      <c r="E162" s="192">
        <f>IF(B36&lt;B37, B40, IF(B36&gt;B38, B39, B39 +(B40-B39)*(B38-B36)/(B38-B37)))</f>
        <v>0.5033333333</v>
      </c>
      <c r="F162" s="259"/>
      <c r="G162" s="260"/>
      <c r="H162" s="260"/>
    </row>
    <row r="163">
      <c r="B163" s="257"/>
      <c r="C163" s="258"/>
      <c r="D163" s="263">
        <f>B38</f>
        <v>40</v>
      </c>
      <c r="E163" s="192">
        <f>B39</f>
        <v>0.2</v>
      </c>
      <c r="F163" s="259"/>
      <c r="G163" s="260"/>
      <c r="H163" s="260"/>
    </row>
    <row r="164">
      <c r="B164" s="257"/>
      <c r="C164" s="258"/>
      <c r="D164" s="262">
        <v>50.0</v>
      </c>
      <c r="E164" s="192">
        <f>E163</f>
        <v>0.2</v>
      </c>
      <c r="F164" s="259"/>
      <c r="G164" s="260"/>
      <c r="H164" s="260"/>
    </row>
    <row r="165">
      <c r="B165" s="257"/>
      <c r="C165" s="258"/>
      <c r="D165" s="258"/>
      <c r="E165" s="259"/>
      <c r="F165" s="259"/>
      <c r="G165" s="260"/>
      <c r="H165" s="260"/>
    </row>
    <row r="166">
      <c r="B166" s="257"/>
      <c r="C166" s="258"/>
      <c r="D166" s="258"/>
      <c r="E166" s="259"/>
      <c r="F166" s="259"/>
      <c r="G166" s="260"/>
      <c r="H166" s="260"/>
    </row>
    <row r="167">
      <c r="B167" s="257"/>
      <c r="C167" s="258"/>
      <c r="D167" s="258"/>
      <c r="E167" s="259"/>
      <c r="F167" s="259"/>
      <c r="G167" s="260"/>
      <c r="H167" s="260"/>
    </row>
    <row r="168">
      <c r="B168" s="257"/>
      <c r="C168" s="258"/>
      <c r="D168" s="258"/>
      <c r="E168" s="259"/>
      <c r="F168" s="259"/>
      <c r="G168" s="260"/>
      <c r="H168" s="260"/>
    </row>
    <row r="169">
      <c r="B169" s="257"/>
      <c r="C169" s="258"/>
      <c r="D169" s="258"/>
      <c r="E169" s="259"/>
      <c r="F169" s="259"/>
      <c r="G169" s="260"/>
      <c r="H169" s="260"/>
    </row>
    <row r="170">
      <c r="B170" s="257"/>
      <c r="C170" s="258"/>
      <c r="D170" s="258"/>
      <c r="E170" s="259"/>
      <c r="F170" s="259"/>
      <c r="G170" s="260"/>
      <c r="H170" s="260"/>
    </row>
    <row r="171">
      <c r="B171" s="257"/>
      <c r="C171" s="258"/>
      <c r="D171" s="258"/>
      <c r="E171" s="259"/>
      <c r="F171" s="259"/>
      <c r="G171" s="260"/>
      <c r="H171" s="260"/>
    </row>
    <row r="172">
      <c r="B172" s="257"/>
      <c r="C172" s="258"/>
      <c r="D172" s="258"/>
      <c r="E172" s="259"/>
      <c r="F172" s="259"/>
      <c r="G172" s="260"/>
      <c r="H172" s="260"/>
    </row>
    <row r="173">
      <c r="B173" s="257"/>
      <c r="C173" s="258"/>
      <c r="D173" s="258"/>
      <c r="E173" s="259"/>
      <c r="F173" s="259"/>
      <c r="G173" s="260"/>
      <c r="H173" s="260"/>
    </row>
    <row r="174">
      <c r="B174" s="257"/>
      <c r="C174" s="258"/>
      <c r="D174" s="258"/>
      <c r="E174" s="259"/>
      <c r="F174" s="259"/>
      <c r="G174" s="260"/>
      <c r="H174" s="260"/>
    </row>
    <row r="175">
      <c r="B175" s="257"/>
      <c r="C175" s="258"/>
      <c r="D175" s="258"/>
      <c r="E175" s="259"/>
      <c r="F175" s="259"/>
      <c r="G175" s="260"/>
      <c r="H175" s="260"/>
    </row>
    <row r="176">
      <c r="B176" s="257"/>
      <c r="C176" s="258"/>
      <c r="D176" s="258"/>
      <c r="E176" s="259"/>
      <c r="F176" s="259"/>
      <c r="G176" s="260"/>
      <c r="H176" s="260"/>
    </row>
    <row r="177">
      <c r="B177" s="257"/>
      <c r="C177" s="258"/>
      <c r="D177" s="258"/>
      <c r="E177" s="259"/>
      <c r="F177" s="259"/>
      <c r="G177" s="260"/>
      <c r="H177" s="260"/>
    </row>
    <row r="178">
      <c r="B178" s="257"/>
      <c r="C178" s="258"/>
      <c r="D178" s="258"/>
      <c r="E178" s="259"/>
      <c r="F178" s="259"/>
      <c r="G178" s="260"/>
      <c r="H178" s="260"/>
    </row>
    <row r="179">
      <c r="B179" s="257"/>
      <c r="C179" s="258"/>
      <c r="D179" s="258"/>
      <c r="E179" s="259"/>
      <c r="F179" s="259"/>
      <c r="G179" s="260"/>
      <c r="H179" s="260"/>
    </row>
    <row r="180">
      <c r="B180" s="257"/>
      <c r="C180" s="258"/>
      <c r="D180" s="258"/>
      <c r="E180" s="259"/>
      <c r="F180" s="259"/>
      <c r="G180" s="260"/>
      <c r="H180" s="260"/>
    </row>
    <row r="181">
      <c r="B181" s="257"/>
      <c r="C181" s="258"/>
      <c r="D181" s="258"/>
      <c r="E181" s="259"/>
      <c r="F181" s="259"/>
      <c r="G181" s="260"/>
      <c r="H181" s="260"/>
    </row>
    <row r="182">
      <c r="B182" s="257"/>
      <c r="C182" s="258"/>
      <c r="D182" s="258"/>
      <c r="E182" s="259"/>
      <c r="F182" s="259"/>
      <c r="G182" s="260"/>
      <c r="H182" s="260"/>
    </row>
    <row r="183">
      <c r="B183" s="257"/>
      <c r="C183" s="258"/>
      <c r="D183" s="258"/>
      <c r="E183" s="259"/>
      <c r="F183" s="259"/>
      <c r="G183" s="260"/>
      <c r="H183" s="260"/>
    </row>
    <row r="184">
      <c r="B184" s="257"/>
      <c r="C184" s="258"/>
      <c r="D184" s="258"/>
      <c r="E184" s="259"/>
      <c r="F184" s="259"/>
      <c r="G184" s="260"/>
      <c r="H184" s="260"/>
    </row>
    <row r="185">
      <c r="B185" s="257"/>
      <c r="C185" s="258"/>
      <c r="D185" s="258"/>
      <c r="E185" s="259"/>
      <c r="F185" s="259"/>
      <c r="G185" s="260"/>
      <c r="H185" s="260"/>
    </row>
    <row r="186">
      <c r="B186" s="257"/>
      <c r="C186" s="258"/>
      <c r="D186" s="258"/>
      <c r="E186" s="259"/>
      <c r="F186" s="259"/>
      <c r="G186" s="260"/>
      <c r="H186" s="260"/>
    </row>
    <row r="187">
      <c r="B187" s="257"/>
      <c r="C187" s="258"/>
      <c r="D187" s="258"/>
      <c r="E187" s="259"/>
      <c r="F187" s="259"/>
      <c r="G187" s="260"/>
      <c r="H187" s="260"/>
    </row>
    <row r="188">
      <c r="B188" s="257"/>
      <c r="C188" s="258"/>
      <c r="D188" s="258"/>
      <c r="E188" s="259"/>
      <c r="F188" s="259"/>
      <c r="G188" s="260"/>
      <c r="H188" s="260"/>
    </row>
    <row r="189">
      <c r="B189" s="257"/>
      <c r="C189" s="258"/>
      <c r="D189" s="258"/>
      <c r="E189" s="259"/>
      <c r="F189" s="259"/>
      <c r="G189" s="260"/>
      <c r="H189" s="260"/>
    </row>
    <row r="190">
      <c r="B190" s="257"/>
      <c r="C190" s="258"/>
      <c r="D190" s="258"/>
      <c r="E190" s="259"/>
      <c r="F190" s="259"/>
      <c r="G190" s="260"/>
      <c r="H190" s="260"/>
    </row>
    <row r="191">
      <c r="B191" s="257"/>
      <c r="C191" s="258"/>
      <c r="D191" s="258"/>
      <c r="E191" s="259"/>
      <c r="F191" s="259"/>
      <c r="G191" s="260"/>
      <c r="H191" s="260"/>
    </row>
    <row r="192">
      <c r="B192" s="257"/>
      <c r="C192" s="258"/>
      <c r="D192" s="258"/>
      <c r="E192" s="259"/>
      <c r="F192" s="259"/>
      <c r="G192" s="260"/>
      <c r="H192" s="260"/>
    </row>
    <row r="193">
      <c r="B193" s="257"/>
      <c r="C193" s="258"/>
      <c r="D193" s="258"/>
      <c r="E193" s="259"/>
      <c r="F193" s="259"/>
      <c r="G193" s="260"/>
      <c r="H193" s="260"/>
    </row>
    <row r="194">
      <c r="B194" s="257"/>
      <c r="C194" s="258"/>
      <c r="D194" s="258"/>
      <c r="E194" s="259"/>
      <c r="F194" s="259"/>
      <c r="G194" s="260"/>
      <c r="H194" s="260"/>
    </row>
    <row r="195">
      <c r="B195" s="257"/>
      <c r="C195" s="258"/>
      <c r="D195" s="258"/>
      <c r="E195" s="259"/>
      <c r="F195" s="259"/>
      <c r="G195" s="260"/>
      <c r="H195" s="260"/>
    </row>
    <row r="196">
      <c r="B196" s="257"/>
      <c r="C196" s="258"/>
      <c r="D196" s="258"/>
      <c r="E196" s="259"/>
      <c r="F196" s="259"/>
      <c r="G196" s="260"/>
      <c r="H196" s="260"/>
    </row>
    <row r="197">
      <c r="B197" s="257"/>
      <c r="C197" s="258"/>
      <c r="D197" s="258"/>
      <c r="E197" s="259"/>
      <c r="F197" s="259"/>
      <c r="G197" s="260"/>
      <c r="H197" s="260"/>
    </row>
    <row r="198">
      <c r="B198" s="257"/>
      <c r="C198" s="258"/>
      <c r="D198" s="258"/>
      <c r="E198" s="259"/>
      <c r="F198" s="259"/>
      <c r="G198" s="260"/>
      <c r="H198" s="260"/>
    </row>
    <row r="199">
      <c r="B199" s="257"/>
      <c r="C199" s="258"/>
      <c r="D199" s="258"/>
      <c r="E199" s="259"/>
      <c r="F199" s="259"/>
      <c r="G199" s="260"/>
      <c r="H199" s="260"/>
    </row>
    <row r="200">
      <c r="B200" s="257"/>
      <c r="C200" s="258"/>
      <c r="D200" s="258"/>
      <c r="E200" s="259"/>
      <c r="F200" s="259"/>
      <c r="G200" s="260"/>
      <c r="H200" s="260"/>
    </row>
    <row r="201">
      <c r="B201" s="257"/>
      <c r="C201" s="258"/>
      <c r="D201" s="258"/>
      <c r="E201" s="259"/>
      <c r="F201" s="259"/>
      <c r="G201" s="260"/>
      <c r="H201" s="260"/>
    </row>
    <row r="202">
      <c r="B202" s="257"/>
      <c r="C202" s="258"/>
      <c r="D202" s="258"/>
      <c r="E202" s="259"/>
      <c r="F202" s="259"/>
      <c r="G202" s="260"/>
      <c r="H202" s="260"/>
    </row>
    <row r="203">
      <c r="B203" s="257"/>
      <c r="C203" s="258"/>
      <c r="D203" s="258"/>
      <c r="E203" s="259"/>
      <c r="F203" s="259"/>
      <c r="G203" s="260"/>
      <c r="H203" s="260"/>
    </row>
    <row r="204">
      <c r="B204" s="257"/>
      <c r="C204" s="258"/>
      <c r="D204" s="258"/>
      <c r="E204" s="259"/>
      <c r="F204" s="259"/>
      <c r="G204" s="260"/>
      <c r="H204" s="260"/>
    </row>
    <row r="205">
      <c r="B205" s="257"/>
      <c r="C205" s="258"/>
      <c r="D205" s="258"/>
      <c r="E205" s="259"/>
      <c r="F205" s="259"/>
      <c r="G205" s="260"/>
      <c r="H205" s="260"/>
    </row>
    <row r="206">
      <c r="B206" s="257"/>
      <c r="C206" s="258"/>
      <c r="D206" s="258"/>
      <c r="E206" s="259"/>
      <c r="F206" s="259"/>
      <c r="G206" s="260"/>
      <c r="H206" s="260"/>
    </row>
    <row r="207">
      <c r="B207" s="257"/>
      <c r="C207" s="258"/>
      <c r="D207" s="258"/>
      <c r="E207" s="259"/>
      <c r="F207" s="259"/>
      <c r="G207" s="260"/>
      <c r="H207" s="260"/>
    </row>
    <row r="208">
      <c r="B208" s="257"/>
      <c r="C208" s="258"/>
      <c r="D208" s="258"/>
      <c r="E208" s="259"/>
      <c r="F208" s="259"/>
      <c r="G208" s="260"/>
      <c r="H208" s="260"/>
    </row>
    <row r="209">
      <c r="B209" s="257"/>
      <c r="C209" s="258"/>
      <c r="D209" s="258"/>
      <c r="E209" s="259"/>
      <c r="F209" s="259"/>
      <c r="G209" s="260"/>
      <c r="H209" s="260"/>
    </row>
    <row r="210">
      <c r="B210" s="257"/>
      <c r="C210" s="258"/>
      <c r="D210" s="258"/>
      <c r="E210" s="259"/>
      <c r="F210" s="259"/>
      <c r="G210" s="260"/>
      <c r="H210" s="260"/>
    </row>
    <row r="211">
      <c r="B211" s="257"/>
      <c r="C211" s="258"/>
      <c r="D211" s="258"/>
      <c r="E211" s="259"/>
      <c r="F211" s="259"/>
      <c r="G211" s="260"/>
      <c r="H211" s="260"/>
    </row>
    <row r="212">
      <c r="B212" s="257"/>
      <c r="C212" s="258"/>
      <c r="D212" s="258"/>
      <c r="E212" s="259"/>
      <c r="F212" s="259"/>
      <c r="G212" s="260"/>
      <c r="H212" s="260"/>
    </row>
    <row r="213">
      <c r="B213" s="257"/>
      <c r="C213" s="258"/>
      <c r="D213" s="258"/>
      <c r="E213" s="259"/>
      <c r="F213" s="259"/>
      <c r="G213" s="260"/>
      <c r="H213" s="260"/>
    </row>
    <row r="214">
      <c r="B214" s="257"/>
      <c r="C214" s="258"/>
      <c r="D214" s="258"/>
      <c r="E214" s="259"/>
      <c r="F214" s="259"/>
      <c r="G214" s="260"/>
      <c r="H214" s="260"/>
    </row>
    <row r="215">
      <c r="B215" s="257"/>
      <c r="C215" s="258"/>
      <c r="D215" s="258"/>
      <c r="E215" s="259"/>
      <c r="F215" s="259"/>
      <c r="G215" s="260"/>
      <c r="H215" s="260"/>
    </row>
    <row r="216">
      <c r="B216" s="257"/>
      <c r="C216" s="258"/>
      <c r="D216" s="258"/>
      <c r="E216" s="259"/>
      <c r="F216" s="259"/>
      <c r="G216" s="260"/>
      <c r="H216" s="260"/>
    </row>
    <row r="217">
      <c r="B217" s="257"/>
      <c r="C217" s="258"/>
      <c r="D217" s="258"/>
      <c r="E217" s="259"/>
      <c r="F217" s="259"/>
      <c r="G217" s="260"/>
      <c r="H217" s="260"/>
    </row>
    <row r="218">
      <c r="B218" s="257"/>
      <c r="C218" s="258"/>
      <c r="D218" s="258"/>
      <c r="E218" s="259"/>
      <c r="F218" s="259"/>
      <c r="G218" s="260"/>
      <c r="H218" s="260"/>
    </row>
    <row r="219">
      <c r="B219" s="257"/>
      <c r="C219" s="258"/>
      <c r="D219" s="258"/>
      <c r="E219" s="259"/>
      <c r="F219" s="259"/>
      <c r="G219" s="260"/>
      <c r="H219" s="260"/>
    </row>
    <row r="220">
      <c r="B220" s="257"/>
      <c r="C220" s="258"/>
      <c r="D220" s="258"/>
      <c r="E220" s="259"/>
      <c r="F220" s="259"/>
      <c r="G220" s="260"/>
      <c r="H220" s="260"/>
    </row>
    <row r="221">
      <c r="B221" s="257"/>
      <c r="C221" s="258"/>
      <c r="D221" s="258"/>
      <c r="E221" s="259"/>
      <c r="F221" s="259"/>
      <c r="G221" s="260"/>
      <c r="H221" s="260"/>
    </row>
    <row r="222">
      <c r="B222" s="257"/>
      <c r="C222" s="258"/>
      <c r="D222" s="258"/>
      <c r="E222" s="259"/>
      <c r="F222" s="259"/>
      <c r="G222" s="260"/>
      <c r="H222" s="260"/>
    </row>
    <row r="223">
      <c r="B223" s="257"/>
      <c r="C223" s="258"/>
      <c r="D223" s="258"/>
      <c r="E223" s="259"/>
      <c r="F223" s="259"/>
      <c r="G223" s="260"/>
      <c r="H223" s="260"/>
    </row>
    <row r="224">
      <c r="B224" s="257"/>
      <c r="C224" s="258"/>
      <c r="D224" s="258"/>
      <c r="E224" s="259"/>
      <c r="F224" s="259"/>
      <c r="G224" s="260"/>
      <c r="H224" s="260"/>
    </row>
    <row r="225">
      <c r="B225" s="257"/>
      <c r="C225" s="258"/>
      <c r="D225" s="258"/>
      <c r="E225" s="259"/>
      <c r="F225" s="259"/>
      <c r="G225" s="260"/>
      <c r="H225" s="260"/>
    </row>
    <row r="226">
      <c r="B226" s="257"/>
      <c r="C226" s="258"/>
      <c r="D226" s="258"/>
      <c r="E226" s="259"/>
      <c r="F226" s="259"/>
      <c r="G226" s="260"/>
      <c r="H226" s="260"/>
    </row>
    <row r="227">
      <c r="B227" s="257"/>
      <c r="C227" s="258"/>
      <c r="D227" s="258"/>
      <c r="E227" s="259"/>
      <c r="F227" s="259"/>
      <c r="G227" s="260"/>
      <c r="H227" s="260"/>
    </row>
    <row r="228">
      <c r="B228" s="257"/>
      <c r="C228" s="258"/>
      <c r="D228" s="258"/>
      <c r="E228" s="259"/>
      <c r="F228" s="259"/>
      <c r="G228" s="260"/>
      <c r="H228" s="260"/>
    </row>
    <row r="229">
      <c r="B229" s="257"/>
      <c r="C229" s="258"/>
      <c r="D229" s="258"/>
      <c r="E229" s="259"/>
      <c r="F229" s="259"/>
      <c r="G229" s="260"/>
      <c r="H229" s="260"/>
    </row>
    <row r="230">
      <c r="B230" s="257"/>
      <c r="C230" s="258"/>
      <c r="D230" s="258"/>
      <c r="E230" s="259"/>
      <c r="F230" s="259"/>
      <c r="G230" s="260"/>
      <c r="H230" s="260"/>
    </row>
    <row r="231">
      <c r="B231" s="257"/>
      <c r="C231" s="258"/>
      <c r="D231" s="258"/>
      <c r="E231" s="259"/>
      <c r="F231" s="259"/>
      <c r="G231" s="260"/>
      <c r="H231" s="260"/>
    </row>
    <row r="232">
      <c r="B232" s="257"/>
      <c r="C232" s="258"/>
      <c r="D232" s="258"/>
      <c r="E232" s="259"/>
      <c r="F232" s="259"/>
      <c r="G232" s="260"/>
      <c r="H232" s="260"/>
    </row>
    <row r="233">
      <c r="B233" s="257"/>
      <c r="C233" s="258"/>
      <c r="D233" s="258"/>
      <c r="E233" s="259"/>
      <c r="F233" s="259"/>
      <c r="G233" s="260"/>
      <c r="H233" s="260"/>
    </row>
    <row r="234">
      <c r="B234" s="257"/>
      <c r="C234" s="258"/>
      <c r="D234" s="258"/>
      <c r="E234" s="259"/>
      <c r="F234" s="259"/>
      <c r="G234" s="260"/>
      <c r="H234" s="260"/>
    </row>
    <row r="235">
      <c r="B235" s="257"/>
      <c r="C235" s="258"/>
      <c r="D235" s="258"/>
      <c r="E235" s="259"/>
      <c r="F235" s="259"/>
      <c r="G235" s="260"/>
      <c r="H235" s="260"/>
    </row>
    <row r="236">
      <c r="B236" s="257"/>
      <c r="C236" s="258"/>
      <c r="D236" s="258"/>
      <c r="E236" s="259"/>
      <c r="F236" s="259"/>
      <c r="G236" s="260"/>
      <c r="H236" s="260"/>
    </row>
    <row r="237">
      <c r="B237" s="257"/>
      <c r="C237" s="258"/>
      <c r="D237" s="258"/>
      <c r="E237" s="259"/>
      <c r="F237" s="259"/>
      <c r="G237" s="260"/>
      <c r="H237" s="260"/>
    </row>
    <row r="238">
      <c r="B238" s="257"/>
      <c r="C238" s="258"/>
      <c r="D238" s="258"/>
      <c r="E238" s="259"/>
      <c r="F238" s="259"/>
      <c r="G238" s="260"/>
      <c r="H238" s="260"/>
    </row>
    <row r="239">
      <c r="B239" s="257"/>
      <c r="C239" s="258"/>
      <c r="D239" s="258"/>
      <c r="E239" s="259"/>
      <c r="F239" s="259"/>
      <c r="G239" s="260"/>
      <c r="H239" s="260"/>
    </row>
    <row r="240">
      <c r="B240" s="257"/>
      <c r="C240" s="258"/>
      <c r="D240" s="258"/>
      <c r="E240" s="259"/>
      <c r="F240" s="259"/>
      <c r="G240" s="260"/>
      <c r="H240" s="260"/>
    </row>
    <row r="241">
      <c r="B241" s="257"/>
      <c r="C241" s="258"/>
      <c r="D241" s="258"/>
      <c r="E241" s="259"/>
      <c r="F241" s="259"/>
      <c r="G241" s="260"/>
      <c r="H241" s="260"/>
    </row>
    <row r="242">
      <c r="B242" s="257"/>
      <c r="C242" s="258"/>
      <c r="D242" s="258"/>
      <c r="E242" s="259"/>
      <c r="F242" s="259"/>
      <c r="G242" s="260"/>
      <c r="H242" s="260"/>
    </row>
    <row r="243">
      <c r="B243" s="257"/>
      <c r="C243" s="258"/>
      <c r="D243" s="258"/>
      <c r="E243" s="259"/>
      <c r="F243" s="259"/>
      <c r="G243" s="260"/>
      <c r="H243" s="260"/>
    </row>
    <row r="244">
      <c r="B244" s="257"/>
      <c r="C244" s="258"/>
      <c r="D244" s="258"/>
      <c r="E244" s="259"/>
      <c r="F244" s="259"/>
      <c r="G244" s="260"/>
      <c r="H244" s="260"/>
    </row>
    <row r="245">
      <c r="B245" s="257"/>
      <c r="C245" s="258"/>
      <c r="D245" s="258"/>
      <c r="E245" s="259"/>
      <c r="F245" s="259"/>
      <c r="G245" s="260"/>
      <c r="H245" s="260"/>
    </row>
    <row r="246">
      <c r="B246" s="257"/>
      <c r="C246" s="258"/>
      <c r="D246" s="258"/>
      <c r="E246" s="259"/>
      <c r="F246" s="259"/>
      <c r="G246" s="260"/>
      <c r="H246" s="260"/>
    </row>
    <row r="247">
      <c r="B247" s="257"/>
      <c r="C247" s="258"/>
      <c r="D247" s="258"/>
      <c r="E247" s="259"/>
      <c r="F247" s="259"/>
      <c r="G247" s="260"/>
      <c r="H247" s="260"/>
    </row>
    <row r="248">
      <c r="B248" s="257"/>
      <c r="C248" s="258"/>
      <c r="D248" s="258"/>
      <c r="E248" s="259"/>
      <c r="F248" s="259"/>
      <c r="G248" s="260"/>
      <c r="H248" s="260"/>
    </row>
    <row r="249">
      <c r="B249" s="257"/>
      <c r="C249" s="258"/>
      <c r="D249" s="258"/>
      <c r="E249" s="259"/>
      <c r="F249" s="259"/>
      <c r="G249" s="260"/>
      <c r="H249" s="260"/>
    </row>
    <row r="250">
      <c r="B250" s="257"/>
      <c r="C250" s="258"/>
      <c r="D250" s="258"/>
      <c r="E250" s="259"/>
      <c r="F250" s="259"/>
      <c r="G250" s="260"/>
      <c r="H250" s="260"/>
    </row>
    <row r="251">
      <c r="B251" s="257"/>
      <c r="C251" s="258"/>
      <c r="D251" s="258"/>
      <c r="E251" s="259"/>
      <c r="F251" s="259"/>
      <c r="G251" s="260"/>
      <c r="H251" s="260"/>
    </row>
    <row r="252">
      <c r="B252" s="257"/>
      <c r="C252" s="258"/>
      <c r="D252" s="258"/>
      <c r="E252" s="259"/>
      <c r="F252" s="259"/>
      <c r="G252" s="260"/>
      <c r="H252" s="260"/>
    </row>
    <row r="253">
      <c r="B253" s="257"/>
      <c r="C253" s="258"/>
      <c r="D253" s="258"/>
      <c r="E253" s="259"/>
      <c r="F253" s="259"/>
      <c r="G253" s="260"/>
      <c r="H253" s="260"/>
    </row>
    <row r="254">
      <c r="B254" s="257"/>
      <c r="C254" s="258"/>
      <c r="D254" s="258"/>
      <c r="E254" s="259"/>
      <c r="F254" s="259"/>
      <c r="G254" s="260"/>
      <c r="H254" s="260"/>
    </row>
    <row r="255">
      <c r="B255" s="257"/>
      <c r="C255" s="258"/>
      <c r="D255" s="258"/>
      <c r="E255" s="259"/>
      <c r="F255" s="259"/>
      <c r="G255" s="260"/>
      <c r="H255" s="260"/>
    </row>
    <row r="256">
      <c r="B256" s="257"/>
      <c r="C256" s="258"/>
      <c r="D256" s="258"/>
      <c r="E256" s="259"/>
      <c r="F256" s="259"/>
      <c r="G256" s="260"/>
      <c r="H256" s="260"/>
    </row>
    <row r="257">
      <c r="B257" s="257"/>
      <c r="C257" s="258"/>
      <c r="D257" s="258"/>
      <c r="E257" s="259"/>
      <c r="F257" s="259"/>
      <c r="G257" s="260"/>
      <c r="H257" s="260"/>
    </row>
    <row r="258">
      <c r="B258" s="257"/>
      <c r="C258" s="258"/>
      <c r="D258" s="258"/>
      <c r="E258" s="259"/>
      <c r="F258" s="259"/>
      <c r="G258" s="260"/>
      <c r="H258" s="260"/>
    </row>
    <row r="259">
      <c r="B259" s="257"/>
      <c r="C259" s="258"/>
      <c r="D259" s="258"/>
      <c r="E259" s="259"/>
      <c r="F259" s="259"/>
      <c r="G259" s="260"/>
      <c r="H259" s="260"/>
    </row>
    <row r="260">
      <c r="B260" s="257"/>
      <c r="C260" s="258"/>
      <c r="D260" s="258"/>
      <c r="E260" s="259"/>
      <c r="F260" s="259"/>
      <c r="G260" s="260"/>
      <c r="H260" s="260"/>
    </row>
    <row r="261">
      <c r="B261" s="257"/>
      <c r="C261" s="258"/>
      <c r="D261" s="258"/>
      <c r="E261" s="259"/>
      <c r="F261" s="259"/>
      <c r="G261" s="260"/>
      <c r="H261" s="260"/>
    </row>
    <row r="262">
      <c r="B262" s="257"/>
      <c r="C262" s="258"/>
      <c r="D262" s="258"/>
      <c r="E262" s="259"/>
      <c r="F262" s="259"/>
      <c r="G262" s="260"/>
      <c r="H262" s="260"/>
    </row>
    <row r="263">
      <c r="B263" s="257"/>
      <c r="C263" s="258"/>
      <c r="D263" s="258"/>
      <c r="E263" s="259"/>
      <c r="F263" s="259"/>
      <c r="G263" s="260"/>
      <c r="H263" s="260"/>
    </row>
    <row r="264">
      <c r="B264" s="257"/>
      <c r="C264" s="258"/>
      <c r="D264" s="258"/>
      <c r="E264" s="259"/>
      <c r="F264" s="259"/>
      <c r="G264" s="260"/>
      <c r="H264" s="260"/>
    </row>
    <row r="265">
      <c r="B265" s="257"/>
      <c r="C265" s="258"/>
      <c r="D265" s="258"/>
      <c r="E265" s="259"/>
      <c r="F265" s="259"/>
      <c r="G265" s="260"/>
      <c r="H265" s="260"/>
    </row>
    <row r="266">
      <c r="B266" s="257"/>
      <c r="C266" s="258"/>
      <c r="D266" s="258"/>
      <c r="E266" s="259"/>
      <c r="F266" s="259"/>
      <c r="G266" s="260"/>
      <c r="H266" s="260"/>
    </row>
    <row r="267">
      <c r="B267" s="257"/>
      <c r="C267" s="258"/>
      <c r="D267" s="258"/>
      <c r="E267" s="259"/>
      <c r="F267" s="259"/>
      <c r="G267" s="260"/>
      <c r="H267" s="260"/>
    </row>
    <row r="268">
      <c r="B268" s="257"/>
      <c r="C268" s="258"/>
      <c r="D268" s="258"/>
      <c r="E268" s="259"/>
      <c r="F268" s="259"/>
      <c r="G268" s="260"/>
      <c r="H268" s="260"/>
    </row>
    <row r="269">
      <c r="B269" s="257"/>
      <c r="C269" s="258"/>
      <c r="D269" s="258"/>
      <c r="E269" s="259"/>
      <c r="F269" s="259"/>
      <c r="G269" s="260"/>
      <c r="H269" s="260"/>
    </row>
    <row r="270">
      <c r="B270" s="257"/>
      <c r="C270" s="258"/>
      <c r="D270" s="258"/>
      <c r="E270" s="259"/>
      <c r="F270" s="259"/>
      <c r="G270" s="260"/>
      <c r="H270" s="260"/>
    </row>
    <row r="271">
      <c r="B271" s="257"/>
      <c r="C271" s="258"/>
      <c r="D271" s="258"/>
      <c r="E271" s="259"/>
      <c r="F271" s="259"/>
      <c r="G271" s="260"/>
      <c r="H271" s="260"/>
    </row>
    <row r="272">
      <c r="B272" s="257"/>
      <c r="C272" s="258"/>
      <c r="D272" s="258"/>
      <c r="E272" s="259"/>
      <c r="F272" s="259"/>
      <c r="G272" s="260"/>
      <c r="H272" s="260"/>
    </row>
    <row r="273">
      <c r="B273" s="257"/>
      <c r="C273" s="258"/>
      <c r="D273" s="258"/>
      <c r="E273" s="259"/>
      <c r="F273" s="259"/>
      <c r="G273" s="260"/>
      <c r="H273" s="260"/>
    </row>
    <row r="274">
      <c r="B274" s="257"/>
      <c r="C274" s="258"/>
      <c r="D274" s="258"/>
      <c r="E274" s="259"/>
      <c r="F274" s="259"/>
      <c r="G274" s="260"/>
      <c r="H274" s="260"/>
    </row>
    <row r="275">
      <c r="B275" s="257"/>
      <c r="C275" s="258"/>
      <c r="D275" s="258"/>
      <c r="E275" s="259"/>
      <c r="F275" s="259"/>
      <c r="G275" s="260"/>
      <c r="H275" s="260"/>
    </row>
    <row r="276">
      <c r="B276" s="257"/>
      <c r="C276" s="258"/>
      <c r="D276" s="258"/>
      <c r="E276" s="259"/>
      <c r="F276" s="259"/>
      <c r="G276" s="260"/>
      <c r="H276" s="260"/>
    </row>
    <row r="277">
      <c r="B277" s="257"/>
      <c r="C277" s="258"/>
      <c r="D277" s="258"/>
      <c r="E277" s="259"/>
      <c r="F277" s="259"/>
      <c r="G277" s="260"/>
      <c r="H277" s="260"/>
    </row>
    <row r="278">
      <c r="B278" s="257"/>
      <c r="C278" s="258"/>
      <c r="D278" s="258"/>
      <c r="E278" s="259"/>
      <c r="F278" s="259"/>
      <c r="G278" s="260"/>
      <c r="H278" s="260"/>
    </row>
    <row r="279">
      <c r="B279" s="257"/>
      <c r="C279" s="258"/>
      <c r="D279" s="258"/>
      <c r="E279" s="259"/>
      <c r="F279" s="259"/>
      <c r="G279" s="260"/>
      <c r="H279" s="260"/>
    </row>
    <row r="280">
      <c r="B280" s="257"/>
      <c r="C280" s="258"/>
      <c r="D280" s="258"/>
      <c r="E280" s="259"/>
      <c r="F280" s="259"/>
      <c r="G280" s="260"/>
      <c r="H280" s="260"/>
    </row>
    <row r="281">
      <c r="B281" s="257"/>
      <c r="C281" s="258"/>
      <c r="D281" s="258"/>
      <c r="E281" s="259"/>
      <c r="F281" s="259"/>
      <c r="G281" s="260"/>
      <c r="H281" s="260"/>
    </row>
    <row r="282">
      <c r="B282" s="257"/>
      <c r="C282" s="258"/>
      <c r="D282" s="258"/>
      <c r="E282" s="259"/>
      <c r="F282" s="259"/>
      <c r="G282" s="260"/>
      <c r="H282" s="260"/>
    </row>
    <row r="283">
      <c r="B283" s="257"/>
      <c r="C283" s="258"/>
      <c r="D283" s="258"/>
      <c r="E283" s="259"/>
      <c r="F283" s="259"/>
      <c r="G283" s="260"/>
      <c r="H283" s="260"/>
    </row>
    <row r="284">
      <c r="B284" s="257"/>
      <c r="C284" s="258"/>
      <c r="D284" s="258"/>
      <c r="E284" s="259"/>
      <c r="F284" s="259"/>
      <c r="G284" s="260"/>
      <c r="H284" s="260"/>
    </row>
    <row r="285">
      <c r="B285" s="257"/>
      <c r="C285" s="258"/>
      <c r="D285" s="258"/>
      <c r="E285" s="259"/>
      <c r="F285" s="259"/>
      <c r="G285" s="260"/>
      <c r="H285" s="260"/>
    </row>
    <row r="286">
      <c r="B286" s="257"/>
      <c r="C286" s="258"/>
      <c r="D286" s="258"/>
      <c r="E286" s="259"/>
      <c r="F286" s="259"/>
      <c r="G286" s="260"/>
      <c r="H286" s="260"/>
    </row>
    <row r="287">
      <c r="B287" s="257"/>
      <c r="C287" s="258"/>
      <c r="D287" s="258"/>
      <c r="E287" s="259"/>
      <c r="F287" s="259"/>
      <c r="G287" s="260"/>
      <c r="H287" s="260"/>
    </row>
    <row r="288">
      <c r="B288" s="257"/>
      <c r="C288" s="258"/>
      <c r="D288" s="258"/>
      <c r="E288" s="259"/>
      <c r="F288" s="259"/>
      <c r="G288" s="260"/>
      <c r="H288" s="260"/>
    </row>
    <row r="289">
      <c r="B289" s="257"/>
      <c r="C289" s="258"/>
      <c r="D289" s="258"/>
      <c r="E289" s="259"/>
      <c r="F289" s="259"/>
      <c r="G289" s="260"/>
      <c r="H289" s="260"/>
    </row>
    <row r="290">
      <c r="B290" s="257"/>
      <c r="C290" s="258"/>
      <c r="D290" s="258"/>
      <c r="E290" s="259"/>
      <c r="F290" s="259"/>
      <c r="G290" s="260"/>
      <c r="H290" s="260"/>
    </row>
    <row r="291">
      <c r="B291" s="257"/>
      <c r="C291" s="258"/>
      <c r="D291" s="258"/>
      <c r="E291" s="259"/>
      <c r="F291" s="259"/>
      <c r="G291" s="260"/>
      <c r="H291" s="260"/>
    </row>
    <row r="292">
      <c r="B292" s="257"/>
      <c r="C292" s="258"/>
      <c r="D292" s="258"/>
      <c r="E292" s="259"/>
      <c r="F292" s="259"/>
      <c r="G292" s="260"/>
      <c r="H292" s="260"/>
    </row>
    <row r="293">
      <c r="B293" s="257"/>
      <c r="C293" s="258"/>
      <c r="D293" s="258"/>
      <c r="E293" s="259"/>
      <c r="F293" s="259"/>
      <c r="G293" s="260"/>
      <c r="H293" s="260"/>
    </row>
    <row r="294">
      <c r="B294" s="257"/>
      <c r="C294" s="258"/>
      <c r="D294" s="258"/>
      <c r="E294" s="259"/>
      <c r="F294" s="259"/>
      <c r="G294" s="260"/>
      <c r="H294" s="260"/>
    </row>
    <row r="295">
      <c r="B295" s="257"/>
      <c r="C295" s="258"/>
      <c r="D295" s="258"/>
      <c r="E295" s="259"/>
      <c r="F295" s="259"/>
      <c r="G295" s="260"/>
      <c r="H295" s="260"/>
    </row>
    <row r="296">
      <c r="B296" s="257"/>
      <c r="C296" s="258"/>
      <c r="D296" s="258"/>
      <c r="E296" s="259"/>
      <c r="F296" s="259"/>
      <c r="G296" s="260"/>
      <c r="H296" s="260"/>
    </row>
    <row r="297">
      <c r="B297" s="257"/>
      <c r="C297" s="258"/>
      <c r="D297" s="258"/>
      <c r="E297" s="259"/>
      <c r="F297" s="259"/>
      <c r="G297" s="260"/>
      <c r="H297" s="260"/>
    </row>
    <row r="298">
      <c r="B298" s="257"/>
      <c r="C298" s="258"/>
      <c r="D298" s="258"/>
      <c r="E298" s="259"/>
      <c r="F298" s="259"/>
      <c r="G298" s="260"/>
      <c r="H298" s="260"/>
    </row>
    <row r="299">
      <c r="B299" s="257"/>
      <c r="C299" s="258"/>
      <c r="D299" s="258"/>
      <c r="E299" s="259"/>
      <c r="F299" s="259"/>
      <c r="G299" s="260"/>
      <c r="H299" s="260"/>
    </row>
    <row r="300">
      <c r="B300" s="257"/>
      <c r="C300" s="258"/>
      <c r="D300" s="258"/>
      <c r="E300" s="259"/>
      <c r="F300" s="259"/>
      <c r="G300" s="260"/>
      <c r="H300" s="260"/>
    </row>
    <row r="301">
      <c r="B301" s="257"/>
      <c r="C301" s="258"/>
      <c r="D301" s="258"/>
      <c r="E301" s="259"/>
      <c r="F301" s="259"/>
      <c r="G301" s="260"/>
      <c r="H301" s="260"/>
    </row>
    <row r="302">
      <c r="B302" s="257"/>
      <c r="C302" s="258"/>
      <c r="D302" s="258"/>
      <c r="E302" s="259"/>
      <c r="F302" s="259"/>
      <c r="G302" s="260"/>
      <c r="H302" s="260"/>
    </row>
    <row r="303">
      <c r="B303" s="257"/>
      <c r="C303" s="258"/>
      <c r="D303" s="258"/>
      <c r="E303" s="259"/>
      <c r="F303" s="259"/>
      <c r="G303" s="260"/>
      <c r="H303" s="260"/>
    </row>
    <row r="304">
      <c r="B304" s="257"/>
      <c r="C304" s="258"/>
      <c r="D304" s="258"/>
      <c r="E304" s="259"/>
      <c r="F304" s="259"/>
      <c r="G304" s="260"/>
      <c r="H304" s="260"/>
    </row>
    <row r="305">
      <c r="B305" s="257"/>
      <c r="C305" s="258"/>
      <c r="D305" s="258"/>
      <c r="E305" s="259"/>
      <c r="F305" s="259"/>
      <c r="G305" s="260"/>
      <c r="H305" s="260"/>
    </row>
    <row r="306">
      <c r="B306" s="257"/>
      <c r="C306" s="258"/>
      <c r="D306" s="258"/>
      <c r="E306" s="259"/>
      <c r="F306" s="259"/>
      <c r="G306" s="260"/>
      <c r="H306" s="260"/>
    </row>
    <row r="307">
      <c r="B307" s="257"/>
      <c r="C307" s="258"/>
      <c r="D307" s="258"/>
      <c r="E307" s="259"/>
      <c r="F307" s="259"/>
      <c r="G307" s="260"/>
      <c r="H307" s="260"/>
    </row>
    <row r="308">
      <c r="B308" s="257"/>
      <c r="C308" s="258"/>
      <c r="D308" s="258"/>
      <c r="E308" s="259"/>
      <c r="F308" s="259"/>
      <c r="G308" s="260"/>
      <c r="H308" s="260"/>
    </row>
    <row r="309">
      <c r="B309" s="257"/>
      <c r="C309" s="258"/>
      <c r="D309" s="258"/>
      <c r="E309" s="259"/>
      <c r="F309" s="259"/>
      <c r="G309" s="260"/>
      <c r="H309" s="260"/>
    </row>
    <row r="310">
      <c r="B310" s="257"/>
      <c r="C310" s="258"/>
      <c r="D310" s="258"/>
      <c r="E310" s="259"/>
      <c r="F310" s="259"/>
      <c r="G310" s="260"/>
      <c r="H310" s="260"/>
    </row>
    <row r="311">
      <c r="B311" s="257"/>
      <c r="C311" s="258"/>
      <c r="D311" s="258"/>
      <c r="E311" s="259"/>
      <c r="F311" s="259"/>
      <c r="G311" s="260"/>
      <c r="H311" s="260"/>
    </row>
    <row r="312">
      <c r="B312" s="257"/>
      <c r="C312" s="258"/>
      <c r="D312" s="258"/>
      <c r="E312" s="259"/>
      <c r="F312" s="259"/>
      <c r="G312" s="260"/>
      <c r="H312" s="260"/>
    </row>
    <row r="313">
      <c r="B313" s="257"/>
      <c r="C313" s="258"/>
      <c r="D313" s="258"/>
      <c r="E313" s="259"/>
      <c r="F313" s="259"/>
      <c r="G313" s="260"/>
      <c r="H313" s="260"/>
    </row>
    <row r="314">
      <c r="B314" s="257"/>
      <c r="C314" s="258"/>
      <c r="D314" s="258"/>
      <c r="E314" s="259"/>
      <c r="F314" s="259"/>
      <c r="G314" s="260"/>
      <c r="H314" s="260"/>
    </row>
    <row r="315">
      <c r="B315" s="257"/>
      <c r="C315" s="258"/>
      <c r="D315" s="258"/>
      <c r="E315" s="259"/>
      <c r="F315" s="259"/>
      <c r="G315" s="260"/>
      <c r="H315" s="260"/>
    </row>
    <row r="316">
      <c r="B316" s="257"/>
      <c r="C316" s="258"/>
      <c r="D316" s="258"/>
      <c r="E316" s="259"/>
      <c r="F316" s="259"/>
      <c r="G316" s="260"/>
      <c r="H316" s="260"/>
    </row>
    <row r="317">
      <c r="B317" s="257"/>
      <c r="C317" s="258"/>
      <c r="D317" s="258"/>
      <c r="E317" s="259"/>
      <c r="F317" s="259"/>
      <c r="G317" s="260"/>
      <c r="H317" s="260"/>
    </row>
    <row r="318">
      <c r="B318" s="257"/>
      <c r="C318" s="258"/>
      <c r="D318" s="258"/>
      <c r="E318" s="259"/>
      <c r="F318" s="259"/>
      <c r="G318" s="260"/>
      <c r="H318" s="260"/>
    </row>
    <row r="319">
      <c r="B319" s="257"/>
      <c r="C319" s="258"/>
      <c r="D319" s="258"/>
      <c r="E319" s="259"/>
      <c r="F319" s="259"/>
      <c r="G319" s="260"/>
      <c r="H319" s="260"/>
    </row>
    <row r="320">
      <c r="B320" s="257"/>
      <c r="C320" s="258"/>
      <c r="D320" s="258"/>
      <c r="E320" s="259"/>
      <c r="F320" s="259"/>
      <c r="G320" s="260"/>
      <c r="H320" s="260"/>
    </row>
    <row r="321">
      <c r="B321" s="257"/>
      <c r="C321" s="258"/>
      <c r="D321" s="258"/>
      <c r="E321" s="259"/>
      <c r="F321" s="259"/>
      <c r="G321" s="260"/>
      <c r="H321" s="260"/>
    </row>
    <row r="322">
      <c r="B322" s="257"/>
      <c r="C322" s="258"/>
      <c r="D322" s="258"/>
      <c r="E322" s="259"/>
      <c r="F322" s="259"/>
      <c r="G322" s="260"/>
      <c r="H322" s="260"/>
    </row>
    <row r="323">
      <c r="B323" s="257"/>
      <c r="C323" s="258"/>
      <c r="D323" s="258"/>
      <c r="E323" s="259"/>
      <c r="F323" s="259"/>
      <c r="G323" s="260"/>
      <c r="H323" s="260"/>
    </row>
    <row r="324">
      <c r="B324" s="257"/>
      <c r="C324" s="258"/>
      <c r="D324" s="258"/>
      <c r="E324" s="259"/>
      <c r="F324" s="259"/>
      <c r="G324" s="260"/>
      <c r="H324" s="260"/>
    </row>
    <row r="325">
      <c r="B325" s="257"/>
      <c r="C325" s="258"/>
      <c r="D325" s="258"/>
      <c r="E325" s="259"/>
      <c r="F325" s="259"/>
      <c r="G325" s="260"/>
      <c r="H325" s="260"/>
    </row>
    <row r="326">
      <c r="B326" s="257"/>
      <c r="C326" s="258"/>
      <c r="D326" s="258"/>
      <c r="E326" s="259"/>
      <c r="F326" s="259"/>
      <c r="G326" s="260"/>
      <c r="H326" s="260"/>
    </row>
    <row r="327">
      <c r="B327" s="257"/>
      <c r="C327" s="258"/>
      <c r="D327" s="258"/>
      <c r="E327" s="259"/>
      <c r="F327" s="259"/>
      <c r="G327" s="260"/>
      <c r="H327" s="260"/>
    </row>
    <row r="328">
      <c r="B328" s="257"/>
      <c r="C328" s="258"/>
      <c r="D328" s="258"/>
      <c r="E328" s="259"/>
      <c r="F328" s="259"/>
      <c r="G328" s="260"/>
      <c r="H328" s="260"/>
    </row>
    <row r="329">
      <c r="B329" s="257"/>
      <c r="C329" s="258"/>
      <c r="D329" s="258"/>
      <c r="E329" s="259"/>
      <c r="F329" s="259"/>
      <c r="G329" s="260"/>
      <c r="H329" s="260"/>
    </row>
    <row r="330">
      <c r="B330" s="257"/>
      <c r="C330" s="258"/>
      <c r="D330" s="258"/>
      <c r="E330" s="259"/>
      <c r="F330" s="259"/>
      <c r="G330" s="260"/>
      <c r="H330" s="260"/>
    </row>
    <row r="331">
      <c r="B331" s="257"/>
      <c r="C331" s="258"/>
      <c r="D331" s="258"/>
      <c r="E331" s="259"/>
      <c r="F331" s="259"/>
      <c r="G331" s="260"/>
      <c r="H331" s="260"/>
    </row>
    <row r="332">
      <c r="B332" s="257"/>
      <c r="C332" s="258"/>
      <c r="D332" s="258"/>
      <c r="E332" s="259"/>
      <c r="F332" s="259"/>
      <c r="G332" s="260"/>
      <c r="H332" s="260"/>
    </row>
    <row r="333">
      <c r="B333" s="257"/>
      <c r="C333" s="258"/>
      <c r="D333" s="258"/>
      <c r="E333" s="259"/>
      <c r="F333" s="259"/>
      <c r="G333" s="260"/>
      <c r="H333" s="260"/>
    </row>
    <row r="334">
      <c r="B334" s="257"/>
      <c r="C334" s="258"/>
      <c r="D334" s="258"/>
      <c r="E334" s="259"/>
      <c r="F334" s="259"/>
      <c r="G334" s="260"/>
      <c r="H334" s="260"/>
    </row>
    <row r="335">
      <c r="B335" s="257"/>
      <c r="C335" s="258"/>
      <c r="D335" s="258"/>
      <c r="E335" s="259"/>
      <c r="F335" s="259"/>
      <c r="G335" s="260"/>
      <c r="H335" s="260"/>
    </row>
    <row r="336">
      <c r="B336" s="257"/>
      <c r="C336" s="258"/>
      <c r="D336" s="258"/>
      <c r="E336" s="259"/>
      <c r="F336" s="259"/>
      <c r="G336" s="260"/>
      <c r="H336" s="260"/>
    </row>
    <row r="337">
      <c r="B337" s="257"/>
      <c r="C337" s="258"/>
      <c r="D337" s="258"/>
      <c r="E337" s="259"/>
      <c r="F337" s="259"/>
      <c r="G337" s="260"/>
      <c r="H337" s="260"/>
    </row>
    <row r="338">
      <c r="B338" s="257"/>
      <c r="C338" s="258"/>
      <c r="D338" s="258"/>
      <c r="E338" s="259"/>
      <c r="F338" s="259"/>
      <c r="G338" s="260"/>
      <c r="H338" s="260"/>
    </row>
    <row r="339">
      <c r="B339" s="257"/>
      <c r="C339" s="258"/>
      <c r="D339" s="258"/>
      <c r="E339" s="259"/>
      <c r="F339" s="259"/>
      <c r="G339" s="260"/>
      <c r="H339" s="260"/>
    </row>
    <row r="340">
      <c r="B340" s="257"/>
      <c r="C340" s="258"/>
      <c r="D340" s="258"/>
      <c r="E340" s="259"/>
      <c r="F340" s="259"/>
      <c r="G340" s="260"/>
      <c r="H340" s="260"/>
    </row>
    <row r="341">
      <c r="B341" s="257"/>
      <c r="C341" s="258"/>
      <c r="D341" s="258"/>
      <c r="E341" s="259"/>
      <c r="F341" s="259"/>
      <c r="G341" s="260"/>
      <c r="H341" s="260"/>
    </row>
    <row r="342">
      <c r="B342" s="257"/>
      <c r="C342" s="258"/>
      <c r="D342" s="258"/>
      <c r="E342" s="259"/>
      <c r="F342" s="259"/>
      <c r="G342" s="260"/>
      <c r="H342" s="260"/>
    </row>
    <row r="343">
      <c r="B343" s="257"/>
      <c r="C343" s="258"/>
      <c r="D343" s="258"/>
      <c r="E343" s="259"/>
      <c r="F343" s="259"/>
      <c r="G343" s="260"/>
      <c r="H343" s="260"/>
    </row>
    <row r="344">
      <c r="B344" s="257"/>
      <c r="C344" s="258"/>
      <c r="D344" s="258"/>
      <c r="E344" s="259"/>
      <c r="F344" s="259"/>
      <c r="G344" s="260"/>
      <c r="H344" s="260"/>
    </row>
    <row r="345">
      <c r="B345" s="257"/>
      <c r="C345" s="258"/>
      <c r="D345" s="258"/>
      <c r="E345" s="259"/>
      <c r="F345" s="259"/>
      <c r="G345" s="260"/>
      <c r="H345" s="260"/>
    </row>
    <row r="346">
      <c r="B346" s="257"/>
      <c r="C346" s="258"/>
      <c r="D346" s="258"/>
      <c r="E346" s="259"/>
      <c r="F346" s="259"/>
      <c r="G346" s="260"/>
      <c r="H346" s="260"/>
    </row>
    <row r="347">
      <c r="B347" s="257"/>
      <c r="C347" s="258"/>
      <c r="D347" s="258"/>
      <c r="E347" s="259"/>
      <c r="F347" s="259"/>
      <c r="G347" s="260"/>
      <c r="H347" s="260"/>
    </row>
    <row r="348">
      <c r="B348" s="257"/>
      <c r="C348" s="258"/>
      <c r="D348" s="258"/>
      <c r="E348" s="259"/>
      <c r="F348" s="259"/>
      <c r="G348" s="260"/>
      <c r="H348" s="260"/>
    </row>
    <row r="349">
      <c r="B349" s="257"/>
      <c r="C349" s="258"/>
      <c r="D349" s="258"/>
      <c r="E349" s="259"/>
      <c r="F349" s="259"/>
      <c r="G349" s="260"/>
      <c r="H349" s="260"/>
    </row>
    <row r="350">
      <c r="B350" s="257"/>
      <c r="C350" s="258"/>
      <c r="D350" s="258"/>
      <c r="E350" s="259"/>
      <c r="F350" s="259"/>
      <c r="G350" s="260"/>
      <c r="H350" s="260"/>
    </row>
    <row r="351">
      <c r="B351" s="257"/>
      <c r="C351" s="258"/>
      <c r="D351" s="258"/>
      <c r="E351" s="259"/>
      <c r="F351" s="259"/>
      <c r="G351" s="260"/>
      <c r="H351" s="260"/>
    </row>
    <row r="352">
      <c r="B352" s="257"/>
      <c r="C352" s="258"/>
      <c r="D352" s="258"/>
      <c r="E352" s="259"/>
      <c r="F352" s="259"/>
      <c r="G352" s="260"/>
      <c r="H352" s="260"/>
    </row>
    <row r="353">
      <c r="B353" s="257"/>
      <c r="C353" s="258"/>
      <c r="D353" s="258"/>
      <c r="E353" s="259"/>
      <c r="F353" s="259"/>
      <c r="G353" s="260"/>
      <c r="H353" s="260"/>
    </row>
    <row r="354">
      <c r="B354" s="257"/>
      <c r="C354" s="258"/>
      <c r="D354" s="258"/>
      <c r="E354" s="259"/>
      <c r="F354" s="259"/>
      <c r="G354" s="260"/>
      <c r="H354" s="260"/>
    </row>
    <row r="355">
      <c r="B355" s="257"/>
      <c r="C355" s="258"/>
      <c r="D355" s="258"/>
      <c r="E355" s="259"/>
      <c r="F355" s="259"/>
      <c r="G355" s="260"/>
      <c r="H355" s="260"/>
    </row>
    <row r="356">
      <c r="B356" s="257"/>
      <c r="C356" s="258"/>
      <c r="D356" s="258"/>
      <c r="E356" s="259"/>
      <c r="F356" s="259"/>
      <c r="G356" s="260"/>
      <c r="H356" s="260"/>
    </row>
    <row r="357">
      <c r="B357" s="257"/>
      <c r="C357" s="258"/>
      <c r="D357" s="258"/>
      <c r="E357" s="259"/>
      <c r="F357" s="259"/>
      <c r="G357" s="260"/>
      <c r="H357" s="260"/>
    </row>
    <row r="358">
      <c r="B358" s="257"/>
      <c r="C358" s="258"/>
      <c r="D358" s="258"/>
      <c r="E358" s="259"/>
      <c r="F358" s="259"/>
      <c r="G358" s="260"/>
      <c r="H358" s="260"/>
    </row>
    <row r="359">
      <c r="B359" s="257"/>
      <c r="C359" s="258"/>
      <c r="D359" s="258"/>
      <c r="E359" s="259"/>
      <c r="F359" s="259"/>
      <c r="G359" s="260"/>
      <c r="H359" s="260"/>
    </row>
    <row r="360">
      <c r="B360" s="257"/>
      <c r="C360" s="258"/>
      <c r="D360" s="258"/>
      <c r="E360" s="259"/>
      <c r="F360" s="259"/>
      <c r="G360" s="260"/>
      <c r="H360" s="260"/>
    </row>
    <row r="361">
      <c r="B361" s="257"/>
      <c r="C361" s="258"/>
      <c r="D361" s="258"/>
      <c r="E361" s="259"/>
      <c r="F361" s="259"/>
      <c r="G361" s="260"/>
      <c r="H361" s="260"/>
    </row>
    <row r="362">
      <c r="B362" s="257"/>
      <c r="C362" s="258"/>
      <c r="D362" s="258"/>
      <c r="E362" s="259"/>
      <c r="F362" s="259"/>
      <c r="G362" s="260"/>
      <c r="H362" s="260"/>
    </row>
    <row r="363">
      <c r="B363" s="257"/>
      <c r="C363" s="258"/>
      <c r="D363" s="258"/>
      <c r="E363" s="259"/>
      <c r="F363" s="259"/>
      <c r="G363" s="260"/>
      <c r="H363" s="260"/>
    </row>
    <row r="364">
      <c r="B364" s="257"/>
      <c r="C364" s="258"/>
      <c r="D364" s="258"/>
      <c r="E364" s="259"/>
      <c r="F364" s="259"/>
      <c r="G364" s="260"/>
      <c r="H364" s="260"/>
    </row>
    <row r="365">
      <c r="B365" s="257"/>
      <c r="C365" s="258"/>
      <c r="D365" s="258"/>
      <c r="E365" s="259"/>
      <c r="F365" s="259"/>
      <c r="G365" s="260"/>
      <c r="H365" s="260"/>
    </row>
    <row r="366">
      <c r="B366" s="257"/>
      <c r="C366" s="258"/>
      <c r="D366" s="258"/>
      <c r="E366" s="259"/>
      <c r="F366" s="259"/>
      <c r="G366" s="260"/>
      <c r="H366" s="260"/>
    </row>
    <row r="367">
      <c r="B367" s="257"/>
      <c r="C367" s="258"/>
      <c r="D367" s="258"/>
      <c r="E367" s="259"/>
      <c r="F367" s="259"/>
      <c r="G367" s="260"/>
      <c r="H367" s="260"/>
    </row>
    <row r="368">
      <c r="B368" s="257"/>
      <c r="C368" s="258"/>
      <c r="D368" s="258"/>
      <c r="E368" s="259"/>
      <c r="F368" s="259"/>
      <c r="G368" s="260"/>
      <c r="H368" s="260"/>
    </row>
    <row r="369">
      <c r="B369" s="257"/>
      <c r="C369" s="258"/>
      <c r="D369" s="258"/>
      <c r="E369" s="259"/>
      <c r="F369" s="259"/>
      <c r="G369" s="260"/>
      <c r="H369" s="260"/>
    </row>
    <row r="370">
      <c r="B370" s="257"/>
      <c r="C370" s="258"/>
      <c r="D370" s="258"/>
      <c r="E370" s="259"/>
      <c r="F370" s="259"/>
      <c r="G370" s="260"/>
      <c r="H370" s="260"/>
    </row>
    <row r="371">
      <c r="B371" s="257"/>
      <c r="C371" s="258"/>
      <c r="D371" s="258"/>
      <c r="E371" s="259"/>
      <c r="F371" s="259"/>
      <c r="G371" s="260"/>
      <c r="H371" s="260"/>
    </row>
    <row r="372">
      <c r="B372" s="257"/>
      <c r="C372" s="258"/>
      <c r="D372" s="258"/>
      <c r="E372" s="259"/>
      <c r="F372" s="259"/>
      <c r="G372" s="260"/>
      <c r="H372" s="260"/>
    </row>
    <row r="373">
      <c r="B373" s="257"/>
      <c r="C373" s="258"/>
      <c r="D373" s="258"/>
      <c r="E373" s="259"/>
      <c r="F373" s="259"/>
      <c r="G373" s="260"/>
      <c r="H373" s="260"/>
    </row>
    <row r="374">
      <c r="B374" s="257"/>
      <c r="C374" s="258"/>
      <c r="D374" s="258"/>
      <c r="E374" s="259"/>
      <c r="F374" s="259"/>
      <c r="G374" s="260"/>
      <c r="H374" s="260"/>
    </row>
    <row r="375">
      <c r="B375" s="257"/>
      <c r="C375" s="258"/>
      <c r="D375" s="258"/>
      <c r="E375" s="259"/>
      <c r="F375" s="259"/>
      <c r="G375" s="260"/>
      <c r="H375" s="260"/>
    </row>
    <row r="376">
      <c r="B376" s="257"/>
      <c r="C376" s="258"/>
      <c r="D376" s="258"/>
      <c r="E376" s="259"/>
      <c r="F376" s="259"/>
      <c r="G376" s="260"/>
      <c r="H376" s="260"/>
    </row>
    <row r="377">
      <c r="B377" s="257"/>
      <c r="C377" s="258"/>
      <c r="D377" s="258"/>
      <c r="E377" s="259"/>
      <c r="F377" s="259"/>
      <c r="G377" s="260"/>
      <c r="H377" s="260"/>
    </row>
    <row r="378">
      <c r="B378" s="257"/>
      <c r="C378" s="258"/>
      <c r="D378" s="258"/>
      <c r="E378" s="259"/>
      <c r="F378" s="259"/>
      <c r="G378" s="260"/>
      <c r="H378" s="260"/>
    </row>
    <row r="379">
      <c r="B379" s="257"/>
      <c r="C379" s="258"/>
      <c r="D379" s="258"/>
      <c r="E379" s="259"/>
      <c r="F379" s="259"/>
      <c r="G379" s="260"/>
      <c r="H379" s="260"/>
    </row>
    <row r="380">
      <c r="B380" s="257"/>
      <c r="C380" s="258"/>
      <c r="D380" s="258"/>
      <c r="E380" s="259"/>
      <c r="F380" s="259"/>
      <c r="G380" s="260"/>
      <c r="H380" s="260"/>
    </row>
    <row r="381">
      <c r="B381" s="257"/>
      <c r="C381" s="258"/>
      <c r="D381" s="258"/>
      <c r="E381" s="259"/>
      <c r="F381" s="259"/>
      <c r="G381" s="260"/>
      <c r="H381" s="260"/>
    </row>
    <row r="382">
      <c r="B382" s="257"/>
      <c r="C382" s="258"/>
      <c r="D382" s="258"/>
      <c r="E382" s="259"/>
      <c r="F382" s="259"/>
      <c r="G382" s="260"/>
      <c r="H382" s="260"/>
    </row>
    <row r="383">
      <c r="B383" s="257"/>
      <c r="C383" s="258"/>
      <c r="D383" s="258"/>
      <c r="E383" s="259"/>
      <c r="F383" s="259"/>
      <c r="G383" s="260"/>
      <c r="H383" s="260"/>
    </row>
    <row r="384">
      <c r="B384" s="257"/>
      <c r="C384" s="258"/>
      <c r="D384" s="258"/>
      <c r="E384" s="259"/>
      <c r="F384" s="259"/>
      <c r="G384" s="260"/>
      <c r="H384" s="260"/>
    </row>
    <row r="385">
      <c r="B385" s="257"/>
      <c r="C385" s="258"/>
      <c r="D385" s="258"/>
      <c r="E385" s="259"/>
      <c r="F385" s="259"/>
      <c r="G385" s="260"/>
      <c r="H385" s="260"/>
    </row>
    <row r="386">
      <c r="B386" s="257"/>
      <c r="C386" s="258"/>
      <c r="D386" s="258"/>
      <c r="E386" s="259"/>
      <c r="F386" s="259"/>
      <c r="G386" s="260"/>
      <c r="H386" s="260"/>
    </row>
    <row r="387">
      <c r="B387" s="257"/>
      <c r="C387" s="258"/>
      <c r="D387" s="258"/>
      <c r="E387" s="259"/>
      <c r="F387" s="259"/>
      <c r="G387" s="260"/>
      <c r="H387" s="260"/>
    </row>
    <row r="388">
      <c r="B388" s="257"/>
      <c r="C388" s="258"/>
      <c r="D388" s="258"/>
      <c r="E388" s="259"/>
      <c r="F388" s="259"/>
      <c r="G388" s="260"/>
      <c r="H388" s="260"/>
    </row>
    <row r="389">
      <c r="B389" s="257"/>
      <c r="C389" s="258"/>
      <c r="D389" s="258"/>
      <c r="E389" s="259"/>
      <c r="F389" s="259"/>
      <c r="G389" s="260"/>
      <c r="H389" s="260"/>
    </row>
    <row r="390">
      <c r="B390" s="257"/>
      <c r="C390" s="258"/>
      <c r="D390" s="258"/>
      <c r="E390" s="259"/>
      <c r="F390" s="259"/>
      <c r="G390" s="260"/>
      <c r="H390" s="260"/>
    </row>
    <row r="391">
      <c r="B391" s="257"/>
      <c r="C391" s="258"/>
      <c r="D391" s="258"/>
      <c r="E391" s="259"/>
      <c r="F391" s="259"/>
      <c r="G391" s="260"/>
      <c r="H391" s="260"/>
    </row>
    <row r="392">
      <c r="B392" s="257"/>
      <c r="C392" s="258"/>
      <c r="D392" s="258"/>
      <c r="E392" s="259"/>
      <c r="F392" s="259"/>
      <c r="G392" s="260"/>
      <c r="H392" s="260"/>
    </row>
    <row r="393">
      <c r="B393" s="257"/>
      <c r="C393" s="258"/>
      <c r="D393" s="258"/>
      <c r="E393" s="259"/>
      <c r="F393" s="259"/>
      <c r="G393" s="260"/>
      <c r="H393" s="260"/>
    </row>
    <row r="394">
      <c r="B394" s="257"/>
      <c r="C394" s="258"/>
      <c r="D394" s="258"/>
      <c r="E394" s="259"/>
      <c r="F394" s="259"/>
      <c r="G394" s="260"/>
      <c r="H394" s="260"/>
    </row>
    <row r="395">
      <c r="B395" s="257"/>
      <c r="C395" s="258"/>
      <c r="D395" s="258"/>
      <c r="E395" s="259"/>
      <c r="F395" s="259"/>
      <c r="G395" s="260"/>
      <c r="H395" s="260"/>
    </row>
    <row r="396">
      <c r="B396" s="257"/>
      <c r="C396" s="258"/>
      <c r="D396" s="258"/>
      <c r="E396" s="259"/>
      <c r="F396" s="259"/>
      <c r="G396" s="260"/>
      <c r="H396" s="260"/>
    </row>
    <row r="397">
      <c r="B397" s="257"/>
      <c r="C397" s="258"/>
      <c r="D397" s="258"/>
      <c r="E397" s="259"/>
      <c r="F397" s="259"/>
      <c r="G397" s="260"/>
      <c r="H397" s="260"/>
    </row>
    <row r="398">
      <c r="B398" s="257"/>
      <c r="C398" s="258"/>
      <c r="D398" s="258"/>
      <c r="E398" s="259"/>
      <c r="F398" s="259"/>
      <c r="G398" s="260"/>
      <c r="H398" s="260"/>
    </row>
    <row r="399">
      <c r="B399" s="257"/>
      <c r="C399" s="258"/>
      <c r="D399" s="258"/>
      <c r="E399" s="259"/>
      <c r="F399" s="259"/>
      <c r="G399" s="260"/>
      <c r="H399" s="260"/>
    </row>
    <row r="400">
      <c r="B400" s="257"/>
      <c r="C400" s="258"/>
      <c r="D400" s="258"/>
      <c r="E400" s="259"/>
      <c r="F400" s="259"/>
      <c r="G400" s="260"/>
      <c r="H400" s="260"/>
    </row>
    <row r="401">
      <c r="B401" s="257"/>
      <c r="C401" s="258"/>
      <c r="D401" s="258"/>
      <c r="E401" s="259"/>
      <c r="F401" s="259"/>
      <c r="G401" s="260"/>
      <c r="H401" s="260"/>
    </row>
    <row r="402">
      <c r="B402" s="257"/>
      <c r="C402" s="258"/>
      <c r="D402" s="258"/>
      <c r="E402" s="259"/>
      <c r="F402" s="259"/>
      <c r="G402" s="260"/>
      <c r="H402" s="260"/>
    </row>
    <row r="403">
      <c r="B403" s="257"/>
      <c r="C403" s="258"/>
      <c r="D403" s="258"/>
      <c r="E403" s="259"/>
      <c r="F403" s="259"/>
      <c r="G403" s="260"/>
      <c r="H403" s="260"/>
    </row>
    <row r="404">
      <c r="B404" s="257"/>
      <c r="C404" s="258"/>
      <c r="D404" s="258"/>
      <c r="E404" s="259"/>
      <c r="F404" s="259"/>
      <c r="G404" s="260"/>
      <c r="H404" s="260"/>
    </row>
    <row r="405">
      <c r="B405" s="257"/>
      <c r="C405" s="258"/>
      <c r="D405" s="258"/>
      <c r="E405" s="259"/>
      <c r="F405" s="259"/>
      <c r="G405" s="260"/>
      <c r="H405" s="260"/>
    </row>
    <row r="406">
      <c r="B406" s="257"/>
      <c r="C406" s="258"/>
      <c r="D406" s="258"/>
      <c r="E406" s="259"/>
      <c r="F406" s="259"/>
      <c r="G406" s="260"/>
      <c r="H406" s="260"/>
    </row>
    <row r="407">
      <c r="B407" s="257"/>
      <c r="C407" s="258"/>
      <c r="D407" s="258"/>
      <c r="E407" s="259"/>
      <c r="F407" s="259"/>
      <c r="G407" s="260"/>
      <c r="H407" s="260"/>
    </row>
    <row r="408">
      <c r="B408" s="257"/>
      <c r="C408" s="258"/>
      <c r="D408" s="258"/>
      <c r="E408" s="259"/>
      <c r="F408" s="259"/>
      <c r="G408" s="260"/>
      <c r="H408" s="260"/>
    </row>
    <row r="409">
      <c r="B409" s="257"/>
      <c r="C409" s="258"/>
      <c r="D409" s="258"/>
      <c r="E409" s="259"/>
      <c r="F409" s="259"/>
      <c r="G409" s="260"/>
      <c r="H409" s="260"/>
    </row>
    <row r="410">
      <c r="B410" s="257"/>
      <c r="C410" s="258"/>
      <c r="D410" s="258"/>
      <c r="E410" s="259"/>
      <c r="F410" s="259"/>
      <c r="G410" s="260"/>
      <c r="H410" s="260"/>
    </row>
    <row r="411">
      <c r="B411" s="257"/>
      <c r="C411" s="258"/>
      <c r="D411" s="258"/>
      <c r="E411" s="259"/>
      <c r="F411" s="259"/>
      <c r="G411" s="260"/>
      <c r="H411" s="260"/>
    </row>
    <row r="412">
      <c r="B412" s="257"/>
      <c r="C412" s="258"/>
      <c r="D412" s="258"/>
      <c r="E412" s="259"/>
      <c r="F412" s="259"/>
      <c r="G412" s="260"/>
      <c r="H412" s="260"/>
    </row>
    <row r="413">
      <c r="B413" s="257"/>
      <c r="C413" s="258"/>
      <c r="D413" s="258"/>
      <c r="E413" s="259"/>
      <c r="F413" s="259"/>
      <c r="G413" s="260"/>
      <c r="H413" s="260"/>
    </row>
    <row r="414">
      <c r="B414" s="257"/>
      <c r="C414" s="258"/>
      <c r="D414" s="258"/>
      <c r="E414" s="259"/>
      <c r="F414" s="259"/>
      <c r="G414" s="260"/>
      <c r="H414" s="260"/>
    </row>
    <row r="415">
      <c r="B415" s="257"/>
      <c r="C415" s="258"/>
      <c r="D415" s="258"/>
      <c r="E415" s="259"/>
      <c r="F415" s="259"/>
      <c r="G415" s="260"/>
      <c r="H415" s="260"/>
    </row>
    <row r="416">
      <c r="B416" s="257"/>
      <c r="C416" s="258"/>
      <c r="D416" s="258"/>
      <c r="E416" s="259"/>
      <c r="F416" s="259"/>
      <c r="G416" s="260"/>
      <c r="H416" s="260"/>
    </row>
    <row r="417">
      <c r="B417" s="257"/>
      <c r="C417" s="258"/>
      <c r="D417" s="258"/>
      <c r="E417" s="259"/>
      <c r="F417" s="259"/>
      <c r="G417" s="260"/>
      <c r="H417" s="260"/>
    </row>
    <row r="418">
      <c r="B418" s="257"/>
      <c r="C418" s="258"/>
      <c r="D418" s="258"/>
      <c r="E418" s="259"/>
      <c r="F418" s="259"/>
      <c r="G418" s="260"/>
      <c r="H418" s="260"/>
    </row>
    <row r="419">
      <c r="B419" s="257"/>
      <c r="C419" s="258"/>
      <c r="D419" s="258"/>
      <c r="E419" s="259"/>
      <c r="F419" s="259"/>
      <c r="G419" s="260"/>
      <c r="H419" s="260"/>
    </row>
    <row r="420">
      <c r="B420" s="257"/>
      <c r="C420" s="258"/>
      <c r="D420" s="258"/>
      <c r="E420" s="259"/>
      <c r="F420" s="259"/>
      <c r="G420" s="260"/>
      <c r="H420" s="260"/>
    </row>
    <row r="421">
      <c r="B421" s="257"/>
      <c r="C421" s="258"/>
      <c r="D421" s="258"/>
      <c r="E421" s="259"/>
      <c r="F421" s="259"/>
      <c r="G421" s="260"/>
      <c r="H421" s="260"/>
    </row>
    <row r="422">
      <c r="B422" s="257"/>
      <c r="C422" s="258"/>
      <c r="D422" s="258"/>
      <c r="E422" s="259"/>
      <c r="F422" s="259"/>
      <c r="G422" s="260"/>
      <c r="H422" s="260"/>
    </row>
    <row r="423">
      <c r="B423" s="257"/>
      <c r="C423" s="258"/>
      <c r="D423" s="258"/>
      <c r="E423" s="259"/>
      <c r="F423" s="259"/>
      <c r="G423" s="260"/>
      <c r="H423" s="260"/>
    </row>
    <row r="424">
      <c r="B424" s="257"/>
      <c r="C424" s="258"/>
      <c r="D424" s="258"/>
      <c r="E424" s="259"/>
      <c r="F424" s="259"/>
      <c r="G424" s="260"/>
      <c r="H424" s="260"/>
    </row>
    <row r="425">
      <c r="B425" s="257"/>
      <c r="C425" s="258"/>
      <c r="D425" s="258"/>
      <c r="E425" s="259"/>
      <c r="F425" s="259"/>
      <c r="G425" s="260"/>
      <c r="H425" s="260"/>
    </row>
    <row r="426">
      <c r="B426" s="257"/>
      <c r="C426" s="258"/>
      <c r="D426" s="258"/>
      <c r="E426" s="259"/>
      <c r="F426" s="259"/>
      <c r="G426" s="260"/>
      <c r="H426" s="260"/>
    </row>
    <row r="427">
      <c r="B427" s="257"/>
      <c r="C427" s="258"/>
      <c r="D427" s="258"/>
      <c r="E427" s="259"/>
      <c r="F427" s="259"/>
      <c r="G427" s="260"/>
      <c r="H427" s="260"/>
    </row>
    <row r="428">
      <c r="B428" s="257"/>
      <c r="C428" s="258"/>
      <c r="D428" s="258"/>
      <c r="E428" s="259"/>
      <c r="F428" s="259"/>
      <c r="G428" s="260"/>
      <c r="H428" s="260"/>
    </row>
    <row r="429">
      <c r="B429" s="257"/>
      <c r="C429" s="258"/>
      <c r="D429" s="258"/>
      <c r="E429" s="259"/>
      <c r="F429" s="259"/>
      <c r="G429" s="260"/>
      <c r="H429" s="260"/>
    </row>
    <row r="430">
      <c r="B430" s="257"/>
      <c r="C430" s="258"/>
      <c r="D430" s="258"/>
      <c r="E430" s="259"/>
      <c r="F430" s="259"/>
      <c r="G430" s="260"/>
      <c r="H430" s="260"/>
    </row>
    <row r="431">
      <c r="B431" s="257"/>
      <c r="C431" s="258"/>
      <c r="D431" s="258"/>
      <c r="E431" s="259"/>
      <c r="F431" s="259"/>
      <c r="G431" s="260"/>
      <c r="H431" s="260"/>
    </row>
    <row r="432">
      <c r="B432" s="257"/>
      <c r="C432" s="258"/>
      <c r="D432" s="258"/>
      <c r="E432" s="259"/>
      <c r="F432" s="259"/>
      <c r="G432" s="260"/>
      <c r="H432" s="260"/>
    </row>
    <row r="433">
      <c r="B433" s="257"/>
      <c r="C433" s="258"/>
      <c r="D433" s="258"/>
      <c r="E433" s="259"/>
      <c r="F433" s="259"/>
      <c r="G433" s="260"/>
      <c r="H433" s="260"/>
    </row>
    <row r="434">
      <c r="B434" s="257"/>
      <c r="C434" s="258"/>
      <c r="D434" s="258"/>
      <c r="E434" s="259"/>
      <c r="F434" s="259"/>
      <c r="G434" s="260"/>
      <c r="H434" s="260"/>
    </row>
    <row r="435">
      <c r="B435" s="257"/>
      <c r="C435" s="258"/>
      <c r="D435" s="258"/>
      <c r="E435" s="259"/>
      <c r="F435" s="259"/>
      <c r="G435" s="260"/>
      <c r="H435" s="260"/>
    </row>
    <row r="436">
      <c r="B436" s="257"/>
      <c r="C436" s="258"/>
      <c r="D436" s="258"/>
      <c r="E436" s="259"/>
      <c r="F436" s="259"/>
      <c r="G436" s="260"/>
      <c r="H436" s="260"/>
    </row>
    <row r="437">
      <c r="B437" s="257"/>
      <c r="C437" s="258"/>
      <c r="D437" s="258"/>
      <c r="E437" s="259"/>
      <c r="F437" s="259"/>
      <c r="G437" s="260"/>
      <c r="H437" s="260"/>
    </row>
    <row r="438">
      <c r="B438" s="257"/>
      <c r="C438" s="258"/>
      <c r="D438" s="258"/>
      <c r="E438" s="259"/>
      <c r="F438" s="259"/>
      <c r="G438" s="260"/>
      <c r="H438" s="260"/>
    </row>
    <row r="439">
      <c r="B439" s="257"/>
      <c r="C439" s="258"/>
      <c r="D439" s="258"/>
      <c r="E439" s="259"/>
      <c r="F439" s="259"/>
      <c r="G439" s="260"/>
      <c r="H439" s="260"/>
    </row>
    <row r="440">
      <c r="B440" s="257"/>
      <c r="C440" s="258"/>
      <c r="D440" s="258"/>
      <c r="E440" s="259"/>
      <c r="F440" s="259"/>
      <c r="G440" s="260"/>
      <c r="H440" s="260"/>
    </row>
    <row r="441">
      <c r="B441" s="257"/>
      <c r="C441" s="258"/>
      <c r="D441" s="258"/>
      <c r="E441" s="259"/>
      <c r="F441" s="259"/>
      <c r="G441" s="260"/>
      <c r="H441" s="260"/>
    </row>
    <row r="442">
      <c r="B442" s="257"/>
      <c r="C442" s="258"/>
      <c r="D442" s="258"/>
      <c r="E442" s="259"/>
      <c r="F442" s="259"/>
      <c r="G442" s="260"/>
      <c r="H442" s="260"/>
    </row>
    <row r="443">
      <c r="B443" s="257"/>
      <c r="C443" s="258"/>
      <c r="D443" s="258"/>
      <c r="E443" s="259"/>
      <c r="F443" s="259"/>
      <c r="G443" s="260"/>
      <c r="H443" s="260"/>
    </row>
    <row r="444">
      <c r="B444" s="257"/>
      <c r="C444" s="258"/>
      <c r="D444" s="258"/>
      <c r="E444" s="259"/>
      <c r="F444" s="259"/>
      <c r="G444" s="260"/>
      <c r="H444" s="260"/>
    </row>
    <row r="445">
      <c r="B445" s="257"/>
      <c r="C445" s="258"/>
      <c r="D445" s="258"/>
      <c r="E445" s="259"/>
      <c r="F445" s="259"/>
      <c r="G445" s="260"/>
      <c r="H445" s="260"/>
    </row>
    <row r="446">
      <c r="B446" s="257"/>
      <c r="C446" s="258"/>
      <c r="D446" s="258"/>
      <c r="E446" s="259"/>
      <c r="F446" s="259"/>
      <c r="G446" s="260"/>
      <c r="H446" s="260"/>
    </row>
    <row r="447">
      <c r="B447" s="257"/>
      <c r="C447" s="258"/>
      <c r="D447" s="258"/>
      <c r="E447" s="259"/>
      <c r="F447" s="259"/>
      <c r="G447" s="260"/>
      <c r="H447" s="260"/>
    </row>
    <row r="448">
      <c r="B448" s="257"/>
      <c r="C448" s="258"/>
      <c r="D448" s="258"/>
      <c r="E448" s="259"/>
      <c r="F448" s="259"/>
      <c r="G448" s="260"/>
      <c r="H448" s="260"/>
    </row>
    <row r="449">
      <c r="B449" s="257"/>
      <c r="C449" s="258"/>
      <c r="D449" s="258"/>
      <c r="E449" s="259"/>
      <c r="F449" s="259"/>
      <c r="G449" s="260"/>
      <c r="H449" s="260"/>
    </row>
    <row r="450">
      <c r="B450" s="257"/>
      <c r="C450" s="258"/>
      <c r="D450" s="258"/>
      <c r="E450" s="259"/>
      <c r="F450" s="259"/>
      <c r="G450" s="260"/>
      <c r="H450" s="260"/>
    </row>
    <row r="451">
      <c r="B451" s="257"/>
      <c r="C451" s="258"/>
      <c r="D451" s="258"/>
      <c r="E451" s="259"/>
      <c r="F451" s="259"/>
      <c r="G451" s="260"/>
      <c r="H451" s="260"/>
    </row>
    <row r="452">
      <c r="B452" s="257"/>
      <c r="C452" s="258"/>
      <c r="D452" s="258"/>
      <c r="E452" s="259"/>
      <c r="F452" s="259"/>
      <c r="G452" s="260"/>
      <c r="H452" s="260"/>
    </row>
    <row r="453">
      <c r="B453" s="257"/>
      <c r="C453" s="258"/>
      <c r="D453" s="258"/>
      <c r="E453" s="259"/>
      <c r="F453" s="259"/>
      <c r="G453" s="260"/>
      <c r="H453" s="260"/>
    </row>
    <row r="454">
      <c r="B454" s="257"/>
      <c r="C454" s="258"/>
      <c r="D454" s="258"/>
      <c r="E454" s="259"/>
      <c r="F454" s="259"/>
      <c r="G454" s="260"/>
      <c r="H454" s="260"/>
    </row>
    <row r="455">
      <c r="B455" s="257"/>
      <c r="C455" s="258"/>
      <c r="D455" s="258"/>
      <c r="E455" s="259"/>
      <c r="F455" s="259"/>
      <c r="G455" s="260"/>
      <c r="H455" s="260"/>
    </row>
    <row r="456">
      <c r="B456" s="257"/>
      <c r="C456" s="258"/>
      <c r="D456" s="258"/>
      <c r="E456" s="259"/>
      <c r="F456" s="259"/>
      <c r="G456" s="260"/>
      <c r="H456" s="260"/>
    </row>
    <row r="457">
      <c r="B457" s="257"/>
      <c r="C457" s="258"/>
      <c r="D457" s="258"/>
      <c r="E457" s="259"/>
      <c r="F457" s="259"/>
      <c r="G457" s="260"/>
      <c r="H457" s="260"/>
    </row>
    <row r="458">
      <c r="B458" s="257"/>
      <c r="C458" s="258"/>
      <c r="D458" s="258"/>
      <c r="E458" s="259"/>
      <c r="F458" s="259"/>
      <c r="G458" s="260"/>
      <c r="H458" s="260"/>
    </row>
    <row r="459">
      <c r="B459" s="257"/>
      <c r="C459" s="258"/>
      <c r="D459" s="258"/>
      <c r="E459" s="259"/>
      <c r="F459" s="259"/>
      <c r="G459" s="260"/>
      <c r="H459" s="260"/>
    </row>
    <row r="460">
      <c r="B460" s="257"/>
      <c r="C460" s="258"/>
      <c r="D460" s="258"/>
      <c r="E460" s="259"/>
      <c r="F460" s="259"/>
      <c r="G460" s="260"/>
      <c r="H460" s="260"/>
    </row>
    <row r="461">
      <c r="B461" s="257"/>
      <c r="C461" s="258"/>
      <c r="D461" s="258"/>
      <c r="E461" s="259"/>
      <c r="F461" s="259"/>
      <c r="G461" s="260"/>
      <c r="H461" s="260"/>
    </row>
    <row r="462">
      <c r="B462" s="257"/>
      <c r="C462" s="258"/>
      <c r="D462" s="258"/>
      <c r="E462" s="259"/>
      <c r="F462" s="259"/>
      <c r="G462" s="260"/>
      <c r="H462" s="260"/>
    </row>
    <row r="463">
      <c r="B463" s="257"/>
      <c r="C463" s="258"/>
      <c r="D463" s="258"/>
      <c r="E463" s="259"/>
      <c r="F463" s="259"/>
      <c r="G463" s="260"/>
      <c r="H463" s="260"/>
    </row>
    <row r="464">
      <c r="B464" s="257"/>
      <c r="C464" s="258"/>
      <c r="D464" s="258"/>
      <c r="E464" s="259"/>
      <c r="F464" s="259"/>
      <c r="G464" s="260"/>
      <c r="H464" s="260"/>
    </row>
    <row r="465">
      <c r="B465" s="257"/>
      <c r="C465" s="258"/>
      <c r="D465" s="258"/>
      <c r="E465" s="259"/>
      <c r="F465" s="259"/>
      <c r="G465" s="260"/>
      <c r="H465" s="260"/>
    </row>
    <row r="466">
      <c r="B466" s="257"/>
      <c r="C466" s="258"/>
      <c r="D466" s="258"/>
      <c r="E466" s="259"/>
      <c r="F466" s="259"/>
      <c r="G466" s="260"/>
      <c r="H466" s="260"/>
    </row>
    <row r="467">
      <c r="B467" s="257"/>
      <c r="C467" s="258"/>
      <c r="D467" s="258"/>
      <c r="E467" s="259"/>
      <c r="F467" s="259"/>
      <c r="G467" s="260"/>
      <c r="H467" s="260"/>
    </row>
    <row r="468">
      <c r="B468" s="257"/>
      <c r="C468" s="258"/>
      <c r="D468" s="258"/>
      <c r="E468" s="259"/>
      <c r="F468" s="259"/>
      <c r="G468" s="260"/>
      <c r="H468" s="260"/>
    </row>
    <row r="469">
      <c r="B469" s="257"/>
      <c r="C469" s="258"/>
      <c r="D469" s="258"/>
      <c r="E469" s="259"/>
      <c r="F469" s="259"/>
      <c r="G469" s="260"/>
      <c r="H469" s="260"/>
    </row>
    <row r="470">
      <c r="B470" s="257"/>
      <c r="C470" s="258"/>
      <c r="D470" s="258"/>
      <c r="E470" s="259"/>
      <c r="F470" s="259"/>
      <c r="G470" s="260"/>
      <c r="H470" s="260"/>
    </row>
    <row r="471">
      <c r="B471" s="257"/>
      <c r="C471" s="258"/>
      <c r="D471" s="258"/>
      <c r="E471" s="259"/>
      <c r="F471" s="259"/>
      <c r="G471" s="260"/>
      <c r="H471" s="260"/>
    </row>
    <row r="472">
      <c r="B472" s="257"/>
      <c r="C472" s="258"/>
      <c r="D472" s="258"/>
      <c r="E472" s="259"/>
      <c r="F472" s="259"/>
      <c r="G472" s="260"/>
      <c r="H472" s="260"/>
    </row>
    <row r="473">
      <c r="B473" s="257"/>
      <c r="C473" s="258"/>
      <c r="D473" s="258"/>
      <c r="E473" s="259"/>
      <c r="F473" s="259"/>
      <c r="G473" s="260"/>
      <c r="H473" s="260"/>
    </row>
    <row r="474">
      <c r="B474" s="257"/>
      <c r="C474" s="258"/>
      <c r="D474" s="258"/>
      <c r="E474" s="259"/>
      <c r="F474" s="259"/>
      <c r="G474" s="260"/>
      <c r="H474" s="260"/>
    </row>
    <row r="475">
      <c r="B475" s="257"/>
      <c r="C475" s="258"/>
      <c r="D475" s="258"/>
      <c r="E475" s="259"/>
      <c r="F475" s="259"/>
      <c r="G475" s="260"/>
      <c r="H475" s="260"/>
    </row>
    <row r="476">
      <c r="B476" s="257"/>
      <c r="C476" s="258"/>
      <c r="D476" s="258"/>
      <c r="E476" s="259"/>
      <c r="F476" s="259"/>
      <c r="G476" s="260"/>
      <c r="H476" s="260"/>
    </row>
    <row r="477">
      <c r="B477" s="257"/>
      <c r="C477" s="258"/>
      <c r="D477" s="258"/>
      <c r="E477" s="259"/>
      <c r="F477" s="259"/>
      <c r="G477" s="260"/>
      <c r="H477" s="260"/>
    </row>
    <row r="478">
      <c r="B478" s="257"/>
      <c r="C478" s="258"/>
      <c r="D478" s="258"/>
      <c r="E478" s="259"/>
      <c r="F478" s="259"/>
      <c r="G478" s="260"/>
      <c r="H478" s="260"/>
    </row>
    <row r="479">
      <c r="B479" s="257"/>
      <c r="C479" s="258"/>
      <c r="D479" s="258"/>
      <c r="E479" s="259"/>
      <c r="F479" s="259"/>
      <c r="G479" s="260"/>
      <c r="H479" s="260"/>
    </row>
    <row r="480">
      <c r="B480" s="257"/>
      <c r="C480" s="258"/>
      <c r="D480" s="258"/>
      <c r="E480" s="259"/>
      <c r="F480" s="259"/>
      <c r="G480" s="260"/>
      <c r="H480" s="260"/>
    </row>
    <row r="481">
      <c r="B481" s="257"/>
      <c r="C481" s="258"/>
      <c r="D481" s="258"/>
      <c r="E481" s="259"/>
      <c r="F481" s="259"/>
      <c r="G481" s="260"/>
      <c r="H481" s="260"/>
    </row>
    <row r="482">
      <c r="B482" s="257"/>
      <c r="C482" s="258"/>
      <c r="D482" s="258"/>
      <c r="E482" s="259"/>
      <c r="F482" s="259"/>
      <c r="G482" s="260"/>
      <c r="H482" s="260"/>
    </row>
    <row r="483">
      <c r="B483" s="257"/>
      <c r="C483" s="258"/>
      <c r="D483" s="258"/>
      <c r="E483" s="259"/>
      <c r="F483" s="259"/>
      <c r="G483" s="260"/>
      <c r="H483" s="260"/>
    </row>
    <row r="484">
      <c r="B484" s="257"/>
      <c r="C484" s="258"/>
      <c r="D484" s="258"/>
      <c r="E484" s="259"/>
      <c r="F484" s="259"/>
      <c r="G484" s="260"/>
      <c r="H484" s="260"/>
    </row>
    <row r="485">
      <c r="B485" s="257"/>
      <c r="C485" s="258"/>
      <c r="D485" s="258"/>
      <c r="E485" s="259"/>
      <c r="F485" s="259"/>
      <c r="G485" s="260"/>
      <c r="H485" s="260"/>
    </row>
    <row r="486">
      <c r="B486" s="257"/>
      <c r="C486" s="258"/>
      <c r="D486" s="258"/>
      <c r="E486" s="259"/>
      <c r="F486" s="259"/>
      <c r="G486" s="260"/>
      <c r="H486" s="260"/>
    </row>
    <row r="487">
      <c r="B487" s="257"/>
      <c r="C487" s="258"/>
      <c r="D487" s="258"/>
      <c r="E487" s="259"/>
      <c r="F487" s="259"/>
      <c r="G487" s="260"/>
      <c r="H487" s="260"/>
    </row>
    <row r="488">
      <c r="B488" s="257"/>
      <c r="C488" s="258"/>
      <c r="D488" s="258"/>
      <c r="E488" s="259"/>
      <c r="F488" s="259"/>
      <c r="G488" s="260"/>
      <c r="H488" s="260"/>
    </row>
    <row r="489">
      <c r="B489" s="257"/>
      <c r="C489" s="258"/>
      <c r="D489" s="258"/>
      <c r="E489" s="259"/>
      <c r="F489" s="259"/>
      <c r="G489" s="260"/>
      <c r="H489" s="260"/>
    </row>
    <row r="490">
      <c r="B490" s="257"/>
      <c r="C490" s="258"/>
      <c r="D490" s="258"/>
      <c r="E490" s="259"/>
      <c r="F490" s="259"/>
      <c r="G490" s="260"/>
      <c r="H490" s="260"/>
    </row>
    <row r="491">
      <c r="B491" s="257"/>
      <c r="C491" s="258"/>
      <c r="D491" s="258"/>
      <c r="E491" s="259"/>
      <c r="F491" s="259"/>
      <c r="G491" s="260"/>
      <c r="H491" s="260"/>
    </row>
    <row r="492">
      <c r="B492" s="257"/>
      <c r="C492" s="258"/>
      <c r="D492" s="258"/>
      <c r="E492" s="259"/>
      <c r="F492" s="259"/>
      <c r="G492" s="260"/>
      <c r="H492" s="260"/>
    </row>
    <row r="493">
      <c r="B493" s="257"/>
      <c r="C493" s="258"/>
      <c r="D493" s="258"/>
      <c r="E493" s="259"/>
      <c r="F493" s="259"/>
      <c r="G493" s="260"/>
      <c r="H493" s="260"/>
    </row>
    <row r="494">
      <c r="B494" s="257"/>
      <c r="C494" s="258"/>
      <c r="D494" s="258"/>
      <c r="E494" s="259"/>
      <c r="F494" s="259"/>
      <c r="G494" s="260"/>
      <c r="H494" s="260"/>
    </row>
    <row r="495">
      <c r="B495" s="257"/>
      <c r="C495" s="258"/>
      <c r="D495" s="258"/>
      <c r="E495" s="259"/>
      <c r="F495" s="259"/>
      <c r="G495" s="260"/>
      <c r="H495" s="260"/>
    </row>
    <row r="496">
      <c r="B496" s="257"/>
      <c r="C496" s="258"/>
      <c r="D496" s="258"/>
      <c r="E496" s="259"/>
      <c r="F496" s="259"/>
      <c r="G496" s="260"/>
      <c r="H496" s="260"/>
    </row>
    <row r="497">
      <c r="B497" s="257"/>
      <c r="C497" s="258"/>
      <c r="D497" s="258"/>
      <c r="E497" s="259"/>
      <c r="F497" s="259"/>
      <c r="G497" s="260"/>
      <c r="H497" s="260"/>
    </row>
    <row r="498">
      <c r="B498" s="257"/>
      <c r="C498" s="258"/>
      <c r="D498" s="258"/>
      <c r="E498" s="259"/>
      <c r="F498" s="259"/>
      <c r="G498" s="260"/>
      <c r="H498" s="260"/>
    </row>
    <row r="499">
      <c r="B499" s="257"/>
      <c r="C499" s="258"/>
      <c r="D499" s="258"/>
      <c r="E499" s="259"/>
      <c r="F499" s="259"/>
      <c r="G499" s="260"/>
      <c r="H499" s="260"/>
    </row>
    <row r="500">
      <c r="B500" s="257"/>
      <c r="C500" s="258"/>
      <c r="D500" s="258"/>
      <c r="E500" s="259"/>
      <c r="F500" s="259"/>
      <c r="G500" s="260"/>
      <c r="H500" s="260"/>
    </row>
    <row r="501">
      <c r="B501" s="257"/>
      <c r="C501" s="258"/>
      <c r="D501" s="258"/>
      <c r="E501" s="259"/>
      <c r="F501" s="259"/>
      <c r="G501" s="260"/>
      <c r="H501" s="260"/>
    </row>
    <row r="502">
      <c r="B502" s="257"/>
      <c r="C502" s="258"/>
      <c r="D502" s="258"/>
      <c r="E502" s="259"/>
      <c r="F502" s="259"/>
      <c r="G502" s="260"/>
      <c r="H502" s="260"/>
    </row>
    <row r="503">
      <c r="B503" s="257"/>
      <c r="C503" s="258"/>
      <c r="D503" s="258"/>
      <c r="E503" s="259"/>
      <c r="F503" s="259"/>
      <c r="G503" s="260"/>
      <c r="H503" s="260"/>
    </row>
    <row r="504">
      <c r="B504" s="257"/>
      <c r="C504" s="258"/>
      <c r="D504" s="258"/>
      <c r="E504" s="259"/>
      <c r="F504" s="259"/>
      <c r="G504" s="260"/>
      <c r="H504" s="260"/>
    </row>
    <row r="505">
      <c r="B505" s="257"/>
      <c r="C505" s="258"/>
      <c r="D505" s="258"/>
      <c r="E505" s="259"/>
      <c r="F505" s="259"/>
      <c r="G505" s="260"/>
      <c r="H505" s="260"/>
    </row>
    <row r="506">
      <c r="B506" s="257"/>
      <c r="C506" s="258"/>
      <c r="D506" s="258"/>
      <c r="E506" s="259"/>
      <c r="F506" s="259"/>
      <c r="G506" s="260"/>
      <c r="H506" s="260"/>
    </row>
    <row r="507">
      <c r="B507" s="257"/>
      <c r="C507" s="258"/>
      <c r="D507" s="258"/>
      <c r="E507" s="259"/>
      <c r="F507" s="259"/>
      <c r="G507" s="260"/>
      <c r="H507" s="260"/>
    </row>
    <row r="508">
      <c r="B508" s="257"/>
      <c r="C508" s="258"/>
      <c r="D508" s="258"/>
      <c r="E508" s="259"/>
      <c r="F508" s="259"/>
      <c r="G508" s="260"/>
      <c r="H508" s="260"/>
    </row>
    <row r="509">
      <c r="B509" s="257"/>
      <c r="C509" s="258"/>
      <c r="D509" s="258"/>
      <c r="E509" s="259"/>
      <c r="F509" s="259"/>
      <c r="G509" s="260"/>
      <c r="H509" s="260"/>
    </row>
    <row r="510">
      <c r="B510" s="257"/>
      <c r="C510" s="258"/>
      <c r="D510" s="258"/>
      <c r="E510" s="259"/>
      <c r="F510" s="259"/>
      <c r="G510" s="260"/>
      <c r="H510" s="260"/>
    </row>
    <row r="511">
      <c r="B511" s="257"/>
      <c r="C511" s="258"/>
      <c r="D511" s="258"/>
      <c r="E511" s="259"/>
      <c r="F511" s="259"/>
      <c r="G511" s="260"/>
      <c r="H511" s="260"/>
    </row>
    <row r="512">
      <c r="B512" s="257"/>
      <c r="C512" s="258"/>
      <c r="D512" s="258"/>
      <c r="E512" s="259"/>
      <c r="F512" s="259"/>
      <c r="G512" s="260"/>
      <c r="H512" s="260"/>
    </row>
    <row r="513">
      <c r="B513" s="257"/>
      <c r="C513" s="258"/>
      <c r="D513" s="258"/>
      <c r="E513" s="259"/>
      <c r="F513" s="259"/>
      <c r="G513" s="260"/>
      <c r="H513" s="260"/>
    </row>
    <row r="514">
      <c r="B514" s="257"/>
      <c r="C514" s="258"/>
      <c r="D514" s="258"/>
      <c r="E514" s="259"/>
      <c r="F514" s="259"/>
      <c r="G514" s="260"/>
      <c r="H514" s="260"/>
    </row>
    <row r="515">
      <c r="B515" s="257"/>
      <c r="C515" s="258"/>
      <c r="D515" s="258"/>
      <c r="E515" s="259"/>
      <c r="F515" s="259"/>
      <c r="G515" s="260"/>
      <c r="H515" s="260"/>
    </row>
    <row r="516">
      <c r="B516" s="257"/>
      <c r="C516" s="258"/>
      <c r="D516" s="258"/>
      <c r="E516" s="259"/>
      <c r="F516" s="259"/>
      <c r="G516" s="260"/>
      <c r="H516" s="260"/>
    </row>
    <row r="517">
      <c r="B517" s="257"/>
      <c r="C517" s="258"/>
      <c r="D517" s="258"/>
      <c r="E517" s="259"/>
      <c r="F517" s="259"/>
      <c r="G517" s="260"/>
      <c r="H517" s="260"/>
    </row>
    <row r="518">
      <c r="B518" s="257"/>
      <c r="C518" s="258"/>
      <c r="D518" s="258"/>
      <c r="E518" s="259"/>
      <c r="F518" s="259"/>
      <c r="G518" s="260"/>
      <c r="H518" s="260"/>
    </row>
    <row r="519">
      <c r="B519" s="257"/>
      <c r="C519" s="258"/>
      <c r="D519" s="258"/>
      <c r="E519" s="259"/>
      <c r="F519" s="259"/>
      <c r="G519" s="260"/>
      <c r="H519" s="260"/>
    </row>
    <row r="520">
      <c r="B520" s="257"/>
      <c r="C520" s="258"/>
      <c r="D520" s="258"/>
      <c r="E520" s="259"/>
      <c r="F520" s="259"/>
      <c r="G520" s="260"/>
      <c r="H520" s="260"/>
    </row>
    <row r="521">
      <c r="B521" s="257"/>
      <c r="C521" s="258"/>
      <c r="D521" s="258"/>
      <c r="E521" s="259"/>
      <c r="F521" s="259"/>
      <c r="G521" s="260"/>
      <c r="H521" s="260"/>
    </row>
    <row r="522">
      <c r="B522" s="257"/>
      <c r="C522" s="258"/>
      <c r="D522" s="258"/>
      <c r="E522" s="259"/>
      <c r="F522" s="259"/>
      <c r="G522" s="260"/>
      <c r="H522" s="260"/>
    </row>
    <row r="523">
      <c r="B523" s="257"/>
      <c r="C523" s="258"/>
      <c r="D523" s="258"/>
      <c r="E523" s="259"/>
      <c r="F523" s="259"/>
      <c r="G523" s="260"/>
      <c r="H523" s="260"/>
    </row>
    <row r="524">
      <c r="B524" s="257"/>
      <c r="C524" s="258"/>
      <c r="D524" s="258"/>
      <c r="E524" s="259"/>
      <c r="F524" s="259"/>
      <c r="G524" s="260"/>
      <c r="H524" s="260"/>
    </row>
    <row r="525">
      <c r="B525" s="257"/>
      <c r="C525" s="258"/>
      <c r="D525" s="258"/>
      <c r="E525" s="259"/>
      <c r="F525" s="259"/>
      <c r="G525" s="260"/>
      <c r="H525" s="260"/>
    </row>
    <row r="526">
      <c r="B526" s="257"/>
      <c r="C526" s="258"/>
      <c r="D526" s="258"/>
      <c r="E526" s="259"/>
      <c r="F526" s="259"/>
      <c r="G526" s="260"/>
      <c r="H526" s="260"/>
    </row>
    <row r="527">
      <c r="B527" s="257"/>
      <c r="C527" s="258"/>
      <c r="D527" s="258"/>
      <c r="E527" s="259"/>
      <c r="F527" s="259"/>
      <c r="G527" s="260"/>
      <c r="H527" s="260"/>
    </row>
    <row r="528">
      <c r="B528" s="257"/>
      <c r="C528" s="258"/>
      <c r="D528" s="258"/>
      <c r="E528" s="259"/>
      <c r="F528" s="259"/>
      <c r="G528" s="260"/>
      <c r="H528" s="260"/>
    </row>
    <row r="529">
      <c r="B529" s="257"/>
      <c r="C529" s="258"/>
      <c r="D529" s="258"/>
      <c r="E529" s="259"/>
      <c r="F529" s="259"/>
      <c r="G529" s="260"/>
      <c r="H529" s="260"/>
    </row>
    <row r="530">
      <c r="B530" s="257"/>
      <c r="C530" s="258"/>
      <c r="D530" s="258"/>
      <c r="E530" s="259"/>
      <c r="F530" s="259"/>
      <c r="G530" s="260"/>
      <c r="H530" s="260"/>
    </row>
    <row r="531">
      <c r="B531" s="257"/>
      <c r="C531" s="258"/>
      <c r="D531" s="258"/>
      <c r="E531" s="259"/>
      <c r="F531" s="259"/>
      <c r="G531" s="260"/>
      <c r="H531" s="260"/>
    </row>
    <row r="532">
      <c r="B532" s="257"/>
      <c r="C532" s="258"/>
      <c r="D532" s="258"/>
      <c r="E532" s="259"/>
      <c r="F532" s="259"/>
      <c r="G532" s="260"/>
      <c r="H532" s="260"/>
    </row>
    <row r="533">
      <c r="B533" s="257"/>
      <c r="C533" s="258"/>
      <c r="D533" s="258"/>
      <c r="E533" s="259"/>
      <c r="F533" s="259"/>
      <c r="G533" s="260"/>
      <c r="H533" s="260"/>
    </row>
    <row r="534">
      <c r="B534" s="257"/>
      <c r="C534" s="258"/>
      <c r="D534" s="258"/>
      <c r="E534" s="259"/>
      <c r="F534" s="259"/>
      <c r="G534" s="260"/>
      <c r="H534" s="260"/>
    </row>
    <row r="535">
      <c r="B535" s="257"/>
      <c r="C535" s="258"/>
      <c r="D535" s="258"/>
      <c r="E535" s="259"/>
      <c r="F535" s="259"/>
      <c r="G535" s="260"/>
      <c r="H535" s="260"/>
    </row>
    <row r="536">
      <c r="B536" s="257"/>
      <c r="C536" s="258"/>
      <c r="D536" s="258"/>
      <c r="E536" s="259"/>
      <c r="F536" s="259"/>
      <c r="G536" s="260"/>
      <c r="H536" s="260"/>
    </row>
    <row r="537">
      <c r="B537" s="257"/>
      <c r="C537" s="258"/>
      <c r="D537" s="258"/>
      <c r="E537" s="259"/>
      <c r="F537" s="259"/>
      <c r="G537" s="260"/>
      <c r="H537" s="260"/>
    </row>
    <row r="538">
      <c r="B538" s="257"/>
      <c r="C538" s="258"/>
      <c r="D538" s="258"/>
      <c r="E538" s="259"/>
      <c r="F538" s="259"/>
      <c r="G538" s="260"/>
      <c r="H538" s="260"/>
    </row>
    <row r="539">
      <c r="B539" s="257"/>
      <c r="C539" s="258"/>
      <c r="D539" s="258"/>
      <c r="E539" s="259"/>
      <c r="F539" s="259"/>
      <c r="G539" s="260"/>
      <c r="H539" s="260"/>
    </row>
    <row r="540">
      <c r="B540" s="257"/>
      <c r="C540" s="258"/>
      <c r="D540" s="258"/>
      <c r="E540" s="259"/>
      <c r="F540" s="259"/>
      <c r="G540" s="260"/>
      <c r="H540" s="260"/>
    </row>
    <row r="541">
      <c r="B541" s="257"/>
      <c r="C541" s="258"/>
      <c r="D541" s="258"/>
      <c r="E541" s="259"/>
      <c r="F541" s="259"/>
      <c r="G541" s="260"/>
      <c r="H541" s="260"/>
    </row>
    <row r="542">
      <c r="B542" s="257"/>
      <c r="C542" s="258"/>
      <c r="D542" s="258"/>
      <c r="E542" s="259"/>
      <c r="F542" s="259"/>
      <c r="G542" s="260"/>
      <c r="H542" s="260"/>
    </row>
    <row r="543">
      <c r="B543" s="257"/>
      <c r="C543" s="258"/>
      <c r="D543" s="258"/>
      <c r="E543" s="259"/>
      <c r="F543" s="259"/>
      <c r="G543" s="260"/>
      <c r="H543" s="260"/>
    </row>
    <row r="544">
      <c r="B544" s="257"/>
      <c r="C544" s="258"/>
      <c r="D544" s="258"/>
      <c r="E544" s="259"/>
      <c r="F544" s="259"/>
      <c r="G544" s="260"/>
      <c r="H544" s="260"/>
    </row>
    <row r="545">
      <c r="B545" s="257"/>
      <c r="C545" s="258"/>
      <c r="D545" s="258"/>
      <c r="E545" s="259"/>
      <c r="F545" s="259"/>
      <c r="G545" s="260"/>
      <c r="H545" s="260"/>
    </row>
    <row r="546">
      <c r="B546" s="257"/>
      <c r="C546" s="258"/>
      <c r="D546" s="258"/>
      <c r="E546" s="259"/>
      <c r="F546" s="259"/>
      <c r="G546" s="260"/>
      <c r="H546" s="260"/>
    </row>
    <row r="547">
      <c r="B547" s="257"/>
      <c r="C547" s="258"/>
      <c r="D547" s="258"/>
      <c r="E547" s="259"/>
      <c r="F547" s="259"/>
      <c r="G547" s="260"/>
      <c r="H547" s="260"/>
    </row>
    <row r="548">
      <c r="B548" s="257"/>
      <c r="C548" s="258"/>
      <c r="D548" s="258"/>
      <c r="E548" s="259"/>
      <c r="F548" s="259"/>
      <c r="G548" s="260"/>
      <c r="H548" s="260"/>
    </row>
    <row r="549">
      <c r="B549" s="257"/>
      <c r="C549" s="258"/>
      <c r="D549" s="258"/>
      <c r="E549" s="259"/>
      <c r="F549" s="259"/>
      <c r="G549" s="260"/>
      <c r="H549" s="260"/>
    </row>
    <row r="550">
      <c r="B550" s="257"/>
      <c r="C550" s="258"/>
      <c r="D550" s="258"/>
      <c r="E550" s="259"/>
      <c r="F550" s="259"/>
      <c r="G550" s="260"/>
      <c r="H550" s="260"/>
    </row>
    <row r="551">
      <c r="B551" s="257"/>
      <c r="C551" s="258"/>
      <c r="D551" s="258"/>
      <c r="E551" s="259"/>
      <c r="F551" s="259"/>
      <c r="G551" s="260"/>
      <c r="H551" s="260"/>
    </row>
    <row r="552">
      <c r="B552" s="257"/>
      <c r="C552" s="258"/>
      <c r="D552" s="258"/>
      <c r="E552" s="259"/>
      <c r="F552" s="259"/>
      <c r="G552" s="260"/>
      <c r="H552" s="260"/>
    </row>
    <row r="553">
      <c r="B553" s="257"/>
      <c r="C553" s="258"/>
      <c r="D553" s="258"/>
      <c r="E553" s="259"/>
      <c r="F553" s="259"/>
      <c r="G553" s="260"/>
      <c r="H553" s="260"/>
    </row>
    <row r="554">
      <c r="B554" s="257"/>
      <c r="C554" s="258"/>
      <c r="D554" s="258"/>
      <c r="E554" s="259"/>
      <c r="F554" s="259"/>
      <c r="G554" s="260"/>
      <c r="H554" s="260"/>
    </row>
    <row r="555">
      <c r="B555" s="257"/>
      <c r="C555" s="258"/>
      <c r="D555" s="258"/>
      <c r="E555" s="259"/>
      <c r="F555" s="259"/>
      <c r="G555" s="260"/>
      <c r="H555" s="260"/>
    </row>
    <row r="556">
      <c r="B556" s="257"/>
      <c r="C556" s="258"/>
      <c r="D556" s="258"/>
      <c r="E556" s="259"/>
      <c r="F556" s="259"/>
      <c r="G556" s="260"/>
      <c r="H556" s="260"/>
    </row>
    <row r="557">
      <c r="B557" s="257"/>
      <c r="C557" s="258"/>
      <c r="D557" s="258"/>
      <c r="E557" s="259"/>
      <c r="F557" s="259"/>
      <c r="G557" s="260"/>
      <c r="H557" s="260"/>
    </row>
    <row r="558">
      <c r="B558" s="257"/>
      <c r="C558" s="258"/>
      <c r="D558" s="258"/>
      <c r="E558" s="259"/>
      <c r="F558" s="259"/>
      <c r="G558" s="260"/>
      <c r="H558" s="260"/>
    </row>
    <row r="559">
      <c r="B559" s="257"/>
      <c r="C559" s="258"/>
      <c r="D559" s="258"/>
      <c r="E559" s="259"/>
      <c r="F559" s="259"/>
      <c r="G559" s="260"/>
      <c r="H559" s="260"/>
    </row>
    <row r="560">
      <c r="B560" s="257"/>
      <c r="C560" s="258"/>
      <c r="D560" s="258"/>
      <c r="E560" s="259"/>
      <c r="F560" s="259"/>
      <c r="G560" s="260"/>
      <c r="H560" s="260"/>
    </row>
    <row r="561">
      <c r="B561" s="257"/>
      <c r="C561" s="258"/>
      <c r="D561" s="258"/>
      <c r="E561" s="259"/>
      <c r="F561" s="259"/>
      <c r="G561" s="260"/>
      <c r="H561" s="260"/>
    </row>
    <row r="562">
      <c r="B562" s="257"/>
      <c r="C562" s="258"/>
      <c r="D562" s="258"/>
      <c r="E562" s="259"/>
      <c r="F562" s="259"/>
      <c r="G562" s="260"/>
      <c r="H562" s="260"/>
    </row>
    <row r="563">
      <c r="B563" s="257"/>
      <c r="C563" s="258"/>
      <c r="D563" s="258"/>
      <c r="E563" s="259"/>
      <c r="F563" s="259"/>
      <c r="G563" s="260"/>
      <c r="H563" s="260"/>
    </row>
    <row r="564">
      <c r="B564" s="257"/>
      <c r="C564" s="258"/>
      <c r="D564" s="258"/>
      <c r="E564" s="259"/>
      <c r="F564" s="259"/>
      <c r="G564" s="260"/>
      <c r="H564" s="260"/>
    </row>
    <row r="565">
      <c r="B565" s="257"/>
      <c r="C565" s="258"/>
      <c r="D565" s="258"/>
      <c r="E565" s="259"/>
      <c r="F565" s="259"/>
      <c r="G565" s="260"/>
      <c r="H565" s="260"/>
    </row>
    <row r="566">
      <c r="B566" s="257"/>
      <c r="C566" s="258"/>
      <c r="D566" s="258"/>
      <c r="E566" s="259"/>
      <c r="F566" s="259"/>
      <c r="G566" s="260"/>
      <c r="H566" s="260"/>
    </row>
    <row r="567">
      <c r="B567" s="257"/>
      <c r="C567" s="258"/>
      <c r="D567" s="258"/>
      <c r="E567" s="259"/>
      <c r="F567" s="259"/>
      <c r="G567" s="260"/>
      <c r="H567" s="260"/>
    </row>
    <row r="568">
      <c r="B568" s="257"/>
      <c r="C568" s="258"/>
      <c r="D568" s="258"/>
      <c r="E568" s="259"/>
      <c r="F568" s="259"/>
      <c r="G568" s="260"/>
      <c r="H568" s="260"/>
    </row>
    <row r="569">
      <c r="B569" s="257"/>
      <c r="C569" s="258"/>
      <c r="D569" s="258"/>
      <c r="E569" s="259"/>
      <c r="F569" s="259"/>
      <c r="G569" s="260"/>
      <c r="H569" s="260"/>
    </row>
    <row r="570">
      <c r="B570" s="257"/>
      <c r="C570" s="258"/>
      <c r="D570" s="258"/>
      <c r="E570" s="259"/>
      <c r="F570" s="259"/>
      <c r="G570" s="260"/>
      <c r="H570" s="260"/>
    </row>
    <row r="571">
      <c r="B571" s="257"/>
      <c r="C571" s="258"/>
      <c r="D571" s="258"/>
      <c r="E571" s="259"/>
      <c r="F571" s="259"/>
      <c r="G571" s="260"/>
      <c r="H571" s="260"/>
    </row>
    <row r="572">
      <c r="B572" s="257"/>
      <c r="C572" s="258"/>
      <c r="D572" s="258"/>
      <c r="E572" s="259"/>
      <c r="F572" s="259"/>
      <c r="G572" s="260"/>
      <c r="H572" s="260"/>
    </row>
    <row r="573">
      <c r="B573" s="257"/>
      <c r="C573" s="258"/>
      <c r="D573" s="258"/>
      <c r="E573" s="259"/>
      <c r="F573" s="259"/>
      <c r="G573" s="260"/>
      <c r="H573" s="260"/>
    </row>
    <row r="574">
      <c r="B574" s="257"/>
      <c r="C574" s="258"/>
      <c r="D574" s="258"/>
      <c r="E574" s="259"/>
      <c r="F574" s="259"/>
      <c r="G574" s="260"/>
      <c r="H574" s="260"/>
    </row>
    <row r="575">
      <c r="B575" s="257"/>
      <c r="C575" s="258"/>
      <c r="D575" s="258"/>
      <c r="E575" s="259"/>
      <c r="F575" s="259"/>
      <c r="G575" s="260"/>
      <c r="H575" s="260"/>
    </row>
    <row r="576">
      <c r="B576" s="257"/>
      <c r="C576" s="258"/>
      <c r="D576" s="258"/>
      <c r="E576" s="259"/>
      <c r="F576" s="259"/>
      <c r="G576" s="260"/>
      <c r="H576" s="260"/>
    </row>
    <row r="577">
      <c r="B577" s="257"/>
      <c r="C577" s="258"/>
      <c r="D577" s="258"/>
      <c r="E577" s="259"/>
      <c r="F577" s="259"/>
      <c r="G577" s="260"/>
      <c r="H577" s="260"/>
    </row>
    <row r="578">
      <c r="B578" s="257"/>
      <c r="C578" s="258"/>
      <c r="D578" s="258"/>
      <c r="E578" s="259"/>
      <c r="F578" s="259"/>
      <c r="G578" s="260"/>
      <c r="H578" s="260"/>
    </row>
    <row r="579">
      <c r="B579" s="257"/>
      <c r="C579" s="258"/>
      <c r="D579" s="258"/>
      <c r="E579" s="259"/>
      <c r="F579" s="259"/>
      <c r="G579" s="260"/>
      <c r="H579" s="260"/>
    </row>
    <row r="580">
      <c r="B580" s="257"/>
      <c r="C580" s="258"/>
      <c r="D580" s="258"/>
      <c r="E580" s="259"/>
      <c r="F580" s="259"/>
      <c r="G580" s="260"/>
      <c r="H580" s="260"/>
    </row>
    <row r="581">
      <c r="B581" s="257"/>
      <c r="C581" s="258"/>
      <c r="D581" s="258"/>
      <c r="E581" s="259"/>
      <c r="F581" s="259"/>
      <c r="G581" s="260"/>
      <c r="H581" s="260"/>
    </row>
    <row r="582">
      <c r="B582" s="257"/>
      <c r="C582" s="258"/>
      <c r="D582" s="258"/>
      <c r="E582" s="259"/>
      <c r="F582" s="259"/>
      <c r="G582" s="260"/>
      <c r="H582" s="260"/>
    </row>
    <row r="583">
      <c r="B583" s="257"/>
      <c r="C583" s="258"/>
      <c r="D583" s="258"/>
      <c r="E583" s="259"/>
      <c r="F583" s="259"/>
      <c r="G583" s="260"/>
      <c r="H583" s="260"/>
    </row>
    <row r="584">
      <c r="B584" s="257"/>
      <c r="C584" s="258"/>
      <c r="D584" s="258"/>
      <c r="E584" s="259"/>
      <c r="F584" s="259"/>
      <c r="G584" s="260"/>
      <c r="H584" s="260"/>
    </row>
    <row r="585">
      <c r="B585" s="257"/>
      <c r="C585" s="258"/>
      <c r="D585" s="258"/>
      <c r="E585" s="259"/>
      <c r="F585" s="259"/>
      <c r="G585" s="260"/>
      <c r="H585" s="260"/>
    </row>
    <row r="586">
      <c r="B586" s="257"/>
      <c r="C586" s="258"/>
      <c r="D586" s="258"/>
      <c r="E586" s="259"/>
      <c r="F586" s="259"/>
      <c r="G586" s="260"/>
      <c r="H586" s="260"/>
    </row>
    <row r="587">
      <c r="B587" s="257"/>
      <c r="C587" s="258"/>
      <c r="D587" s="258"/>
      <c r="E587" s="259"/>
      <c r="F587" s="259"/>
      <c r="G587" s="260"/>
      <c r="H587" s="260"/>
    </row>
    <row r="588">
      <c r="B588" s="257"/>
      <c r="C588" s="258"/>
      <c r="D588" s="258"/>
      <c r="E588" s="259"/>
      <c r="F588" s="259"/>
      <c r="G588" s="260"/>
      <c r="H588" s="260"/>
    </row>
    <row r="589">
      <c r="B589" s="257"/>
      <c r="C589" s="258"/>
      <c r="D589" s="258"/>
      <c r="E589" s="259"/>
      <c r="F589" s="259"/>
      <c r="G589" s="260"/>
      <c r="H589" s="260"/>
    </row>
    <row r="590">
      <c r="B590" s="257"/>
      <c r="C590" s="258"/>
      <c r="D590" s="258"/>
      <c r="E590" s="259"/>
      <c r="F590" s="259"/>
      <c r="G590" s="260"/>
      <c r="H590" s="260"/>
    </row>
    <row r="591">
      <c r="B591" s="257"/>
      <c r="C591" s="258"/>
      <c r="D591" s="258"/>
      <c r="E591" s="259"/>
      <c r="F591" s="259"/>
      <c r="G591" s="260"/>
      <c r="H591" s="260"/>
    </row>
    <row r="592">
      <c r="B592" s="257"/>
      <c r="C592" s="258"/>
      <c r="D592" s="258"/>
      <c r="E592" s="259"/>
      <c r="F592" s="259"/>
      <c r="G592" s="260"/>
      <c r="H592" s="260"/>
    </row>
    <row r="593">
      <c r="B593" s="257"/>
      <c r="C593" s="258"/>
      <c r="D593" s="258"/>
      <c r="E593" s="259"/>
      <c r="F593" s="259"/>
      <c r="G593" s="260"/>
      <c r="H593" s="260"/>
    </row>
    <row r="594">
      <c r="B594" s="257"/>
      <c r="C594" s="258"/>
      <c r="D594" s="258"/>
      <c r="E594" s="259"/>
      <c r="F594" s="259"/>
      <c r="G594" s="260"/>
      <c r="H594" s="260"/>
    </row>
    <row r="595">
      <c r="B595" s="257"/>
      <c r="C595" s="258"/>
      <c r="D595" s="258"/>
      <c r="E595" s="259"/>
      <c r="F595" s="259"/>
      <c r="G595" s="260"/>
      <c r="H595" s="260"/>
    </row>
    <row r="596">
      <c r="B596" s="257"/>
      <c r="C596" s="258"/>
      <c r="D596" s="258"/>
      <c r="E596" s="259"/>
      <c r="F596" s="259"/>
      <c r="G596" s="260"/>
      <c r="H596" s="260"/>
    </row>
    <row r="597">
      <c r="B597" s="257"/>
      <c r="C597" s="258"/>
      <c r="D597" s="258"/>
      <c r="E597" s="259"/>
      <c r="F597" s="259"/>
      <c r="G597" s="260"/>
      <c r="H597" s="260"/>
    </row>
    <row r="598">
      <c r="B598" s="257"/>
      <c r="C598" s="258"/>
      <c r="D598" s="258"/>
      <c r="E598" s="259"/>
      <c r="F598" s="259"/>
      <c r="G598" s="260"/>
      <c r="H598" s="260"/>
    </row>
    <row r="599">
      <c r="B599" s="257"/>
      <c r="C599" s="258"/>
      <c r="D599" s="258"/>
      <c r="E599" s="259"/>
      <c r="F599" s="259"/>
      <c r="G599" s="260"/>
      <c r="H599" s="260"/>
    </row>
    <row r="600">
      <c r="B600" s="257"/>
      <c r="C600" s="258"/>
      <c r="D600" s="258"/>
      <c r="E600" s="259"/>
      <c r="F600" s="259"/>
      <c r="G600" s="260"/>
      <c r="H600" s="260"/>
    </row>
    <row r="601">
      <c r="B601" s="257"/>
      <c r="C601" s="258"/>
      <c r="D601" s="258"/>
      <c r="E601" s="259"/>
      <c r="F601" s="259"/>
      <c r="G601" s="260"/>
      <c r="H601" s="260"/>
    </row>
    <row r="602">
      <c r="B602" s="257"/>
      <c r="C602" s="258"/>
      <c r="D602" s="258"/>
      <c r="E602" s="259"/>
      <c r="F602" s="259"/>
      <c r="G602" s="260"/>
      <c r="H602" s="260"/>
    </row>
    <row r="603">
      <c r="B603" s="257"/>
      <c r="C603" s="258"/>
      <c r="D603" s="258"/>
      <c r="E603" s="259"/>
      <c r="F603" s="259"/>
      <c r="G603" s="260"/>
      <c r="H603" s="260"/>
    </row>
    <row r="604">
      <c r="B604" s="257"/>
      <c r="C604" s="258"/>
      <c r="D604" s="258"/>
      <c r="E604" s="259"/>
      <c r="F604" s="259"/>
      <c r="G604" s="260"/>
      <c r="H604" s="260"/>
    </row>
    <row r="605">
      <c r="B605" s="257"/>
      <c r="C605" s="258"/>
      <c r="D605" s="258"/>
      <c r="E605" s="259"/>
      <c r="F605" s="259"/>
      <c r="G605" s="260"/>
      <c r="H605" s="260"/>
    </row>
    <row r="606">
      <c r="B606" s="257"/>
      <c r="C606" s="258"/>
      <c r="D606" s="258"/>
      <c r="E606" s="259"/>
      <c r="F606" s="259"/>
      <c r="G606" s="260"/>
      <c r="H606" s="260"/>
    </row>
    <row r="607">
      <c r="B607" s="257"/>
      <c r="C607" s="258"/>
      <c r="D607" s="258"/>
      <c r="E607" s="259"/>
      <c r="F607" s="259"/>
      <c r="G607" s="260"/>
      <c r="H607" s="260"/>
    </row>
    <row r="608">
      <c r="B608" s="257"/>
      <c r="C608" s="258"/>
      <c r="D608" s="258"/>
      <c r="E608" s="259"/>
      <c r="F608" s="259"/>
      <c r="G608" s="260"/>
      <c r="H608" s="260"/>
    </row>
    <row r="609">
      <c r="B609" s="257"/>
      <c r="C609" s="258"/>
      <c r="D609" s="258"/>
      <c r="E609" s="259"/>
      <c r="F609" s="259"/>
      <c r="G609" s="260"/>
      <c r="H609" s="260"/>
    </row>
    <row r="610">
      <c r="B610" s="257"/>
      <c r="C610" s="258"/>
      <c r="D610" s="258"/>
      <c r="E610" s="259"/>
      <c r="F610" s="259"/>
      <c r="G610" s="260"/>
      <c r="H610" s="260"/>
    </row>
    <row r="611">
      <c r="B611" s="257"/>
      <c r="C611" s="258"/>
      <c r="D611" s="258"/>
      <c r="E611" s="259"/>
      <c r="F611" s="259"/>
      <c r="G611" s="260"/>
      <c r="H611" s="260"/>
    </row>
    <row r="612">
      <c r="B612" s="257"/>
      <c r="C612" s="258"/>
      <c r="D612" s="258"/>
      <c r="E612" s="259"/>
      <c r="F612" s="259"/>
      <c r="G612" s="260"/>
      <c r="H612" s="260"/>
    </row>
    <row r="613">
      <c r="B613" s="257"/>
      <c r="C613" s="258"/>
      <c r="D613" s="258"/>
      <c r="E613" s="259"/>
      <c r="F613" s="259"/>
      <c r="G613" s="260"/>
      <c r="H613" s="260"/>
    </row>
    <row r="614">
      <c r="B614" s="257"/>
      <c r="C614" s="258"/>
      <c r="D614" s="258"/>
      <c r="E614" s="259"/>
      <c r="F614" s="259"/>
      <c r="G614" s="260"/>
      <c r="H614" s="260"/>
    </row>
    <row r="615">
      <c r="B615" s="257"/>
      <c r="C615" s="258"/>
      <c r="D615" s="258"/>
      <c r="E615" s="259"/>
      <c r="F615" s="259"/>
      <c r="G615" s="260"/>
      <c r="H615" s="260"/>
    </row>
    <row r="616">
      <c r="B616" s="257"/>
      <c r="C616" s="258"/>
      <c r="D616" s="258"/>
      <c r="E616" s="259"/>
      <c r="F616" s="259"/>
      <c r="G616" s="260"/>
      <c r="H616" s="260"/>
    </row>
    <row r="617">
      <c r="B617" s="257"/>
      <c r="C617" s="258"/>
      <c r="D617" s="258"/>
      <c r="E617" s="259"/>
      <c r="F617" s="259"/>
      <c r="G617" s="260"/>
      <c r="H617" s="260"/>
    </row>
    <row r="618">
      <c r="B618" s="257"/>
      <c r="C618" s="258"/>
      <c r="D618" s="258"/>
      <c r="E618" s="259"/>
      <c r="F618" s="259"/>
      <c r="G618" s="260"/>
      <c r="H618" s="260"/>
    </row>
    <row r="619">
      <c r="B619" s="257"/>
      <c r="C619" s="258"/>
      <c r="D619" s="258"/>
      <c r="E619" s="259"/>
      <c r="F619" s="259"/>
      <c r="G619" s="260"/>
      <c r="H619" s="260"/>
    </row>
    <row r="620">
      <c r="B620" s="257"/>
      <c r="C620" s="258"/>
      <c r="D620" s="258"/>
      <c r="E620" s="259"/>
      <c r="F620" s="259"/>
      <c r="G620" s="260"/>
      <c r="H620" s="260"/>
    </row>
    <row r="621">
      <c r="B621" s="257"/>
      <c r="C621" s="258"/>
      <c r="D621" s="258"/>
      <c r="E621" s="259"/>
      <c r="F621" s="259"/>
      <c r="G621" s="260"/>
      <c r="H621" s="260"/>
    </row>
    <row r="622">
      <c r="B622" s="257"/>
      <c r="C622" s="258"/>
      <c r="D622" s="258"/>
      <c r="E622" s="259"/>
      <c r="F622" s="259"/>
      <c r="G622" s="260"/>
      <c r="H622" s="260"/>
    </row>
    <row r="623">
      <c r="B623" s="257"/>
      <c r="C623" s="258"/>
      <c r="D623" s="258"/>
      <c r="E623" s="259"/>
      <c r="F623" s="259"/>
      <c r="G623" s="260"/>
      <c r="H623" s="260"/>
    </row>
    <row r="624">
      <c r="B624" s="257"/>
      <c r="C624" s="258"/>
      <c r="D624" s="258"/>
      <c r="E624" s="259"/>
      <c r="F624" s="259"/>
      <c r="G624" s="260"/>
      <c r="H624" s="260"/>
    </row>
    <row r="625">
      <c r="B625" s="257"/>
      <c r="C625" s="258"/>
      <c r="D625" s="258"/>
      <c r="E625" s="259"/>
      <c r="F625" s="259"/>
      <c r="G625" s="260"/>
      <c r="H625" s="260"/>
    </row>
    <row r="626">
      <c r="B626" s="257"/>
      <c r="C626" s="258"/>
      <c r="D626" s="258"/>
      <c r="E626" s="259"/>
      <c r="F626" s="259"/>
      <c r="G626" s="260"/>
      <c r="H626" s="260"/>
    </row>
    <row r="627">
      <c r="B627" s="257"/>
      <c r="C627" s="258"/>
      <c r="D627" s="258"/>
      <c r="E627" s="259"/>
      <c r="F627" s="259"/>
      <c r="G627" s="260"/>
      <c r="H627" s="260"/>
    </row>
    <row r="628">
      <c r="B628" s="257"/>
      <c r="C628" s="258"/>
      <c r="D628" s="258"/>
      <c r="E628" s="259"/>
      <c r="F628" s="259"/>
      <c r="G628" s="260"/>
      <c r="H628" s="260"/>
    </row>
    <row r="629">
      <c r="B629" s="257"/>
      <c r="C629" s="258"/>
      <c r="D629" s="258"/>
      <c r="E629" s="259"/>
      <c r="F629" s="259"/>
      <c r="G629" s="260"/>
      <c r="H629" s="260"/>
    </row>
    <row r="630">
      <c r="B630" s="257"/>
      <c r="C630" s="258"/>
      <c r="D630" s="258"/>
      <c r="E630" s="259"/>
      <c r="F630" s="259"/>
      <c r="G630" s="260"/>
      <c r="H630" s="260"/>
    </row>
    <row r="631">
      <c r="B631" s="257"/>
      <c r="C631" s="258"/>
      <c r="D631" s="258"/>
      <c r="E631" s="259"/>
      <c r="F631" s="259"/>
      <c r="G631" s="260"/>
      <c r="H631" s="260"/>
    </row>
    <row r="632">
      <c r="B632" s="257"/>
      <c r="C632" s="258"/>
      <c r="D632" s="258"/>
      <c r="E632" s="259"/>
      <c r="F632" s="259"/>
      <c r="G632" s="260"/>
      <c r="H632" s="260"/>
    </row>
    <row r="633">
      <c r="B633" s="257"/>
      <c r="C633" s="258"/>
      <c r="D633" s="258"/>
      <c r="E633" s="259"/>
      <c r="F633" s="259"/>
      <c r="G633" s="260"/>
      <c r="H633" s="260"/>
    </row>
    <row r="634">
      <c r="B634" s="257"/>
      <c r="C634" s="258"/>
      <c r="D634" s="258"/>
      <c r="E634" s="259"/>
      <c r="F634" s="259"/>
      <c r="G634" s="260"/>
      <c r="H634" s="260"/>
    </row>
    <row r="635">
      <c r="B635" s="257"/>
      <c r="C635" s="258"/>
      <c r="D635" s="258"/>
      <c r="E635" s="259"/>
      <c r="F635" s="259"/>
      <c r="G635" s="260"/>
      <c r="H635" s="260"/>
    </row>
    <row r="636">
      <c r="B636" s="257"/>
      <c r="C636" s="258"/>
      <c r="D636" s="258"/>
      <c r="E636" s="259"/>
      <c r="F636" s="259"/>
      <c r="G636" s="260"/>
      <c r="H636" s="260"/>
    </row>
    <row r="637">
      <c r="B637" s="257"/>
      <c r="C637" s="258"/>
      <c r="D637" s="258"/>
      <c r="E637" s="259"/>
      <c r="F637" s="259"/>
      <c r="G637" s="260"/>
      <c r="H637" s="260"/>
    </row>
    <row r="638">
      <c r="B638" s="257"/>
      <c r="C638" s="258"/>
      <c r="D638" s="258"/>
      <c r="E638" s="259"/>
      <c r="F638" s="259"/>
      <c r="G638" s="260"/>
      <c r="H638" s="260"/>
    </row>
    <row r="639">
      <c r="B639" s="257"/>
      <c r="C639" s="258"/>
      <c r="D639" s="258"/>
      <c r="E639" s="259"/>
      <c r="F639" s="259"/>
      <c r="G639" s="260"/>
      <c r="H639" s="260"/>
    </row>
    <row r="640">
      <c r="B640" s="257"/>
      <c r="C640" s="258"/>
      <c r="D640" s="258"/>
      <c r="E640" s="259"/>
      <c r="F640" s="259"/>
      <c r="G640" s="260"/>
      <c r="H640" s="260"/>
    </row>
    <row r="641">
      <c r="B641" s="257"/>
      <c r="C641" s="258"/>
      <c r="D641" s="258"/>
      <c r="E641" s="259"/>
      <c r="F641" s="259"/>
      <c r="G641" s="260"/>
      <c r="H641" s="260"/>
    </row>
    <row r="642">
      <c r="B642" s="257"/>
      <c r="C642" s="258"/>
      <c r="D642" s="258"/>
      <c r="E642" s="259"/>
      <c r="F642" s="259"/>
      <c r="G642" s="260"/>
      <c r="H642" s="260"/>
    </row>
    <row r="643">
      <c r="B643" s="257"/>
      <c r="C643" s="258"/>
      <c r="D643" s="258"/>
      <c r="E643" s="259"/>
      <c r="F643" s="259"/>
      <c r="G643" s="260"/>
      <c r="H643" s="260"/>
    </row>
    <row r="644">
      <c r="B644" s="257"/>
      <c r="C644" s="258"/>
      <c r="D644" s="258"/>
      <c r="E644" s="259"/>
      <c r="F644" s="259"/>
      <c r="G644" s="260"/>
      <c r="H644" s="260"/>
    </row>
    <row r="645">
      <c r="B645" s="257"/>
      <c r="C645" s="258"/>
      <c r="D645" s="258"/>
      <c r="E645" s="259"/>
      <c r="F645" s="259"/>
      <c r="G645" s="260"/>
      <c r="H645" s="260"/>
    </row>
    <row r="646">
      <c r="B646" s="257"/>
      <c r="C646" s="258"/>
      <c r="D646" s="258"/>
      <c r="E646" s="259"/>
      <c r="F646" s="259"/>
      <c r="G646" s="260"/>
      <c r="H646" s="260"/>
    </row>
    <row r="647">
      <c r="B647" s="257"/>
      <c r="C647" s="258"/>
      <c r="D647" s="258"/>
      <c r="E647" s="259"/>
      <c r="F647" s="259"/>
      <c r="G647" s="260"/>
      <c r="H647" s="260"/>
    </row>
    <row r="648">
      <c r="B648" s="257"/>
      <c r="C648" s="258"/>
      <c r="D648" s="258"/>
      <c r="E648" s="259"/>
      <c r="F648" s="259"/>
      <c r="G648" s="260"/>
      <c r="H648" s="260"/>
    </row>
    <row r="649">
      <c r="B649" s="257"/>
      <c r="C649" s="258"/>
      <c r="D649" s="258"/>
      <c r="E649" s="259"/>
      <c r="F649" s="259"/>
      <c r="G649" s="260"/>
      <c r="H649" s="260"/>
    </row>
    <row r="650">
      <c r="B650" s="257"/>
      <c r="C650" s="258"/>
      <c r="D650" s="258"/>
      <c r="E650" s="259"/>
      <c r="F650" s="259"/>
      <c r="G650" s="260"/>
      <c r="H650" s="260"/>
    </row>
    <row r="651">
      <c r="B651" s="257"/>
      <c r="C651" s="258"/>
      <c r="D651" s="258"/>
      <c r="E651" s="259"/>
      <c r="F651" s="259"/>
      <c r="G651" s="260"/>
      <c r="H651" s="260"/>
    </row>
    <row r="652">
      <c r="B652" s="257"/>
      <c r="C652" s="258"/>
      <c r="D652" s="258"/>
      <c r="E652" s="259"/>
      <c r="F652" s="259"/>
      <c r="G652" s="260"/>
      <c r="H652" s="260"/>
    </row>
    <row r="653">
      <c r="B653" s="257"/>
      <c r="C653" s="258"/>
      <c r="D653" s="258"/>
      <c r="E653" s="259"/>
      <c r="F653" s="259"/>
      <c r="G653" s="260"/>
      <c r="H653" s="260"/>
    </row>
    <row r="654">
      <c r="B654" s="257"/>
      <c r="C654" s="258"/>
      <c r="D654" s="258"/>
      <c r="E654" s="259"/>
      <c r="F654" s="259"/>
      <c r="G654" s="260"/>
      <c r="H654" s="260"/>
    </row>
    <row r="655">
      <c r="B655" s="257"/>
      <c r="C655" s="258"/>
      <c r="D655" s="258"/>
      <c r="E655" s="259"/>
      <c r="F655" s="259"/>
      <c r="G655" s="260"/>
      <c r="H655" s="260"/>
    </row>
    <row r="656">
      <c r="B656" s="257"/>
      <c r="C656" s="258"/>
      <c r="D656" s="258"/>
      <c r="E656" s="259"/>
      <c r="F656" s="259"/>
      <c r="G656" s="260"/>
      <c r="H656" s="260"/>
    </row>
    <row r="657">
      <c r="B657" s="257"/>
      <c r="C657" s="258"/>
      <c r="D657" s="258"/>
      <c r="E657" s="259"/>
      <c r="F657" s="259"/>
      <c r="G657" s="260"/>
      <c r="H657" s="260"/>
    </row>
    <row r="658">
      <c r="B658" s="257"/>
      <c r="C658" s="258"/>
      <c r="D658" s="258"/>
      <c r="E658" s="259"/>
      <c r="F658" s="259"/>
      <c r="G658" s="260"/>
      <c r="H658" s="260"/>
    </row>
    <row r="659">
      <c r="B659" s="257"/>
      <c r="C659" s="258"/>
      <c r="D659" s="258"/>
      <c r="E659" s="259"/>
      <c r="F659" s="259"/>
      <c r="G659" s="260"/>
      <c r="H659" s="260"/>
    </row>
    <row r="660">
      <c r="B660" s="257"/>
      <c r="C660" s="258"/>
      <c r="D660" s="258"/>
      <c r="E660" s="259"/>
      <c r="F660" s="259"/>
      <c r="G660" s="260"/>
      <c r="H660" s="260"/>
    </row>
    <row r="661">
      <c r="B661" s="257"/>
      <c r="C661" s="258"/>
      <c r="D661" s="258"/>
      <c r="E661" s="259"/>
      <c r="F661" s="259"/>
      <c r="G661" s="260"/>
      <c r="H661" s="260"/>
    </row>
    <row r="662">
      <c r="B662" s="257"/>
      <c r="C662" s="258"/>
      <c r="D662" s="258"/>
      <c r="E662" s="259"/>
      <c r="F662" s="259"/>
      <c r="G662" s="260"/>
      <c r="H662" s="260"/>
    </row>
    <row r="663">
      <c r="B663" s="257"/>
      <c r="C663" s="258"/>
      <c r="D663" s="258"/>
      <c r="E663" s="259"/>
      <c r="F663" s="259"/>
      <c r="G663" s="260"/>
      <c r="H663" s="260"/>
    </row>
    <row r="664">
      <c r="B664" s="257"/>
      <c r="C664" s="258"/>
      <c r="D664" s="258"/>
      <c r="E664" s="259"/>
      <c r="F664" s="259"/>
      <c r="G664" s="260"/>
      <c r="H664" s="260"/>
    </row>
    <row r="665">
      <c r="B665" s="257"/>
      <c r="C665" s="258"/>
      <c r="D665" s="258"/>
      <c r="E665" s="259"/>
      <c r="F665" s="259"/>
      <c r="G665" s="260"/>
      <c r="H665" s="260"/>
    </row>
    <row r="666">
      <c r="B666" s="257"/>
      <c r="C666" s="258"/>
      <c r="D666" s="258"/>
      <c r="E666" s="259"/>
      <c r="F666" s="259"/>
      <c r="G666" s="260"/>
      <c r="H666" s="260"/>
    </row>
    <row r="667">
      <c r="B667" s="257"/>
      <c r="C667" s="258"/>
      <c r="D667" s="258"/>
      <c r="E667" s="259"/>
      <c r="F667" s="259"/>
      <c r="G667" s="260"/>
      <c r="H667" s="260"/>
    </row>
    <row r="668">
      <c r="B668" s="257"/>
      <c r="C668" s="258"/>
      <c r="D668" s="258"/>
      <c r="E668" s="259"/>
      <c r="F668" s="259"/>
      <c r="G668" s="260"/>
      <c r="H668" s="260"/>
    </row>
    <row r="669">
      <c r="B669" s="257"/>
      <c r="C669" s="258"/>
      <c r="D669" s="258"/>
      <c r="E669" s="259"/>
      <c r="F669" s="259"/>
      <c r="G669" s="260"/>
      <c r="H669" s="260"/>
    </row>
    <row r="670">
      <c r="B670" s="257"/>
      <c r="C670" s="258"/>
      <c r="D670" s="258"/>
      <c r="E670" s="259"/>
      <c r="F670" s="259"/>
      <c r="G670" s="260"/>
      <c r="H670" s="260"/>
    </row>
    <row r="671">
      <c r="B671" s="257"/>
      <c r="C671" s="258"/>
      <c r="D671" s="258"/>
      <c r="E671" s="259"/>
      <c r="F671" s="259"/>
      <c r="G671" s="260"/>
      <c r="H671" s="260"/>
    </row>
    <row r="672">
      <c r="B672" s="257"/>
      <c r="C672" s="258"/>
      <c r="D672" s="258"/>
      <c r="E672" s="259"/>
      <c r="F672" s="259"/>
      <c r="G672" s="260"/>
      <c r="H672" s="260"/>
    </row>
    <row r="673">
      <c r="B673" s="257"/>
      <c r="C673" s="258"/>
      <c r="D673" s="258"/>
      <c r="E673" s="259"/>
      <c r="F673" s="259"/>
      <c r="G673" s="260"/>
      <c r="H673" s="260"/>
    </row>
    <row r="674">
      <c r="B674" s="257"/>
      <c r="C674" s="258"/>
      <c r="D674" s="258"/>
      <c r="E674" s="259"/>
      <c r="F674" s="259"/>
      <c r="G674" s="260"/>
      <c r="H674" s="260"/>
    </row>
    <row r="675">
      <c r="B675" s="257"/>
      <c r="C675" s="258"/>
      <c r="D675" s="258"/>
      <c r="E675" s="259"/>
      <c r="F675" s="259"/>
      <c r="G675" s="260"/>
      <c r="H675" s="260"/>
    </row>
    <row r="676">
      <c r="B676" s="257"/>
      <c r="C676" s="258"/>
      <c r="D676" s="258"/>
      <c r="E676" s="259"/>
      <c r="F676" s="259"/>
      <c r="G676" s="260"/>
      <c r="H676" s="260"/>
    </row>
    <row r="677">
      <c r="B677" s="257"/>
      <c r="C677" s="258"/>
      <c r="D677" s="258"/>
      <c r="E677" s="259"/>
      <c r="F677" s="259"/>
      <c r="G677" s="260"/>
      <c r="H677" s="260"/>
    </row>
    <row r="678">
      <c r="B678" s="257"/>
      <c r="C678" s="258"/>
      <c r="D678" s="258"/>
      <c r="E678" s="259"/>
      <c r="F678" s="259"/>
      <c r="G678" s="260"/>
      <c r="H678" s="260"/>
    </row>
    <row r="679">
      <c r="B679" s="257"/>
      <c r="C679" s="258"/>
      <c r="D679" s="258"/>
      <c r="E679" s="259"/>
      <c r="F679" s="259"/>
      <c r="G679" s="260"/>
      <c r="H679" s="260"/>
    </row>
    <row r="680">
      <c r="B680" s="257"/>
      <c r="C680" s="258"/>
      <c r="D680" s="258"/>
      <c r="E680" s="259"/>
      <c r="F680" s="259"/>
      <c r="G680" s="260"/>
      <c r="H680" s="260"/>
    </row>
    <row r="681">
      <c r="B681" s="257"/>
      <c r="C681" s="258"/>
      <c r="D681" s="258"/>
      <c r="E681" s="259"/>
      <c r="F681" s="259"/>
      <c r="G681" s="260"/>
      <c r="H681" s="260"/>
    </row>
    <row r="682">
      <c r="B682" s="257"/>
      <c r="C682" s="258"/>
      <c r="D682" s="258"/>
      <c r="E682" s="259"/>
      <c r="F682" s="259"/>
      <c r="G682" s="260"/>
      <c r="H682" s="260"/>
    </row>
    <row r="683">
      <c r="B683" s="257"/>
      <c r="C683" s="258"/>
      <c r="D683" s="258"/>
      <c r="E683" s="259"/>
      <c r="F683" s="259"/>
      <c r="G683" s="260"/>
      <c r="H683" s="260"/>
    </row>
    <row r="684">
      <c r="B684" s="257"/>
      <c r="C684" s="258"/>
      <c r="D684" s="258"/>
      <c r="E684" s="259"/>
      <c r="F684" s="259"/>
      <c r="G684" s="260"/>
      <c r="H684" s="260"/>
    </row>
    <row r="685">
      <c r="B685" s="257"/>
      <c r="C685" s="258"/>
      <c r="D685" s="258"/>
      <c r="E685" s="259"/>
      <c r="F685" s="259"/>
      <c r="G685" s="260"/>
      <c r="H685" s="260"/>
    </row>
    <row r="686">
      <c r="B686" s="257"/>
      <c r="C686" s="258"/>
      <c r="D686" s="258"/>
      <c r="E686" s="259"/>
      <c r="F686" s="259"/>
      <c r="G686" s="260"/>
      <c r="H686" s="260"/>
    </row>
    <row r="687">
      <c r="B687" s="257"/>
      <c r="C687" s="258"/>
      <c r="D687" s="258"/>
      <c r="E687" s="259"/>
      <c r="F687" s="259"/>
      <c r="G687" s="260"/>
      <c r="H687" s="260"/>
    </row>
    <row r="688">
      <c r="B688" s="257"/>
      <c r="C688" s="258"/>
      <c r="D688" s="258"/>
      <c r="E688" s="259"/>
      <c r="F688" s="259"/>
      <c r="G688" s="260"/>
      <c r="H688" s="260"/>
    </row>
    <row r="689">
      <c r="B689" s="257"/>
      <c r="C689" s="258"/>
      <c r="D689" s="258"/>
      <c r="E689" s="259"/>
      <c r="F689" s="259"/>
      <c r="G689" s="260"/>
      <c r="H689" s="260"/>
    </row>
    <row r="690">
      <c r="B690" s="257"/>
      <c r="C690" s="258"/>
      <c r="D690" s="258"/>
      <c r="E690" s="259"/>
      <c r="F690" s="259"/>
      <c r="G690" s="260"/>
      <c r="H690" s="260"/>
    </row>
    <row r="691">
      <c r="B691" s="257"/>
      <c r="C691" s="258"/>
      <c r="D691" s="258"/>
      <c r="E691" s="259"/>
      <c r="F691" s="259"/>
      <c r="G691" s="260"/>
      <c r="H691" s="260"/>
    </row>
    <row r="692">
      <c r="B692" s="257"/>
      <c r="C692" s="258"/>
      <c r="D692" s="258"/>
      <c r="E692" s="259"/>
      <c r="F692" s="259"/>
      <c r="G692" s="260"/>
      <c r="H692" s="260"/>
    </row>
    <row r="693">
      <c r="B693" s="257"/>
      <c r="C693" s="258"/>
      <c r="D693" s="258"/>
      <c r="E693" s="259"/>
      <c r="F693" s="259"/>
      <c r="G693" s="260"/>
      <c r="H693" s="260"/>
    </row>
    <row r="694">
      <c r="B694" s="257"/>
      <c r="C694" s="258"/>
      <c r="D694" s="258"/>
      <c r="E694" s="259"/>
      <c r="F694" s="259"/>
      <c r="G694" s="260"/>
      <c r="H694" s="260"/>
    </row>
    <row r="695">
      <c r="B695" s="257"/>
      <c r="C695" s="258"/>
      <c r="D695" s="258"/>
      <c r="E695" s="259"/>
      <c r="F695" s="259"/>
      <c r="G695" s="260"/>
      <c r="H695" s="260"/>
    </row>
    <row r="696">
      <c r="B696" s="257"/>
      <c r="C696" s="258"/>
      <c r="D696" s="258"/>
      <c r="E696" s="259"/>
      <c r="F696" s="259"/>
      <c r="G696" s="260"/>
      <c r="H696" s="260"/>
    </row>
    <row r="697">
      <c r="B697" s="257"/>
      <c r="C697" s="258"/>
      <c r="D697" s="258"/>
      <c r="E697" s="259"/>
      <c r="F697" s="259"/>
      <c r="G697" s="260"/>
      <c r="H697" s="260"/>
    </row>
    <row r="698">
      <c r="B698" s="257"/>
      <c r="C698" s="258"/>
      <c r="D698" s="258"/>
      <c r="E698" s="259"/>
      <c r="F698" s="259"/>
      <c r="G698" s="260"/>
      <c r="H698" s="260"/>
    </row>
    <row r="699">
      <c r="B699" s="257"/>
      <c r="C699" s="258"/>
      <c r="D699" s="258"/>
      <c r="E699" s="259"/>
      <c r="F699" s="259"/>
      <c r="G699" s="260"/>
      <c r="H699" s="260"/>
    </row>
    <row r="700">
      <c r="B700" s="257"/>
      <c r="C700" s="258"/>
      <c r="D700" s="258"/>
      <c r="E700" s="259"/>
      <c r="F700" s="259"/>
      <c r="G700" s="260"/>
      <c r="H700" s="260"/>
    </row>
    <row r="701">
      <c r="B701" s="257"/>
      <c r="C701" s="258"/>
      <c r="D701" s="258"/>
      <c r="E701" s="259"/>
      <c r="F701" s="259"/>
      <c r="G701" s="260"/>
      <c r="H701" s="260"/>
    </row>
    <row r="702">
      <c r="B702" s="257"/>
      <c r="C702" s="258"/>
      <c r="D702" s="258"/>
      <c r="E702" s="259"/>
      <c r="F702" s="259"/>
      <c r="G702" s="260"/>
      <c r="H702" s="260"/>
    </row>
    <row r="703">
      <c r="B703" s="257"/>
      <c r="C703" s="258"/>
      <c r="D703" s="258"/>
      <c r="E703" s="259"/>
      <c r="F703" s="259"/>
      <c r="G703" s="260"/>
      <c r="H703" s="260"/>
    </row>
    <row r="704">
      <c r="B704" s="257"/>
      <c r="C704" s="258"/>
      <c r="D704" s="258"/>
      <c r="E704" s="259"/>
      <c r="F704" s="259"/>
      <c r="G704" s="260"/>
      <c r="H704" s="260"/>
    </row>
    <row r="705">
      <c r="B705" s="257"/>
      <c r="C705" s="258"/>
      <c r="D705" s="258"/>
      <c r="E705" s="259"/>
      <c r="F705" s="259"/>
      <c r="G705" s="260"/>
      <c r="H705" s="260"/>
    </row>
    <row r="706">
      <c r="B706" s="257"/>
      <c r="C706" s="258"/>
      <c r="D706" s="258"/>
      <c r="E706" s="259"/>
      <c r="F706" s="259"/>
      <c r="G706" s="260"/>
      <c r="H706" s="260"/>
    </row>
    <row r="707">
      <c r="B707" s="257"/>
      <c r="C707" s="258"/>
      <c r="D707" s="258"/>
      <c r="E707" s="259"/>
      <c r="F707" s="259"/>
      <c r="G707" s="260"/>
      <c r="H707" s="260"/>
    </row>
    <row r="708">
      <c r="B708" s="257"/>
      <c r="C708" s="258"/>
      <c r="D708" s="258"/>
      <c r="E708" s="259"/>
      <c r="F708" s="259"/>
      <c r="G708" s="260"/>
      <c r="H708" s="260"/>
    </row>
    <row r="709">
      <c r="B709" s="257"/>
      <c r="C709" s="258"/>
      <c r="D709" s="258"/>
      <c r="E709" s="259"/>
      <c r="F709" s="259"/>
      <c r="G709" s="260"/>
      <c r="H709" s="260"/>
    </row>
    <row r="710">
      <c r="B710" s="257"/>
      <c r="C710" s="258"/>
      <c r="D710" s="258"/>
      <c r="E710" s="259"/>
      <c r="F710" s="259"/>
      <c r="G710" s="260"/>
      <c r="H710" s="260"/>
    </row>
    <row r="711">
      <c r="B711" s="257"/>
      <c r="C711" s="258"/>
      <c r="D711" s="258"/>
      <c r="E711" s="259"/>
      <c r="F711" s="259"/>
      <c r="G711" s="260"/>
      <c r="H711" s="260"/>
    </row>
    <row r="712">
      <c r="B712" s="257"/>
      <c r="C712" s="258"/>
      <c r="D712" s="258"/>
      <c r="E712" s="259"/>
      <c r="F712" s="259"/>
      <c r="G712" s="260"/>
      <c r="H712" s="260"/>
    </row>
    <row r="713">
      <c r="B713" s="257"/>
      <c r="C713" s="258"/>
      <c r="D713" s="258"/>
      <c r="E713" s="259"/>
      <c r="F713" s="259"/>
      <c r="G713" s="260"/>
      <c r="H713" s="260"/>
    </row>
    <row r="714">
      <c r="B714" s="257"/>
      <c r="C714" s="258"/>
      <c r="D714" s="258"/>
      <c r="E714" s="259"/>
      <c r="F714" s="259"/>
      <c r="G714" s="260"/>
      <c r="H714" s="260"/>
    </row>
    <row r="715">
      <c r="B715" s="257"/>
      <c r="C715" s="258"/>
      <c r="D715" s="258"/>
      <c r="E715" s="259"/>
      <c r="F715" s="259"/>
      <c r="G715" s="260"/>
      <c r="H715" s="260"/>
    </row>
    <row r="716">
      <c r="B716" s="257"/>
      <c r="C716" s="258"/>
      <c r="D716" s="258"/>
      <c r="E716" s="259"/>
      <c r="F716" s="259"/>
      <c r="G716" s="260"/>
      <c r="H716" s="260"/>
    </row>
    <row r="717">
      <c r="B717" s="257"/>
      <c r="C717" s="258"/>
      <c r="D717" s="258"/>
      <c r="E717" s="259"/>
      <c r="F717" s="259"/>
      <c r="G717" s="260"/>
      <c r="H717" s="260"/>
    </row>
    <row r="718">
      <c r="B718" s="257"/>
      <c r="C718" s="258"/>
      <c r="D718" s="258"/>
      <c r="E718" s="259"/>
      <c r="F718" s="259"/>
      <c r="G718" s="260"/>
      <c r="H718" s="260"/>
    </row>
    <row r="719">
      <c r="B719" s="257"/>
      <c r="C719" s="258"/>
      <c r="D719" s="258"/>
      <c r="E719" s="259"/>
      <c r="F719" s="259"/>
      <c r="G719" s="260"/>
      <c r="H719" s="260"/>
    </row>
    <row r="720">
      <c r="B720" s="257"/>
      <c r="C720" s="258"/>
      <c r="D720" s="258"/>
      <c r="E720" s="259"/>
      <c r="F720" s="259"/>
      <c r="G720" s="260"/>
      <c r="H720" s="260"/>
    </row>
    <row r="721">
      <c r="B721" s="257"/>
      <c r="C721" s="258"/>
      <c r="D721" s="258"/>
      <c r="E721" s="259"/>
      <c r="F721" s="259"/>
      <c r="G721" s="260"/>
      <c r="H721" s="260"/>
    </row>
    <row r="722">
      <c r="B722" s="257"/>
      <c r="C722" s="258"/>
      <c r="D722" s="258"/>
      <c r="E722" s="259"/>
      <c r="F722" s="259"/>
      <c r="G722" s="260"/>
      <c r="H722" s="260"/>
    </row>
    <row r="723">
      <c r="B723" s="257"/>
      <c r="C723" s="258"/>
      <c r="D723" s="258"/>
      <c r="E723" s="259"/>
      <c r="F723" s="259"/>
      <c r="G723" s="260"/>
      <c r="H723" s="260"/>
    </row>
    <row r="724">
      <c r="B724" s="257"/>
      <c r="C724" s="258"/>
      <c r="D724" s="258"/>
      <c r="E724" s="259"/>
      <c r="F724" s="259"/>
      <c r="G724" s="260"/>
      <c r="H724" s="260"/>
    </row>
    <row r="725">
      <c r="B725" s="257"/>
      <c r="C725" s="258"/>
      <c r="D725" s="258"/>
      <c r="E725" s="259"/>
      <c r="F725" s="259"/>
      <c r="G725" s="260"/>
      <c r="H725" s="260"/>
    </row>
    <row r="726">
      <c r="B726" s="257"/>
      <c r="C726" s="258"/>
      <c r="D726" s="258"/>
      <c r="E726" s="259"/>
      <c r="F726" s="259"/>
      <c r="G726" s="260"/>
      <c r="H726" s="260"/>
    </row>
    <row r="727">
      <c r="B727" s="257"/>
      <c r="C727" s="258"/>
      <c r="D727" s="258"/>
      <c r="E727" s="259"/>
      <c r="F727" s="259"/>
      <c r="G727" s="260"/>
      <c r="H727" s="260"/>
    </row>
    <row r="728">
      <c r="B728" s="257"/>
      <c r="C728" s="258"/>
      <c r="D728" s="258"/>
      <c r="E728" s="259"/>
      <c r="F728" s="259"/>
      <c r="G728" s="260"/>
      <c r="H728" s="260"/>
    </row>
    <row r="729">
      <c r="B729" s="257"/>
      <c r="C729" s="258"/>
      <c r="D729" s="258"/>
      <c r="E729" s="259"/>
      <c r="F729" s="259"/>
      <c r="G729" s="260"/>
      <c r="H729" s="260"/>
    </row>
    <row r="730">
      <c r="B730" s="257"/>
      <c r="C730" s="258"/>
      <c r="D730" s="258"/>
      <c r="E730" s="259"/>
      <c r="F730" s="259"/>
      <c r="G730" s="260"/>
      <c r="H730" s="260"/>
    </row>
    <row r="731">
      <c r="B731" s="257"/>
      <c r="C731" s="258"/>
      <c r="D731" s="258"/>
      <c r="E731" s="259"/>
      <c r="F731" s="259"/>
      <c r="G731" s="260"/>
      <c r="H731" s="260"/>
    </row>
    <row r="732">
      <c r="B732" s="257"/>
      <c r="C732" s="258"/>
      <c r="D732" s="258"/>
      <c r="E732" s="259"/>
      <c r="F732" s="259"/>
      <c r="G732" s="260"/>
      <c r="H732" s="260"/>
    </row>
    <row r="733">
      <c r="B733" s="257"/>
      <c r="C733" s="258"/>
      <c r="D733" s="258"/>
      <c r="E733" s="259"/>
      <c r="F733" s="259"/>
      <c r="G733" s="260"/>
      <c r="H733" s="260"/>
    </row>
    <row r="734">
      <c r="B734" s="257"/>
      <c r="C734" s="258"/>
      <c r="D734" s="258"/>
      <c r="E734" s="259"/>
      <c r="F734" s="259"/>
      <c r="G734" s="260"/>
      <c r="H734" s="260"/>
    </row>
    <row r="735">
      <c r="B735" s="257"/>
      <c r="C735" s="258"/>
      <c r="D735" s="258"/>
      <c r="E735" s="259"/>
      <c r="F735" s="259"/>
      <c r="G735" s="260"/>
      <c r="H735" s="260"/>
    </row>
    <row r="736">
      <c r="B736" s="257"/>
      <c r="C736" s="258"/>
      <c r="D736" s="258"/>
      <c r="E736" s="259"/>
      <c r="F736" s="259"/>
      <c r="G736" s="260"/>
      <c r="H736" s="260"/>
    </row>
    <row r="737">
      <c r="B737" s="257"/>
      <c r="C737" s="258"/>
      <c r="D737" s="258"/>
      <c r="E737" s="259"/>
      <c r="F737" s="259"/>
      <c r="G737" s="260"/>
      <c r="H737" s="260"/>
    </row>
    <row r="738">
      <c r="B738" s="257"/>
      <c r="C738" s="258"/>
      <c r="D738" s="258"/>
      <c r="E738" s="259"/>
      <c r="F738" s="259"/>
      <c r="G738" s="260"/>
      <c r="H738" s="260"/>
    </row>
    <row r="739">
      <c r="B739" s="257"/>
      <c r="C739" s="258"/>
      <c r="D739" s="258"/>
      <c r="E739" s="259"/>
      <c r="F739" s="259"/>
      <c r="G739" s="260"/>
      <c r="H739" s="260"/>
    </row>
    <row r="740">
      <c r="B740" s="257"/>
      <c r="C740" s="258"/>
      <c r="D740" s="258"/>
      <c r="E740" s="259"/>
      <c r="F740" s="259"/>
      <c r="G740" s="260"/>
      <c r="H740" s="260"/>
    </row>
    <row r="741">
      <c r="B741" s="257"/>
      <c r="C741" s="258"/>
      <c r="D741" s="258"/>
      <c r="E741" s="259"/>
      <c r="F741" s="259"/>
      <c r="G741" s="260"/>
      <c r="H741" s="260"/>
    </row>
    <row r="742">
      <c r="B742" s="257"/>
      <c r="C742" s="258"/>
      <c r="D742" s="258"/>
      <c r="E742" s="259"/>
      <c r="F742" s="259"/>
      <c r="G742" s="260"/>
      <c r="H742" s="260"/>
    </row>
    <row r="743">
      <c r="B743" s="257"/>
      <c r="C743" s="258"/>
      <c r="D743" s="258"/>
      <c r="E743" s="259"/>
      <c r="F743" s="259"/>
      <c r="G743" s="260"/>
      <c r="H743" s="260"/>
    </row>
    <row r="744">
      <c r="B744" s="257"/>
      <c r="C744" s="258"/>
      <c r="D744" s="258"/>
      <c r="E744" s="259"/>
      <c r="F744" s="259"/>
      <c r="G744" s="260"/>
      <c r="H744" s="260"/>
    </row>
    <row r="745">
      <c r="B745" s="257"/>
      <c r="C745" s="258"/>
      <c r="D745" s="258"/>
      <c r="E745" s="259"/>
      <c r="F745" s="259"/>
      <c r="G745" s="260"/>
      <c r="H745" s="260"/>
    </row>
    <row r="746">
      <c r="B746" s="257"/>
      <c r="C746" s="258"/>
      <c r="D746" s="258"/>
      <c r="E746" s="259"/>
      <c r="F746" s="259"/>
      <c r="G746" s="260"/>
      <c r="H746" s="260"/>
    </row>
    <row r="747">
      <c r="B747" s="257"/>
      <c r="C747" s="258"/>
      <c r="D747" s="258"/>
      <c r="E747" s="259"/>
      <c r="F747" s="259"/>
      <c r="G747" s="260"/>
      <c r="H747" s="260"/>
    </row>
    <row r="748">
      <c r="B748" s="257"/>
      <c r="C748" s="258"/>
      <c r="D748" s="258"/>
      <c r="E748" s="259"/>
      <c r="F748" s="259"/>
      <c r="G748" s="260"/>
      <c r="H748" s="260"/>
    </row>
    <row r="749">
      <c r="B749" s="257"/>
      <c r="C749" s="258"/>
      <c r="D749" s="258"/>
      <c r="E749" s="259"/>
      <c r="F749" s="259"/>
      <c r="G749" s="260"/>
      <c r="H749" s="260"/>
    </row>
    <row r="750">
      <c r="B750" s="257"/>
      <c r="C750" s="258"/>
      <c r="D750" s="258"/>
      <c r="E750" s="259"/>
      <c r="F750" s="259"/>
      <c r="G750" s="260"/>
      <c r="H750" s="260"/>
    </row>
    <row r="751">
      <c r="B751" s="257"/>
      <c r="C751" s="258"/>
      <c r="D751" s="258"/>
      <c r="E751" s="259"/>
      <c r="F751" s="259"/>
      <c r="G751" s="260"/>
      <c r="H751" s="260"/>
    </row>
    <row r="752">
      <c r="B752" s="257"/>
      <c r="C752" s="258"/>
      <c r="D752" s="258"/>
      <c r="E752" s="259"/>
      <c r="F752" s="259"/>
      <c r="G752" s="260"/>
      <c r="H752" s="260"/>
    </row>
    <row r="753">
      <c r="B753" s="257"/>
      <c r="C753" s="258"/>
      <c r="D753" s="258"/>
      <c r="E753" s="259"/>
      <c r="F753" s="259"/>
      <c r="G753" s="260"/>
      <c r="H753" s="260"/>
    </row>
    <row r="754">
      <c r="B754" s="257"/>
      <c r="C754" s="258"/>
      <c r="D754" s="258"/>
      <c r="E754" s="259"/>
      <c r="F754" s="259"/>
      <c r="G754" s="260"/>
      <c r="H754" s="260"/>
    </row>
    <row r="755">
      <c r="B755" s="257"/>
      <c r="C755" s="258"/>
      <c r="D755" s="258"/>
      <c r="E755" s="259"/>
      <c r="F755" s="259"/>
      <c r="G755" s="260"/>
      <c r="H755" s="260"/>
    </row>
    <row r="756">
      <c r="B756" s="257"/>
      <c r="C756" s="258"/>
      <c r="D756" s="258"/>
      <c r="E756" s="259"/>
      <c r="F756" s="259"/>
      <c r="G756" s="260"/>
      <c r="H756" s="260"/>
    </row>
    <row r="757">
      <c r="B757" s="257"/>
      <c r="C757" s="258"/>
      <c r="D757" s="258"/>
      <c r="E757" s="259"/>
      <c r="F757" s="259"/>
      <c r="G757" s="260"/>
      <c r="H757" s="260"/>
    </row>
    <row r="758">
      <c r="B758" s="257"/>
      <c r="C758" s="258"/>
      <c r="D758" s="258"/>
      <c r="E758" s="259"/>
      <c r="F758" s="259"/>
      <c r="G758" s="260"/>
      <c r="H758" s="260"/>
    </row>
    <row r="759">
      <c r="B759" s="257"/>
      <c r="C759" s="258"/>
      <c r="D759" s="258"/>
      <c r="E759" s="259"/>
      <c r="F759" s="259"/>
      <c r="G759" s="260"/>
      <c r="H759" s="260"/>
    </row>
    <row r="760">
      <c r="B760" s="257"/>
      <c r="C760" s="258"/>
      <c r="D760" s="258"/>
      <c r="E760" s="259"/>
      <c r="F760" s="259"/>
      <c r="G760" s="260"/>
      <c r="H760" s="260"/>
    </row>
    <row r="761">
      <c r="B761" s="257"/>
      <c r="C761" s="258"/>
      <c r="D761" s="258"/>
      <c r="E761" s="259"/>
      <c r="F761" s="259"/>
      <c r="G761" s="260"/>
      <c r="H761" s="260"/>
    </row>
    <row r="762">
      <c r="B762" s="257"/>
      <c r="C762" s="258"/>
      <c r="D762" s="258"/>
      <c r="E762" s="259"/>
      <c r="F762" s="259"/>
      <c r="G762" s="260"/>
      <c r="H762" s="260"/>
    </row>
    <row r="763">
      <c r="B763" s="257"/>
      <c r="C763" s="258"/>
      <c r="D763" s="258"/>
      <c r="E763" s="259"/>
      <c r="F763" s="259"/>
      <c r="G763" s="260"/>
      <c r="H763" s="260"/>
    </row>
    <row r="764">
      <c r="B764" s="257"/>
      <c r="C764" s="258"/>
      <c r="D764" s="258"/>
      <c r="E764" s="259"/>
      <c r="F764" s="259"/>
      <c r="G764" s="260"/>
      <c r="H764" s="260"/>
    </row>
    <row r="765">
      <c r="B765" s="257"/>
      <c r="C765" s="258"/>
      <c r="D765" s="258"/>
      <c r="E765" s="259"/>
      <c r="F765" s="259"/>
      <c r="G765" s="260"/>
      <c r="H765" s="260"/>
    </row>
    <row r="766">
      <c r="B766" s="257"/>
      <c r="C766" s="258"/>
      <c r="D766" s="258"/>
      <c r="E766" s="259"/>
      <c r="F766" s="259"/>
      <c r="G766" s="260"/>
      <c r="H766" s="260"/>
    </row>
    <row r="767">
      <c r="B767" s="257"/>
      <c r="C767" s="258"/>
      <c r="D767" s="258"/>
      <c r="E767" s="259"/>
      <c r="F767" s="259"/>
      <c r="G767" s="260"/>
      <c r="H767" s="260"/>
    </row>
    <row r="768">
      <c r="B768" s="257"/>
      <c r="C768" s="258"/>
      <c r="D768" s="258"/>
      <c r="E768" s="259"/>
      <c r="F768" s="259"/>
      <c r="G768" s="260"/>
      <c r="H768" s="260"/>
    </row>
    <row r="769">
      <c r="B769" s="257"/>
      <c r="C769" s="258"/>
      <c r="D769" s="258"/>
      <c r="E769" s="259"/>
      <c r="F769" s="259"/>
      <c r="G769" s="260"/>
      <c r="H769" s="260"/>
    </row>
    <row r="770">
      <c r="B770" s="257"/>
      <c r="C770" s="258"/>
      <c r="D770" s="258"/>
      <c r="E770" s="259"/>
      <c r="F770" s="259"/>
      <c r="G770" s="260"/>
      <c r="H770" s="260"/>
    </row>
    <row r="771">
      <c r="B771" s="257"/>
      <c r="C771" s="258"/>
      <c r="D771" s="258"/>
      <c r="E771" s="259"/>
      <c r="F771" s="259"/>
      <c r="G771" s="260"/>
      <c r="H771" s="260"/>
    </row>
    <row r="772">
      <c r="B772" s="257"/>
      <c r="C772" s="258"/>
      <c r="D772" s="258"/>
      <c r="E772" s="259"/>
      <c r="F772" s="259"/>
      <c r="G772" s="260"/>
      <c r="H772" s="260"/>
    </row>
    <row r="773">
      <c r="B773" s="257"/>
      <c r="C773" s="258"/>
      <c r="D773" s="258"/>
      <c r="E773" s="259"/>
      <c r="F773" s="259"/>
      <c r="G773" s="260"/>
      <c r="H773" s="260"/>
    </row>
    <row r="774">
      <c r="B774" s="257"/>
      <c r="C774" s="258"/>
      <c r="D774" s="258"/>
      <c r="E774" s="259"/>
      <c r="F774" s="259"/>
      <c r="G774" s="260"/>
      <c r="H774" s="260"/>
    </row>
    <row r="775">
      <c r="B775" s="257"/>
      <c r="C775" s="258"/>
      <c r="D775" s="258"/>
      <c r="E775" s="259"/>
      <c r="F775" s="259"/>
      <c r="G775" s="260"/>
      <c r="H775" s="260"/>
    </row>
    <row r="776">
      <c r="B776" s="257"/>
      <c r="C776" s="258"/>
      <c r="D776" s="258"/>
      <c r="E776" s="259"/>
      <c r="F776" s="259"/>
      <c r="G776" s="260"/>
      <c r="H776" s="260"/>
    </row>
    <row r="777">
      <c r="B777" s="257"/>
      <c r="C777" s="258"/>
      <c r="D777" s="258"/>
      <c r="E777" s="259"/>
      <c r="F777" s="259"/>
      <c r="G777" s="260"/>
      <c r="H777" s="260"/>
    </row>
    <row r="778">
      <c r="B778" s="257"/>
      <c r="C778" s="258"/>
      <c r="D778" s="258"/>
      <c r="E778" s="259"/>
      <c r="F778" s="259"/>
      <c r="G778" s="260"/>
      <c r="H778" s="260"/>
    </row>
    <row r="779">
      <c r="B779" s="257"/>
      <c r="C779" s="258"/>
      <c r="D779" s="258"/>
      <c r="E779" s="259"/>
      <c r="F779" s="259"/>
      <c r="G779" s="260"/>
      <c r="H779" s="260"/>
    </row>
    <row r="780">
      <c r="B780" s="257"/>
      <c r="C780" s="258"/>
      <c r="D780" s="258"/>
      <c r="E780" s="259"/>
      <c r="F780" s="259"/>
      <c r="G780" s="260"/>
      <c r="H780" s="260"/>
    </row>
    <row r="781">
      <c r="B781" s="257"/>
      <c r="C781" s="258"/>
      <c r="D781" s="258"/>
      <c r="E781" s="259"/>
      <c r="F781" s="259"/>
      <c r="G781" s="260"/>
      <c r="H781" s="260"/>
    </row>
    <row r="782">
      <c r="B782" s="257"/>
      <c r="C782" s="258"/>
      <c r="D782" s="258"/>
      <c r="E782" s="259"/>
      <c r="F782" s="259"/>
      <c r="G782" s="260"/>
      <c r="H782" s="260"/>
    </row>
    <row r="783">
      <c r="B783" s="257"/>
      <c r="C783" s="258"/>
      <c r="D783" s="258"/>
      <c r="E783" s="259"/>
      <c r="F783" s="259"/>
      <c r="G783" s="260"/>
      <c r="H783" s="260"/>
    </row>
    <row r="784">
      <c r="B784" s="257"/>
      <c r="C784" s="258"/>
      <c r="D784" s="258"/>
      <c r="E784" s="259"/>
      <c r="F784" s="259"/>
      <c r="G784" s="260"/>
      <c r="H784" s="260"/>
    </row>
    <row r="785">
      <c r="B785" s="257"/>
      <c r="C785" s="258"/>
      <c r="D785" s="258"/>
      <c r="E785" s="259"/>
      <c r="F785" s="259"/>
      <c r="G785" s="260"/>
      <c r="H785" s="260"/>
    </row>
    <row r="786">
      <c r="B786" s="257"/>
      <c r="C786" s="258"/>
      <c r="D786" s="258"/>
      <c r="E786" s="259"/>
      <c r="F786" s="259"/>
      <c r="G786" s="260"/>
      <c r="H786" s="260"/>
    </row>
    <row r="787">
      <c r="B787" s="257"/>
      <c r="C787" s="258"/>
      <c r="D787" s="258"/>
      <c r="E787" s="259"/>
      <c r="F787" s="259"/>
      <c r="G787" s="260"/>
      <c r="H787" s="260"/>
    </row>
    <row r="788">
      <c r="B788" s="257"/>
      <c r="C788" s="258"/>
      <c r="D788" s="258"/>
      <c r="E788" s="259"/>
      <c r="F788" s="259"/>
      <c r="G788" s="260"/>
      <c r="H788" s="260"/>
    </row>
    <row r="789">
      <c r="B789" s="257"/>
      <c r="C789" s="258"/>
      <c r="D789" s="258"/>
      <c r="E789" s="259"/>
      <c r="F789" s="259"/>
      <c r="G789" s="260"/>
      <c r="H789" s="260"/>
    </row>
    <row r="790">
      <c r="B790" s="257"/>
      <c r="C790" s="258"/>
      <c r="D790" s="258"/>
      <c r="E790" s="259"/>
      <c r="F790" s="259"/>
      <c r="G790" s="260"/>
      <c r="H790" s="260"/>
    </row>
    <row r="791">
      <c r="B791" s="257"/>
      <c r="C791" s="258"/>
      <c r="D791" s="258"/>
      <c r="E791" s="259"/>
      <c r="F791" s="259"/>
      <c r="G791" s="260"/>
      <c r="H791" s="260"/>
    </row>
    <row r="792">
      <c r="B792" s="257"/>
      <c r="C792" s="258"/>
      <c r="D792" s="258"/>
      <c r="E792" s="259"/>
      <c r="F792" s="259"/>
      <c r="G792" s="260"/>
      <c r="H792" s="260"/>
    </row>
    <row r="793">
      <c r="B793" s="257"/>
      <c r="C793" s="258"/>
      <c r="D793" s="258"/>
      <c r="E793" s="259"/>
      <c r="F793" s="259"/>
      <c r="G793" s="260"/>
      <c r="H793" s="260"/>
    </row>
    <row r="794">
      <c r="B794" s="257"/>
      <c r="C794" s="258"/>
      <c r="D794" s="258"/>
      <c r="E794" s="259"/>
      <c r="F794" s="259"/>
      <c r="G794" s="260"/>
      <c r="H794" s="260"/>
    </row>
    <row r="795">
      <c r="B795" s="257"/>
      <c r="C795" s="258"/>
      <c r="D795" s="258"/>
      <c r="E795" s="259"/>
      <c r="F795" s="259"/>
      <c r="G795" s="260"/>
      <c r="H795" s="260"/>
    </row>
    <row r="796">
      <c r="B796" s="257"/>
      <c r="C796" s="258"/>
      <c r="D796" s="258"/>
      <c r="E796" s="259"/>
      <c r="F796" s="259"/>
      <c r="G796" s="260"/>
      <c r="H796" s="260"/>
    </row>
    <row r="797">
      <c r="B797" s="257"/>
      <c r="C797" s="258"/>
      <c r="D797" s="258"/>
      <c r="E797" s="259"/>
      <c r="F797" s="259"/>
      <c r="G797" s="260"/>
      <c r="H797" s="260"/>
    </row>
    <row r="798">
      <c r="B798" s="257"/>
      <c r="C798" s="258"/>
      <c r="D798" s="258"/>
      <c r="E798" s="259"/>
      <c r="F798" s="259"/>
      <c r="G798" s="260"/>
      <c r="H798" s="260"/>
    </row>
    <row r="799">
      <c r="B799" s="257"/>
      <c r="C799" s="258"/>
      <c r="D799" s="258"/>
      <c r="E799" s="259"/>
      <c r="F799" s="259"/>
      <c r="G799" s="260"/>
      <c r="H799" s="260"/>
    </row>
    <row r="800">
      <c r="B800" s="257"/>
      <c r="C800" s="258"/>
      <c r="D800" s="258"/>
      <c r="E800" s="259"/>
      <c r="F800" s="259"/>
      <c r="G800" s="260"/>
      <c r="H800" s="260"/>
    </row>
    <row r="801">
      <c r="B801" s="257"/>
      <c r="C801" s="258"/>
      <c r="D801" s="258"/>
      <c r="E801" s="259"/>
      <c r="F801" s="259"/>
      <c r="G801" s="260"/>
      <c r="H801" s="260"/>
    </row>
    <row r="802">
      <c r="B802" s="257"/>
      <c r="C802" s="258"/>
      <c r="D802" s="258"/>
      <c r="E802" s="259"/>
      <c r="F802" s="259"/>
      <c r="G802" s="260"/>
      <c r="H802" s="260"/>
    </row>
    <row r="803">
      <c r="B803" s="257"/>
      <c r="C803" s="258"/>
      <c r="D803" s="258"/>
      <c r="E803" s="259"/>
      <c r="F803" s="259"/>
      <c r="G803" s="260"/>
      <c r="H803" s="260"/>
    </row>
    <row r="804">
      <c r="B804" s="257"/>
      <c r="C804" s="258"/>
      <c r="D804" s="258"/>
      <c r="E804" s="259"/>
      <c r="F804" s="259"/>
      <c r="G804" s="260"/>
      <c r="H804" s="260"/>
    </row>
    <row r="805">
      <c r="B805" s="257"/>
      <c r="C805" s="258"/>
      <c r="D805" s="258"/>
      <c r="E805" s="259"/>
      <c r="F805" s="259"/>
      <c r="G805" s="260"/>
      <c r="H805" s="260"/>
    </row>
    <row r="806">
      <c r="B806" s="257"/>
      <c r="C806" s="258"/>
      <c r="D806" s="258"/>
      <c r="E806" s="259"/>
      <c r="F806" s="259"/>
      <c r="G806" s="260"/>
      <c r="H806" s="260"/>
    </row>
    <row r="807">
      <c r="B807" s="257"/>
      <c r="C807" s="258"/>
      <c r="D807" s="258"/>
      <c r="E807" s="259"/>
      <c r="F807" s="259"/>
      <c r="G807" s="260"/>
      <c r="H807" s="260"/>
    </row>
    <row r="808">
      <c r="B808" s="257"/>
      <c r="C808" s="258"/>
      <c r="D808" s="258"/>
      <c r="E808" s="259"/>
      <c r="F808" s="259"/>
      <c r="G808" s="260"/>
      <c r="H808" s="260"/>
    </row>
    <row r="809">
      <c r="B809" s="257"/>
      <c r="C809" s="258"/>
      <c r="D809" s="258"/>
      <c r="E809" s="259"/>
      <c r="F809" s="259"/>
      <c r="G809" s="260"/>
      <c r="H809" s="260"/>
    </row>
    <row r="810">
      <c r="B810" s="257"/>
      <c r="C810" s="258"/>
      <c r="D810" s="258"/>
      <c r="E810" s="259"/>
      <c r="F810" s="259"/>
      <c r="G810" s="260"/>
      <c r="H810" s="260"/>
    </row>
    <row r="811">
      <c r="B811" s="257"/>
      <c r="C811" s="258"/>
      <c r="D811" s="258"/>
      <c r="E811" s="259"/>
      <c r="F811" s="259"/>
      <c r="G811" s="260"/>
      <c r="H811" s="260"/>
    </row>
    <row r="812">
      <c r="B812" s="257"/>
      <c r="C812" s="258"/>
      <c r="D812" s="258"/>
      <c r="E812" s="259"/>
      <c r="F812" s="259"/>
      <c r="G812" s="260"/>
      <c r="H812" s="260"/>
    </row>
    <row r="813">
      <c r="B813" s="257"/>
      <c r="C813" s="258"/>
      <c r="D813" s="258"/>
      <c r="E813" s="259"/>
      <c r="F813" s="259"/>
      <c r="G813" s="260"/>
      <c r="H813" s="260"/>
    </row>
    <row r="814">
      <c r="B814" s="257"/>
      <c r="C814" s="258"/>
      <c r="D814" s="258"/>
      <c r="E814" s="259"/>
      <c r="F814" s="259"/>
      <c r="G814" s="260"/>
      <c r="H814" s="260"/>
    </row>
    <row r="815">
      <c r="B815" s="257"/>
      <c r="C815" s="258"/>
      <c r="D815" s="258"/>
      <c r="E815" s="259"/>
      <c r="F815" s="259"/>
      <c r="G815" s="260"/>
      <c r="H815" s="260"/>
    </row>
    <row r="816">
      <c r="B816" s="257"/>
      <c r="C816" s="258"/>
      <c r="D816" s="258"/>
      <c r="E816" s="259"/>
      <c r="F816" s="259"/>
      <c r="G816" s="260"/>
      <c r="H816" s="260"/>
    </row>
    <row r="817">
      <c r="B817" s="257"/>
      <c r="C817" s="258"/>
      <c r="D817" s="258"/>
      <c r="E817" s="259"/>
      <c r="F817" s="259"/>
      <c r="G817" s="260"/>
      <c r="H817" s="260"/>
    </row>
    <row r="818">
      <c r="B818" s="257"/>
      <c r="C818" s="258"/>
      <c r="D818" s="258"/>
      <c r="E818" s="259"/>
      <c r="F818" s="259"/>
      <c r="G818" s="260"/>
      <c r="H818" s="260"/>
    </row>
    <row r="819">
      <c r="B819" s="257"/>
      <c r="C819" s="258"/>
      <c r="D819" s="258"/>
      <c r="E819" s="259"/>
      <c r="F819" s="259"/>
      <c r="G819" s="260"/>
      <c r="H819" s="260"/>
    </row>
    <row r="820">
      <c r="B820" s="257"/>
      <c r="C820" s="258"/>
      <c r="D820" s="258"/>
      <c r="E820" s="259"/>
      <c r="F820" s="259"/>
      <c r="G820" s="260"/>
      <c r="H820" s="260"/>
    </row>
    <row r="821">
      <c r="B821" s="257"/>
      <c r="C821" s="258"/>
      <c r="D821" s="258"/>
      <c r="E821" s="259"/>
      <c r="F821" s="259"/>
      <c r="G821" s="260"/>
      <c r="H821" s="260"/>
    </row>
    <row r="822">
      <c r="B822" s="257"/>
      <c r="C822" s="258"/>
      <c r="D822" s="258"/>
      <c r="E822" s="259"/>
      <c r="F822" s="259"/>
      <c r="G822" s="260"/>
      <c r="H822" s="260"/>
    </row>
    <row r="823">
      <c r="B823" s="257"/>
      <c r="C823" s="258"/>
      <c r="D823" s="258"/>
      <c r="E823" s="259"/>
      <c r="F823" s="259"/>
      <c r="G823" s="260"/>
      <c r="H823" s="260"/>
    </row>
    <row r="824">
      <c r="B824" s="257"/>
      <c r="C824" s="258"/>
      <c r="D824" s="258"/>
      <c r="E824" s="259"/>
      <c r="F824" s="259"/>
      <c r="G824" s="260"/>
      <c r="H824" s="260"/>
    </row>
    <row r="825">
      <c r="B825" s="257"/>
      <c r="C825" s="258"/>
      <c r="D825" s="258"/>
      <c r="E825" s="259"/>
      <c r="F825" s="259"/>
      <c r="G825" s="260"/>
      <c r="H825" s="260"/>
    </row>
    <row r="826">
      <c r="B826" s="257"/>
      <c r="C826" s="258"/>
      <c r="D826" s="258"/>
      <c r="E826" s="259"/>
      <c r="F826" s="259"/>
      <c r="G826" s="260"/>
      <c r="H826" s="260"/>
    </row>
    <row r="827">
      <c r="B827" s="257"/>
      <c r="C827" s="258"/>
      <c r="D827" s="258"/>
      <c r="E827" s="259"/>
      <c r="F827" s="259"/>
      <c r="G827" s="260"/>
      <c r="H827" s="260"/>
    </row>
    <row r="828">
      <c r="B828" s="257"/>
      <c r="C828" s="258"/>
      <c r="D828" s="258"/>
      <c r="E828" s="259"/>
      <c r="F828" s="259"/>
      <c r="G828" s="260"/>
      <c r="H828" s="260"/>
    </row>
    <row r="829">
      <c r="B829" s="257"/>
      <c r="C829" s="258"/>
      <c r="D829" s="258"/>
      <c r="E829" s="259"/>
      <c r="F829" s="259"/>
      <c r="G829" s="260"/>
      <c r="H829" s="260"/>
    </row>
    <row r="830">
      <c r="B830" s="257"/>
      <c r="C830" s="258"/>
      <c r="D830" s="258"/>
      <c r="E830" s="259"/>
      <c r="F830" s="259"/>
      <c r="G830" s="260"/>
      <c r="H830" s="260"/>
    </row>
    <row r="831">
      <c r="B831" s="257"/>
      <c r="C831" s="258"/>
      <c r="D831" s="258"/>
      <c r="E831" s="259"/>
      <c r="F831" s="259"/>
      <c r="G831" s="260"/>
      <c r="H831" s="260"/>
    </row>
    <row r="832">
      <c r="B832" s="257"/>
      <c r="C832" s="258"/>
      <c r="D832" s="258"/>
      <c r="E832" s="259"/>
      <c r="F832" s="259"/>
      <c r="G832" s="260"/>
      <c r="H832" s="260"/>
    </row>
    <row r="833">
      <c r="B833" s="257"/>
      <c r="C833" s="258"/>
      <c r="D833" s="258"/>
      <c r="E833" s="259"/>
      <c r="F833" s="259"/>
      <c r="G833" s="260"/>
      <c r="H833" s="260"/>
    </row>
    <row r="834">
      <c r="B834" s="257"/>
      <c r="C834" s="258"/>
      <c r="D834" s="258"/>
      <c r="E834" s="259"/>
      <c r="F834" s="259"/>
      <c r="G834" s="260"/>
      <c r="H834" s="260"/>
    </row>
    <row r="835">
      <c r="B835" s="257"/>
      <c r="C835" s="258"/>
      <c r="D835" s="258"/>
      <c r="E835" s="259"/>
      <c r="F835" s="259"/>
      <c r="G835" s="260"/>
      <c r="H835" s="260"/>
    </row>
    <row r="836">
      <c r="B836" s="257"/>
      <c r="C836" s="258"/>
      <c r="D836" s="258"/>
      <c r="E836" s="259"/>
      <c r="F836" s="259"/>
      <c r="G836" s="260"/>
      <c r="H836" s="260"/>
    </row>
    <row r="837">
      <c r="B837" s="257"/>
      <c r="C837" s="258"/>
      <c r="D837" s="258"/>
      <c r="E837" s="259"/>
      <c r="F837" s="259"/>
      <c r="G837" s="260"/>
      <c r="H837" s="260"/>
    </row>
    <row r="838">
      <c r="B838" s="257"/>
      <c r="C838" s="258"/>
      <c r="D838" s="258"/>
      <c r="E838" s="259"/>
      <c r="F838" s="259"/>
      <c r="G838" s="260"/>
      <c r="H838" s="260"/>
    </row>
    <row r="839">
      <c r="B839" s="257"/>
      <c r="C839" s="258"/>
      <c r="D839" s="258"/>
      <c r="E839" s="259"/>
      <c r="F839" s="259"/>
      <c r="G839" s="260"/>
      <c r="H839" s="260"/>
    </row>
    <row r="840">
      <c r="B840" s="257"/>
      <c r="C840" s="258"/>
      <c r="D840" s="258"/>
      <c r="E840" s="259"/>
      <c r="F840" s="259"/>
      <c r="G840" s="260"/>
      <c r="H840" s="260"/>
    </row>
    <row r="841">
      <c r="B841" s="257"/>
      <c r="C841" s="258"/>
      <c r="D841" s="258"/>
      <c r="E841" s="259"/>
      <c r="F841" s="259"/>
      <c r="G841" s="260"/>
      <c r="H841" s="260"/>
    </row>
    <row r="842">
      <c r="B842" s="257"/>
      <c r="C842" s="258"/>
      <c r="D842" s="258"/>
      <c r="E842" s="259"/>
      <c r="F842" s="259"/>
      <c r="G842" s="260"/>
      <c r="H842" s="260"/>
    </row>
    <row r="843">
      <c r="B843" s="257"/>
      <c r="C843" s="258"/>
      <c r="D843" s="258"/>
      <c r="E843" s="259"/>
      <c r="F843" s="259"/>
      <c r="G843" s="260"/>
      <c r="H843" s="260"/>
    </row>
    <row r="844">
      <c r="B844" s="257"/>
      <c r="C844" s="258"/>
      <c r="D844" s="258"/>
      <c r="E844" s="259"/>
      <c r="F844" s="259"/>
      <c r="G844" s="260"/>
      <c r="H844" s="260"/>
    </row>
    <row r="845">
      <c r="B845" s="257"/>
      <c r="C845" s="258"/>
      <c r="D845" s="258"/>
      <c r="E845" s="259"/>
      <c r="F845" s="259"/>
      <c r="G845" s="260"/>
      <c r="H845" s="260"/>
    </row>
    <row r="846">
      <c r="B846" s="257"/>
      <c r="C846" s="258"/>
      <c r="D846" s="258"/>
      <c r="E846" s="259"/>
      <c r="F846" s="259"/>
      <c r="G846" s="260"/>
      <c r="H846" s="260"/>
    </row>
    <row r="847">
      <c r="B847" s="257"/>
      <c r="C847" s="258"/>
      <c r="D847" s="258"/>
      <c r="E847" s="259"/>
      <c r="F847" s="259"/>
      <c r="G847" s="260"/>
      <c r="H847" s="260"/>
    </row>
    <row r="848">
      <c r="B848" s="257"/>
      <c r="C848" s="258"/>
      <c r="D848" s="258"/>
      <c r="E848" s="259"/>
      <c r="F848" s="259"/>
      <c r="G848" s="260"/>
      <c r="H848" s="260"/>
    </row>
    <row r="849">
      <c r="B849" s="257"/>
      <c r="C849" s="258"/>
      <c r="D849" s="258"/>
      <c r="E849" s="259"/>
      <c r="F849" s="259"/>
      <c r="G849" s="260"/>
      <c r="H849" s="260"/>
    </row>
    <row r="850">
      <c r="B850" s="257"/>
      <c r="C850" s="258"/>
      <c r="D850" s="258"/>
      <c r="E850" s="259"/>
      <c r="F850" s="259"/>
      <c r="G850" s="260"/>
      <c r="H850" s="260"/>
    </row>
    <row r="851">
      <c r="B851" s="257"/>
      <c r="C851" s="258"/>
      <c r="D851" s="258"/>
      <c r="E851" s="259"/>
      <c r="F851" s="259"/>
      <c r="G851" s="260"/>
      <c r="H851" s="260"/>
    </row>
    <row r="852">
      <c r="B852" s="257"/>
      <c r="C852" s="258"/>
      <c r="D852" s="258"/>
      <c r="E852" s="259"/>
      <c r="F852" s="259"/>
      <c r="G852" s="260"/>
      <c r="H852" s="260"/>
    </row>
    <row r="853">
      <c r="B853" s="257"/>
      <c r="C853" s="258"/>
      <c r="D853" s="258"/>
      <c r="E853" s="259"/>
      <c r="F853" s="259"/>
      <c r="G853" s="260"/>
      <c r="H853" s="260"/>
    </row>
    <row r="854">
      <c r="B854" s="257"/>
      <c r="C854" s="258"/>
      <c r="D854" s="258"/>
      <c r="E854" s="259"/>
      <c r="F854" s="259"/>
      <c r="G854" s="260"/>
      <c r="H854" s="260"/>
    </row>
    <row r="855">
      <c r="B855" s="257"/>
      <c r="C855" s="258"/>
      <c r="D855" s="258"/>
      <c r="E855" s="259"/>
      <c r="F855" s="259"/>
      <c r="G855" s="260"/>
      <c r="H855" s="260"/>
    </row>
    <row r="856">
      <c r="B856" s="257"/>
      <c r="C856" s="258"/>
      <c r="D856" s="258"/>
      <c r="E856" s="259"/>
      <c r="F856" s="259"/>
      <c r="G856" s="260"/>
      <c r="H856" s="260"/>
    </row>
    <row r="857">
      <c r="B857" s="257"/>
      <c r="C857" s="258"/>
      <c r="D857" s="258"/>
      <c r="E857" s="259"/>
      <c r="F857" s="259"/>
      <c r="G857" s="260"/>
      <c r="H857" s="260"/>
    </row>
    <row r="858">
      <c r="B858" s="257"/>
      <c r="C858" s="258"/>
      <c r="D858" s="258"/>
      <c r="E858" s="259"/>
      <c r="F858" s="259"/>
      <c r="G858" s="260"/>
      <c r="H858" s="260"/>
    </row>
    <row r="859">
      <c r="B859" s="257"/>
      <c r="C859" s="258"/>
      <c r="D859" s="258"/>
      <c r="E859" s="259"/>
      <c r="F859" s="259"/>
      <c r="G859" s="260"/>
      <c r="H859" s="260"/>
    </row>
    <row r="860">
      <c r="B860" s="257"/>
      <c r="C860" s="258"/>
      <c r="D860" s="258"/>
      <c r="E860" s="259"/>
      <c r="F860" s="259"/>
      <c r="G860" s="260"/>
      <c r="H860" s="260"/>
    </row>
    <row r="861">
      <c r="B861" s="257"/>
      <c r="C861" s="258"/>
      <c r="D861" s="258"/>
      <c r="E861" s="259"/>
      <c r="F861" s="259"/>
      <c r="G861" s="260"/>
      <c r="H861" s="260"/>
    </row>
    <row r="862">
      <c r="B862" s="257"/>
      <c r="C862" s="258"/>
      <c r="D862" s="258"/>
      <c r="E862" s="259"/>
      <c r="F862" s="259"/>
      <c r="G862" s="260"/>
      <c r="H862" s="260"/>
    </row>
    <row r="863">
      <c r="B863" s="257"/>
      <c r="C863" s="258"/>
      <c r="D863" s="258"/>
      <c r="E863" s="259"/>
      <c r="F863" s="259"/>
      <c r="G863" s="260"/>
      <c r="H863" s="260"/>
    </row>
    <row r="864">
      <c r="B864" s="257"/>
      <c r="C864" s="258"/>
      <c r="D864" s="258"/>
      <c r="E864" s="259"/>
      <c r="F864" s="259"/>
      <c r="G864" s="260"/>
      <c r="H864" s="260"/>
    </row>
    <row r="865">
      <c r="B865" s="257"/>
      <c r="C865" s="258"/>
      <c r="D865" s="258"/>
      <c r="E865" s="259"/>
      <c r="F865" s="259"/>
      <c r="G865" s="260"/>
      <c r="H865" s="260"/>
    </row>
    <row r="866">
      <c r="B866" s="257"/>
      <c r="C866" s="258"/>
      <c r="D866" s="258"/>
      <c r="E866" s="259"/>
      <c r="F866" s="259"/>
      <c r="G866" s="260"/>
      <c r="H866" s="260"/>
    </row>
    <row r="867">
      <c r="B867" s="257"/>
      <c r="C867" s="258"/>
      <c r="D867" s="258"/>
      <c r="E867" s="259"/>
      <c r="F867" s="259"/>
      <c r="G867" s="260"/>
      <c r="H867" s="260"/>
    </row>
    <row r="868">
      <c r="B868" s="257"/>
      <c r="C868" s="258"/>
      <c r="D868" s="258"/>
      <c r="E868" s="259"/>
      <c r="F868" s="259"/>
      <c r="G868" s="260"/>
      <c r="H868" s="260"/>
    </row>
    <row r="869">
      <c r="B869" s="257"/>
      <c r="C869" s="258"/>
      <c r="D869" s="258"/>
      <c r="E869" s="259"/>
      <c r="F869" s="259"/>
      <c r="G869" s="260"/>
      <c r="H869" s="260"/>
    </row>
    <row r="870">
      <c r="B870" s="257"/>
      <c r="C870" s="258"/>
      <c r="D870" s="258"/>
      <c r="E870" s="259"/>
      <c r="F870" s="259"/>
      <c r="G870" s="260"/>
      <c r="H870" s="260"/>
    </row>
    <row r="871">
      <c r="B871" s="257"/>
      <c r="C871" s="258"/>
      <c r="D871" s="258"/>
      <c r="E871" s="259"/>
      <c r="F871" s="259"/>
      <c r="G871" s="260"/>
      <c r="H871" s="260"/>
    </row>
    <row r="872">
      <c r="B872" s="257"/>
      <c r="C872" s="258"/>
      <c r="D872" s="258"/>
      <c r="E872" s="259"/>
      <c r="F872" s="259"/>
      <c r="G872" s="260"/>
      <c r="H872" s="260"/>
    </row>
    <row r="873">
      <c r="B873" s="257"/>
      <c r="C873" s="258"/>
      <c r="D873" s="258"/>
      <c r="E873" s="259"/>
      <c r="F873" s="259"/>
      <c r="G873" s="260"/>
      <c r="H873" s="260"/>
    </row>
    <row r="874">
      <c r="B874" s="257"/>
      <c r="C874" s="258"/>
      <c r="D874" s="258"/>
      <c r="E874" s="259"/>
      <c r="F874" s="259"/>
      <c r="G874" s="260"/>
      <c r="H874" s="260"/>
    </row>
    <row r="875">
      <c r="B875" s="257"/>
      <c r="C875" s="258"/>
      <c r="D875" s="258"/>
      <c r="E875" s="259"/>
      <c r="F875" s="259"/>
      <c r="G875" s="260"/>
      <c r="H875" s="260"/>
    </row>
    <row r="876">
      <c r="B876" s="257"/>
      <c r="C876" s="258"/>
      <c r="D876" s="258"/>
      <c r="E876" s="259"/>
      <c r="F876" s="259"/>
      <c r="G876" s="260"/>
      <c r="H876" s="260"/>
    </row>
    <row r="877">
      <c r="B877" s="257"/>
      <c r="C877" s="258"/>
      <c r="D877" s="258"/>
      <c r="E877" s="259"/>
      <c r="F877" s="259"/>
      <c r="G877" s="260"/>
      <c r="H877" s="260"/>
    </row>
    <row r="878">
      <c r="B878" s="257"/>
      <c r="C878" s="258"/>
      <c r="D878" s="258"/>
      <c r="E878" s="259"/>
      <c r="F878" s="259"/>
      <c r="G878" s="260"/>
      <c r="H878" s="260"/>
    </row>
    <row r="879">
      <c r="B879" s="257"/>
      <c r="C879" s="258"/>
      <c r="D879" s="258"/>
      <c r="E879" s="259"/>
      <c r="F879" s="259"/>
      <c r="G879" s="260"/>
      <c r="H879" s="260"/>
    </row>
    <row r="880">
      <c r="B880" s="257"/>
      <c r="C880" s="258"/>
      <c r="D880" s="258"/>
      <c r="E880" s="259"/>
      <c r="F880" s="259"/>
      <c r="G880" s="260"/>
      <c r="H880" s="260"/>
    </row>
    <row r="881">
      <c r="B881" s="257"/>
      <c r="C881" s="258"/>
      <c r="D881" s="258"/>
      <c r="E881" s="259"/>
      <c r="F881" s="259"/>
      <c r="G881" s="260"/>
      <c r="H881" s="260"/>
    </row>
    <row r="882">
      <c r="B882" s="257"/>
      <c r="C882" s="258"/>
      <c r="D882" s="258"/>
      <c r="E882" s="259"/>
      <c r="F882" s="259"/>
      <c r="G882" s="260"/>
      <c r="H882" s="260"/>
    </row>
    <row r="883">
      <c r="B883" s="257"/>
      <c r="C883" s="258"/>
      <c r="D883" s="258"/>
      <c r="E883" s="259"/>
      <c r="F883" s="259"/>
      <c r="G883" s="260"/>
      <c r="H883" s="260"/>
    </row>
    <row r="884">
      <c r="B884" s="257"/>
      <c r="C884" s="258"/>
      <c r="D884" s="258"/>
      <c r="E884" s="259"/>
      <c r="F884" s="259"/>
      <c r="G884" s="260"/>
      <c r="H884" s="260"/>
    </row>
    <row r="885">
      <c r="B885" s="257"/>
      <c r="C885" s="258"/>
      <c r="D885" s="258"/>
      <c r="E885" s="259"/>
      <c r="F885" s="259"/>
      <c r="G885" s="260"/>
      <c r="H885" s="260"/>
    </row>
    <row r="886">
      <c r="B886" s="257"/>
      <c r="C886" s="258"/>
      <c r="D886" s="258"/>
      <c r="E886" s="259"/>
      <c r="F886" s="259"/>
      <c r="G886" s="260"/>
      <c r="H886" s="260"/>
    </row>
    <row r="887">
      <c r="B887" s="257"/>
      <c r="C887" s="258"/>
      <c r="D887" s="258"/>
      <c r="E887" s="259"/>
      <c r="F887" s="259"/>
      <c r="G887" s="260"/>
      <c r="H887" s="260"/>
    </row>
    <row r="888">
      <c r="B888" s="257"/>
      <c r="C888" s="258"/>
      <c r="D888" s="258"/>
      <c r="E888" s="259"/>
      <c r="F888" s="259"/>
      <c r="G888" s="260"/>
      <c r="H888" s="260"/>
    </row>
    <row r="889">
      <c r="B889" s="257"/>
      <c r="C889" s="258"/>
      <c r="D889" s="258"/>
      <c r="E889" s="259"/>
      <c r="F889" s="259"/>
      <c r="G889" s="260"/>
      <c r="H889" s="260"/>
    </row>
    <row r="890">
      <c r="B890" s="257"/>
      <c r="C890" s="258"/>
      <c r="D890" s="258"/>
      <c r="E890" s="259"/>
      <c r="F890" s="259"/>
      <c r="G890" s="260"/>
      <c r="H890" s="260"/>
    </row>
    <row r="891">
      <c r="B891" s="257"/>
      <c r="C891" s="258"/>
      <c r="D891" s="258"/>
      <c r="E891" s="259"/>
      <c r="F891" s="259"/>
      <c r="G891" s="260"/>
      <c r="H891" s="260"/>
    </row>
    <row r="892">
      <c r="B892" s="257"/>
      <c r="C892" s="258"/>
      <c r="D892" s="258"/>
      <c r="E892" s="259"/>
      <c r="F892" s="259"/>
      <c r="G892" s="260"/>
      <c r="H892" s="260"/>
    </row>
    <row r="893">
      <c r="B893" s="257"/>
      <c r="C893" s="258"/>
      <c r="D893" s="258"/>
      <c r="E893" s="259"/>
      <c r="F893" s="259"/>
      <c r="G893" s="260"/>
      <c r="H893" s="260"/>
    </row>
    <row r="894">
      <c r="B894" s="257"/>
      <c r="C894" s="258"/>
      <c r="D894" s="258"/>
      <c r="E894" s="259"/>
      <c r="F894" s="259"/>
      <c r="G894" s="260"/>
      <c r="H894" s="260"/>
    </row>
    <row r="895">
      <c r="B895" s="257"/>
      <c r="C895" s="258"/>
      <c r="D895" s="258"/>
      <c r="E895" s="259"/>
      <c r="F895" s="259"/>
      <c r="G895" s="260"/>
      <c r="H895" s="260"/>
    </row>
    <row r="896">
      <c r="B896" s="257"/>
      <c r="C896" s="258"/>
      <c r="D896" s="258"/>
      <c r="E896" s="259"/>
      <c r="F896" s="259"/>
      <c r="G896" s="260"/>
      <c r="H896" s="260"/>
    </row>
    <row r="897">
      <c r="B897" s="257"/>
      <c r="C897" s="258"/>
      <c r="D897" s="258"/>
      <c r="E897" s="259"/>
      <c r="F897" s="259"/>
      <c r="G897" s="260"/>
      <c r="H897" s="260"/>
    </row>
    <row r="898">
      <c r="B898" s="257"/>
      <c r="C898" s="258"/>
      <c r="D898" s="258"/>
      <c r="E898" s="259"/>
      <c r="F898" s="259"/>
      <c r="G898" s="260"/>
      <c r="H898" s="260"/>
    </row>
    <row r="899">
      <c r="B899" s="257"/>
      <c r="C899" s="258"/>
      <c r="D899" s="258"/>
      <c r="E899" s="259"/>
      <c r="F899" s="259"/>
      <c r="G899" s="260"/>
      <c r="H899" s="260"/>
    </row>
    <row r="900">
      <c r="B900" s="257"/>
      <c r="C900" s="258"/>
      <c r="D900" s="258"/>
      <c r="E900" s="259"/>
      <c r="F900" s="259"/>
      <c r="G900" s="260"/>
      <c r="H900" s="260"/>
    </row>
    <row r="901">
      <c r="B901" s="257"/>
      <c r="C901" s="258"/>
      <c r="D901" s="258"/>
      <c r="E901" s="259"/>
      <c r="F901" s="259"/>
      <c r="G901" s="260"/>
      <c r="H901" s="260"/>
    </row>
    <row r="902">
      <c r="B902" s="257"/>
      <c r="C902" s="258"/>
      <c r="D902" s="258"/>
      <c r="E902" s="259"/>
      <c r="F902" s="259"/>
      <c r="G902" s="260"/>
      <c r="H902" s="260"/>
    </row>
    <row r="903">
      <c r="B903" s="257"/>
      <c r="C903" s="258"/>
      <c r="D903" s="258"/>
      <c r="E903" s="259"/>
      <c r="F903" s="259"/>
      <c r="G903" s="260"/>
      <c r="H903" s="260"/>
    </row>
    <row r="904">
      <c r="B904" s="257"/>
      <c r="C904" s="258"/>
      <c r="D904" s="258"/>
      <c r="E904" s="259"/>
      <c r="F904" s="259"/>
      <c r="G904" s="260"/>
      <c r="H904" s="260"/>
    </row>
    <row r="905">
      <c r="B905" s="257"/>
      <c r="C905" s="258"/>
      <c r="D905" s="258"/>
      <c r="E905" s="259"/>
      <c r="F905" s="259"/>
      <c r="G905" s="260"/>
      <c r="H905" s="260"/>
    </row>
    <row r="906">
      <c r="B906" s="257"/>
      <c r="C906" s="258"/>
      <c r="D906" s="258"/>
      <c r="E906" s="259"/>
      <c r="F906" s="259"/>
      <c r="G906" s="260"/>
      <c r="H906" s="260"/>
    </row>
    <row r="907">
      <c r="B907" s="257"/>
      <c r="C907" s="258"/>
      <c r="D907" s="258"/>
      <c r="E907" s="259"/>
      <c r="F907" s="259"/>
      <c r="G907" s="260"/>
      <c r="H907" s="260"/>
    </row>
    <row r="908">
      <c r="B908" s="257"/>
      <c r="C908" s="258"/>
      <c r="D908" s="258"/>
      <c r="E908" s="259"/>
      <c r="F908" s="259"/>
      <c r="G908" s="260"/>
      <c r="H908" s="260"/>
    </row>
    <row r="909">
      <c r="B909" s="257"/>
      <c r="C909" s="258"/>
      <c r="D909" s="258"/>
      <c r="E909" s="259"/>
      <c r="F909" s="259"/>
      <c r="G909" s="260"/>
      <c r="H909" s="260"/>
    </row>
    <row r="910">
      <c r="B910" s="257"/>
      <c r="C910" s="258"/>
      <c r="D910" s="258"/>
      <c r="E910" s="259"/>
      <c r="F910" s="259"/>
      <c r="G910" s="260"/>
      <c r="H910" s="260"/>
    </row>
    <row r="911">
      <c r="B911" s="257"/>
      <c r="C911" s="258"/>
      <c r="D911" s="258"/>
      <c r="E911" s="259"/>
      <c r="F911" s="259"/>
      <c r="G911" s="260"/>
      <c r="H911" s="260"/>
    </row>
    <row r="912">
      <c r="B912" s="257"/>
      <c r="C912" s="258"/>
      <c r="D912" s="258"/>
      <c r="E912" s="259"/>
      <c r="F912" s="259"/>
      <c r="G912" s="260"/>
      <c r="H912" s="260"/>
    </row>
    <row r="913">
      <c r="B913" s="257"/>
      <c r="C913" s="258"/>
      <c r="D913" s="258"/>
      <c r="E913" s="259"/>
      <c r="F913" s="259"/>
      <c r="G913" s="260"/>
      <c r="H913" s="260"/>
    </row>
    <row r="914">
      <c r="B914" s="257"/>
      <c r="C914" s="258"/>
      <c r="D914" s="258"/>
      <c r="E914" s="259"/>
      <c r="F914" s="259"/>
      <c r="G914" s="260"/>
      <c r="H914" s="260"/>
    </row>
    <row r="915">
      <c r="B915" s="257"/>
      <c r="C915" s="258"/>
      <c r="D915" s="258"/>
      <c r="E915" s="259"/>
      <c r="F915" s="259"/>
      <c r="G915" s="260"/>
      <c r="H915" s="260"/>
    </row>
    <row r="916">
      <c r="B916" s="257"/>
      <c r="C916" s="258"/>
      <c r="D916" s="258"/>
      <c r="E916" s="259"/>
      <c r="F916" s="259"/>
      <c r="G916" s="260"/>
      <c r="H916" s="260"/>
    </row>
    <row r="917">
      <c r="B917" s="257"/>
      <c r="C917" s="258"/>
      <c r="D917" s="258"/>
      <c r="E917" s="259"/>
      <c r="F917" s="259"/>
      <c r="G917" s="260"/>
      <c r="H917" s="260"/>
    </row>
    <row r="918">
      <c r="B918" s="257"/>
      <c r="C918" s="258"/>
      <c r="D918" s="258"/>
      <c r="E918" s="259"/>
      <c r="F918" s="259"/>
      <c r="G918" s="260"/>
      <c r="H918" s="260"/>
    </row>
    <row r="919">
      <c r="B919" s="257"/>
      <c r="C919" s="258"/>
      <c r="D919" s="258"/>
      <c r="E919" s="259"/>
      <c r="F919" s="259"/>
      <c r="G919" s="260"/>
      <c r="H919" s="260"/>
    </row>
  </sheetData>
  <mergeCells count="2">
    <mergeCell ref="C1:D1"/>
    <mergeCell ref="E1:F1"/>
  </mergeCells>
  <conditionalFormatting sqref="I3:I919">
    <cfRule type="cellIs" dxfId="6" priority="1" operator="greaterThanOrEqual">
      <formula>0</formula>
    </cfRule>
  </conditionalFormatting>
  <conditionalFormatting sqref="I3:I919">
    <cfRule type="cellIs" dxfId="7" priority="2" operator="lessThan">
      <formula>0</formula>
    </cfRule>
  </conditionalFormatting>
  <hyperlinks>
    <hyperlink r:id="rId2" location="!/?category=Developed+Markets&amp;currency=USD&amp;email=undefined&amp;group=all&amp;model=ER&amp;scale=LINEAR&amp;terms=REAL&amp;type=Equities" ref="A36"/>
  </hyperlinks>
  <drawing r:id="rId3"/>
  <legacyDrawing r:id="rId4"/>
</worksheet>
</file>