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8.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omments5.xml" ContentType="application/vnd.openxmlformats-officedocument.spreadsheetml.comments+xml"/>
  <Override PartName="/xl/threadedComments/threadedComment2.xml" ContentType="application/vnd.ms-excel.threadedcomments+xml"/>
  <Override PartName="/xl/drawings/drawing11.xml" ContentType="application/vnd.openxmlformats-officedocument.drawing+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DieseArbeitsmappe" defaultThemeVersion="202300"/>
  <mc:AlternateContent xmlns:mc="http://schemas.openxmlformats.org/markup-compatibility/2006">
    <mc:Choice Requires="x15">
      <x15ac:absPath xmlns:x15ac="http://schemas.microsoft.com/office/spreadsheetml/2010/11/ac" url="https://hsluzern.sharepoint.com/sites/RadiatorCheck-TM/Freigegebene Dokumente/General/04 Umsetzung/1 Erster Prototyp/"/>
    </mc:Choice>
  </mc:AlternateContent>
  <xr:revisionPtr revIDLastSave="193" documentId="13_ncr:1_{6FFE6DB8-E046-4974-918B-7662664B21BE}" xr6:coauthVersionLast="47" xr6:coauthVersionMax="47" xr10:uidLastSave="{5093044D-9BC1-4EFD-ACC4-4F8557CBC91B}"/>
  <bookViews>
    <workbookView xWindow="-120" yWindow="-120" windowWidth="29040" windowHeight="15720" tabRatio="599" activeTab="1" xr2:uid="{D82F1E58-27B3-4E4B-B644-699E4067781B}"/>
  </bookViews>
  <sheets>
    <sheet name="Anleitung" sheetId="10" r:id="rId1"/>
    <sheet name="Gliederradiator" sheetId="3" r:id="rId2"/>
    <sheet name="Plattenradiator" sheetId="11" r:id="rId3"/>
    <sheet name="DIN 4720 4722" sheetId="28" r:id="rId4"/>
    <sheet name="Eigenschaften alle" sheetId="14" r:id="rId5"/>
    <sheet name="Leistung alle" sheetId="29" r:id="rId6"/>
    <sheet name="Emissionen alle" sheetId="37" r:id="rId7"/>
    <sheet name="Exponent alle" sheetId="38" r:id="rId8"/>
    <sheet name="Buch_Krupp" sheetId="12" r:id="rId9"/>
    <sheet name="Wärmetransfer_Krupp" sheetId="13" r:id="rId10"/>
    <sheet name="Arbonia Tabelle" sheetId="16" r:id="rId11"/>
    <sheet name="Arbonia Original" sheetId="17" r:id="rId12"/>
    <sheet name="Zehnder Charl. Tabelle" sheetId="21" r:id="rId13"/>
    <sheet name="Zehnder Charl. clinic Tabelle" sheetId="27" r:id="rId14"/>
    <sheet name="Zehnder Charleston" sheetId="19" r:id="rId15"/>
    <sheet name="Zehnder Mehrpreis" sheetId="25" r:id="rId16"/>
    <sheet name="Andere Länder" sheetId="30" r:id="rId17"/>
    <sheet name="IRSAP Tabelle" sheetId="32" r:id="rId18"/>
    <sheet name="IRSAP Original" sheetId="31" r:id="rId19"/>
    <sheet name="Cordivari Tabelle" sheetId="36" r:id="rId20"/>
    <sheet name="Cordivari" sheetId="34" r:id="rId21"/>
    <sheet name="FIR Iron" sheetId="35" r:id="rId22"/>
    <sheet name="Basis Radiator" sheetId="8"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3" l="1"/>
  <c r="E6" i="3"/>
  <c r="B14" i="3"/>
  <c r="O28" i="38"/>
  <c r="N28" i="38"/>
  <c r="K28" i="38"/>
  <c r="C126" i="38"/>
  <c r="D126" i="38"/>
  <c r="E126" i="38"/>
  <c r="F126" i="38"/>
  <c r="G126" i="38"/>
  <c r="H126" i="38"/>
  <c r="I126" i="38"/>
  <c r="J126" i="38"/>
  <c r="K126" i="38"/>
  <c r="L126" i="38"/>
  <c r="X129" i="38" s="1"/>
  <c r="Y129" i="38" s="1"/>
  <c r="M126" i="38"/>
  <c r="X130" i="38" s="1"/>
  <c r="Y130" i="38" s="1"/>
  <c r="N126" i="38"/>
  <c r="O126" i="38"/>
  <c r="P126" i="38"/>
  <c r="Q126" i="38"/>
  <c r="R126" i="38"/>
  <c r="S126" i="38"/>
  <c r="T126" i="38"/>
  <c r="U126" i="38"/>
  <c r="B126" i="38"/>
  <c r="C107" i="38"/>
  <c r="D107" i="38"/>
  <c r="E107" i="38"/>
  <c r="F107" i="38"/>
  <c r="X111" i="38" s="1"/>
  <c r="Y111" i="38" s="1"/>
  <c r="G107" i="38"/>
  <c r="H107" i="38"/>
  <c r="I107" i="38"/>
  <c r="J107" i="38"/>
  <c r="K107" i="38"/>
  <c r="L107" i="38"/>
  <c r="X110" i="38" s="1"/>
  <c r="M107" i="38"/>
  <c r="N107" i="38"/>
  <c r="O107" i="38"/>
  <c r="P107" i="38"/>
  <c r="Q107" i="38"/>
  <c r="R107" i="38"/>
  <c r="S107" i="38"/>
  <c r="T107" i="38"/>
  <c r="U107" i="38"/>
  <c r="B107" i="38"/>
  <c r="C88" i="38"/>
  <c r="D88" i="38"/>
  <c r="E88" i="38"/>
  <c r="X92" i="38" s="1"/>
  <c r="Y92" i="38" s="1"/>
  <c r="F88" i="38"/>
  <c r="X91" i="38" s="1"/>
  <c r="Y91" i="38" s="1"/>
  <c r="G88" i="38"/>
  <c r="H88" i="38"/>
  <c r="I88" i="38"/>
  <c r="J88" i="38"/>
  <c r="K88" i="38"/>
  <c r="L88" i="38"/>
  <c r="M88" i="38"/>
  <c r="N88" i="38"/>
  <c r="O88" i="38"/>
  <c r="P88" i="38"/>
  <c r="Q88" i="38"/>
  <c r="R88" i="38"/>
  <c r="S88" i="38"/>
  <c r="T88" i="38"/>
  <c r="U88" i="38"/>
  <c r="B88" i="38"/>
  <c r="C69" i="38"/>
  <c r="D69" i="38"/>
  <c r="E69" i="38"/>
  <c r="F69" i="38"/>
  <c r="G69" i="38"/>
  <c r="H69" i="38"/>
  <c r="X73" i="38" s="1"/>
  <c r="Y73" i="38" s="1"/>
  <c r="I69" i="38"/>
  <c r="J69" i="38"/>
  <c r="K69" i="38"/>
  <c r="L69" i="38"/>
  <c r="M69" i="38"/>
  <c r="N69" i="38"/>
  <c r="X72" i="38" s="1"/>
  <c r="Y72" i="38" s="1"/>
  <c r="O69" i="38"/>
  <c r="P69" i="38"/>
  <c r="Q69" i="38"/>
  <c r="R69" i="38"/>
  <c r="S69" i="38"/>
  <c r="T69" i="38"/>
  <c r="U69" i="38"/>
  <c r="B69" i="38"/>
  <c r="W130" i="38"/>
  <c r="W129" i="38"/>
  <c r="W111" i="38"/>
  <c r="W110" i="38"/>
  <c r="W92" i="38"/>
  <c r="W91" i="38"/>
  <c r="W73" i="38"/>
  <c r="W72" i="38"/>
  <c r="Y53" i="38"/>
  <c r="Y52" i="38"/>
  <c r="X53" i="38"/>
  <c r="X52" i="38"/>
  <c r="W53" i="38"/>
  <c r="W52" i="38"/>
  <c r="C49" i="38"/>
  <c r="D49" i="38"/>
  <c r="E49" i="38"/>
  <c r="F49" i="38"/>
  <c r="G49" i="38"/>
  <c r="H49" i="38"/>
  <c r="I49" i="38"/>
  <c r="J49" i="38"/>
  <c r="K49" i="38"/>
  <c r="L49" i="38"/>
  <c r="M49" i="38"/>
  <c r="N49" i="38"/>
  <c r="O49" i="38"/>
  <c r="P49" i="38"/>
  <c r="Q49" i="38"/>
  <c r="R49" i="38"/>
  <c r="S49" i="38"/>
  <c r="T49" i="38"/>
  <c r="U49" i="38"/>
  <c r="B49" i="38"/>
  <c r="U123" i="38"/>
  <c r="T123" i="38"/>
  <c r="S123" i="38"/>
  <c r="R123" i="38"/>
  <c r="Q123" i="38"/>
  <c r="P123" i="38"/>
  <c r="O123" i="38"/>
  <c r="N123" i="38"/>
  <c r="M123" i="38"/>
  <c r="L123" i="38"/>
  <c r="K123" i="38"/>
  <c r="J123" i="38"/>
  <c r="I123" i="38"/>
  <c r="H123" i="38"/>
  <c r="G123" i="38"/>
  <c r="F123" i="38"/>
  <c r="E123" i="38"/>
  <c r="D123" i="38"/>
  <c r="C123" i="38"/>
  <c r="S121" i="38"/>
  <c r="R121" i="38"/>
  <c r="Q121" i="38"/>
  <c r="P121" i="38"/>
  <c r="O121" i="38"/>
  <c r="N121" i="38"/>
  <c r="L121" i="38"/>
  <c r="J121" i="38"/>
  <c r="I121" i="38"/>
  <c r="H121" i="38"/>
  <c r="G121" i="38"/>
  <c r="E121" i="38"/>
  <c r="C121" i="38"/>
  <c r="S119" i="38"/>
  <c r="R119" i="38"/>
  <c r="Q119" i="38"/>
  <c r="P119" i="38"/>
  <c r="P129" i="38" s="1"/>
  <c r="O119" i="38"/>
  <c r="N119" i="38"/>
  <c r="L119" i="38"/>
  <c r="K119" i="38"/>
  <c r="J119" i="38"/>
  <c r="I119" i="38"/>
  <c r="H119" i="38"/>
  <c r="G119" i="38"/>
  <c r="G130" i="38" s="1"/>
  <c r="F119" i="38"/>
  <c r="E119" i="38"/>
  <c r="D119" i="38"/>
  <c r="C119" i="38"/>
  <c r="U115" i="38"/>
  <c r="U130" i="38" s="1"/>
  <c r="T115" i="38"/>
  <c r="S115" i="38"/>
  <c r="R115" i="38"/>
  <c r="R130" i="38" s="1"/>
  <c r="Q115" i="38"/>
  <c r="P115" i="38"/>
  <c r="O115" i="38"/>
  <c r="O129" i="38" s="1"/>
  <c r="N115" i="38"/>
  <c r="N129" i="38" s="1"/>
  <c r="M115" i="38"/>
  <c r="M130" i="38" s="1"/>
  <c r="L115" i="38"/>
  <c r="K115" i="38"/>
  <c r="J115" i="38"/>
  <c r="I115" i="38"/>
  <c r="H115" i="38"/>
  <c r="G115" i="38"/>
  <c r="F115" i="38"/>
  <c r="F129" i="38" s="1"/>
  <c r="E115" i="38"/>
  <c r="D115" i="38"/>
  <c r="C115" i="38"/>
  <c r="B115" i="38"/>
  <c r="B129" i="38" s="1"/>
  <c r="U104" i="38"/>
  <c r="T104" i="38"/>
  <c r="S104" i="38"/>
  <c r="R104" i="38"/>
  <c r="Q104" i="38"/>
  <c r="P104" i="38"/>
  <c r="O104" i="38"/>
  <c r="N104" i="38"/>
  <c r="M104" i="38"/>
  <c r="L104" i="38"/>
  <c r="K104" i="38"/>
  <c r="J104" i="38"/>
  <c r="I104" i="38"/>
  <c r="H104" i="38"/>
  <c r="G104" i="38"/>
  <c r="F104" i="38"/>
  <c r="E104" i="38"/>
  <c r="D104" i="38"/>
  <c r="C104" i="38"/>
  <c r="S102" i="38"/>
  <c r="R102" i="38"/>
  <c r="Q102" i="38"/>
  <c r="P102" i="38"/>
  <c r="O102" i="38"/>
  <c r="N102" i="38"/>
  <c r="L102" i="38"/>
  <c r="J102" i="38"/>
  <c r="I102" i="38"/>
  <c r="H102" i="38"/>
  <c r="G102" i="38"/>
  <c r="E102" i="38"/>
  <c r="C102" i="38"/>
  <c r="S100" i="38"/>
  <c r="R100" i="38"/>
  <c r="R106" i="38" s="1"/>
  <c r="Q100" i="38"/>
  <c r="Q106" i="38" s="1"/>
  <c r="P100" i="38"/>
  <c r="P111" i="38" s="1"/>
  <c r="O100" i="38"/>
  <c r="N100" i="38"/>
  <c r="L100" i="38"/>
  <c r="K100" i="38"/>
  <c r="J100" i="38"/>
  <c r="I100" i="38"/>
  <c r="H100" i="38"/>
  <c r="G100" i="38"/>
  <c r="F100" i="38"/>
  <c r="E100" i="38"/>
  <c r="D100" i="38"/>
  <c r="C100" i="38"/>
  <c r="U96" i="38"/>
  <c r="T96" i="38"/>
  <c r="S96" i="38"/>
  <c r="R96" i="38"/>
  <c r="Q96" i="38"/>
  <c r="Q110" i="38" s="1"/>
  <c r="P96" i="38"/>
  <c r="O96" i="38"/>
  <c r="N96" i="38"/>
  <c r="M96" i="38"/>
  <c r="L96" i="38"/>
  <c r="K96" i="38"/>
  <c r="J96" i="38"/>
  <c r="I96" i="38"/>
  <c r="H96" i="38"/>
  <c r="G96" i="38"/>
  <c r="F96" i="38"/>
  <c r="E96" i="38"/>
  <c r="D96" i="38"/>
  <c r="C96" i="38"/>
  <c r="B96" i="38"/>
  <c r="U85" i="38"/>
  <c r="T85" i="38"/>
  <c r="S85" i="38"/>
  <c r="R85" i="38"/>
  <c r="Q85" i="38"/>
  <c r="P85" i="38"/>
  <c r="O85" i="38"/>
  <c r="N85" i="38"/>
  <c r="M85" i="38"/>
  <c r="L85" i="38"/>
  <c r="K85" i="38"/>
  <c r="J85" i="38"/>
  <c r="I85" i="38"/>
  <c r="H85" i="38"/>
  <c r="G85" i="38"/>
  <c r="F85" i="38"/>
  <c r="E85" i="38"/>
  <c r="D85" i="38"/>
  <c r="C85" i="38"/>
  <c r="S83" i="38"/>
  <c r="R83" i="38"/>
  <c r="Q83" i="38"/>
  <c r="P83" i="38"/>
  <c r="O83" i="38"/>
  <c r="O87" i="38" s="1"/>
  <c r="N83" i="38"/>
  <c r="L83" i="38"/>
  <c r="J83" i="38"/>
  <c r="I83" i="38"/>
  <c r="H83" i="38"/>
  <c r="G83" i="38"/>
  <c r="E83" i="38"/>
  <c r="C83" i="38"/>
  <c r="S81" i="38"/>
  <c r="R81" i="38"/>
  <c r="Q81" i="38"/>
  <c r="P81" i="38"/>
  <c r="O81" i="38"/>
  <c r="N81" i="38"/>
  <c r="N87" i="38" s="1"/>
  <c r="L81" i="38"/>
  <c r="L92" i="38" s="1"/>
  <c r="K81" i="38"/>
  <c r="J81" i="38"/>
  <c r="I81" i="38"/>
  <c r="H81" i="38"/>
  <c r="G81" i="38"/>
  <c r="F81" i="38"/>
  <c r="E81" i="38"/>
  <c r="E92" i="38" s="1"/>
  <c r="D81" i="38"/>
  <c r="C81" i="38"/>
  <c r="U77" i="38"/>
  <c r="T77" i="38"/>
  <c r="S77" i="38"/>
  <c r="S92" i="38" s="1"/>
  <c r="R77" i="38"/>
  <c r="Q77" i="38"/>
  <c r="P77" i="38"/>
  <c r="O77" i="38"/>
  <c r="N77" i="38"/>
  <c r="M77" i="38"/>
  <c r="L77" i="38"/>
  <c r="K77" i="38"/>
  <c r="J77" i="38"/>
  <c r="I77" i="38"/>
  <c r="H77" i="38"/>
  <c r="G77" i="38"/>
  <c r="F77" i="38"/>
  <c r="E77" i="38"/>
  <c r="D77" i="38"/>
  <c r="C77" i="38"/>
  <c r="B77" i="38"/>
  <c r="U66" i="38"/>
  <c r="T66" i="38"/>
  <c r="S66" i="38"/>
  <c r="R66" i="38"/>
  <c r="Q66" i="38"/>
  <c r="P66" i="38"/>
  <c r="O66" i="38"/>
  <c r="N66" i="38"/>
  <c r="M66" i="38"/>
  <c r="L66" i="38"/>
  <c r="K66" i="38"/>
  <c r="J66" i="38"/>
  <c r="I66" i="38"/>
  <c r="H66" i="38"/>
  <c r="G66" i="38"/>
  <c r="F66" i="38"/>
  <c r="E66" i="38"/>
  <c r="D66" i="38"/>
  <c r="C66" i="38"/>
  <c r="S64" i="38"/>
  <c r="R64" i="38"/>
  <c r="Q64" i="38"/>
  <c r="P64" i="38"/>
  <c r="O64" i="38"/>
  <c r="N64" i="38"/>
  <c r="L64" i="38"/>
  <c r="J64" i="38"/>
  <c r="I64" i="38"/>
  <c r="H64" i="38"/>
  <c r="G64" i="38"/>
  <c r="E64" i="38"/>
  <c r="C64" i="38"/>
  <c r="S62" i="38"/>
  <c r="R62" i="38"/>
  <c r="R68" i="38" s="1"/>
  <c r="Q62" i="38"/>
  <c r="Q73" i="38" s="1"/>
  <c r="P62" i="38"/>
  <c r="P73" i="38" s="1"/>
  <c r="O62" i="38"/>
  <c r="N62" i="38"/>
  <c r="L62" i="38"/>
  <c r="K62" i="38"/>
  <c r="J62" i="38"/>
  <c r="I62" i="38"/>
  <c r="H62" i="38"/>
  <c r="G62" i="38"/>
  <c r="F62" i="38"/>
  <c r="F68" i="38" s="1"/>
  <c r="E62" i="38"/>
  <c r="E73" i="38" s="1"/>
  <c r="D62" i="38"/>
  <c r="C62" i="38"/>
  <c r="U58" i="38"/>
  <c r="T58" i="38"/>
  <c r="T72" i="38" s="1"/>
  <c r="S58" i="38"/>
  <c r="S72" i="38" s="1"/>
  <c r="R58" i="38"/>
  <c r="Q58" i="38"/>
  <c r="P58" i="38"/>
  <c r="O58" i="38"/>
  <c r="N58" i="38"/>
  <c r="N73" i="38" s="1"/>
  <c r="M58" i="38"/>
  <c r="M72" i="38" s="1"/>
  <c r="L58" i="38"/>
  <c r="L68" i="38" s="1"/>
  <c r="K58" i="38"/>
  <c r="J58" i="38"/>
  <c r="I58" i="38"/>
  <c r="H58" i="38"/>
  <c r="G58" i="38"/>
  <c r="F58" i="38"/>
  <c r="E58" i="38"/>
  <c r="D58" i="38"/>
  <c r="C58" i="38"/>
  <c r="B58" i="38"/>
  <c r="U117" i="38"/>
  <c r="T117" i="38"/>
  <c r="S117" i="38"/>
  <c r="R117" i="38"/>
  <c r="Q117" i="38"/>
  <c r="P117" i="38"/>
  <c r="O117" i="38"/>
  <c r="N117" i="38"/>
  <c r="M117" i="38"/>
  <c r="L117" i="38"/>
  <c r="K117" i="38"/>
  <c r="J117" i="38"/>
  <c r="I117" i="38"/>
  <c r="H117" i="38"/>
  <c r="G117" i="38"/>
  <c r="F117" i="38"/>
  <c r="E117" i="38"/>
  <c r="D117" i="38"/>
  <c r="C117" i="38"/>
  <c r="B117" i="38"/>
  <c r="U98" i="38"/>
  <c r="T98" i="38"/>
  <c r="S98" i="38"/>
  <c r="R98" i="38"/>
  <c r="Q98" i="38"/>
  <c r="P98" i="38"/>
  <c r="O98" i="38"/>
  <c r="N98" i="38"/>
  <c r="M98" i="38"/>
  <c r="L98" i="38"/>
  <c r="K98" i="38"/>
  <c r="J98" i="38"/>
  <c r="I98" i="38"/>
  <c r="H98" i="38"/>
  <c r="G98" i="38"/>
  <c r="F98" i="38"/>
  <c r="E98" i="38"/>
  <c r="D98" i="38"/>
  <c r="C98" i="38"/>
  <c r="B98" i="38"/>
  <c r="U79" i="38"/>
  <c r="T79" i="38"/>
  <c r="S79" i="38"/>
  <c r="R79" i="38"/>
  <c r="R92" i="38" s="1"/>
  <c r="Q79" i="38"/>
  <c r="P79" i="38"/>
  <c r="P91" i="38" s="1"/>
  <c r="O79" i="38"/>
  <c r="O91" i="38" s="1"/>
  <c r="N79" i="38"/>
  <c r="M79" i="38"/>
  <c r="L79" i="38"/>
  <c r="K79" i="38"/>
  <c r="J79" i="38"/>
  <c r="I79" i="38"/>
  <c r="H79" i="38"/>
  <c r="G79" i="38"/>
  <c r="F79" i="38"/>
  <c r="E79" i="38"/>
  <c r="D79" i="38"/>
  <c r="C79" i="38"/>
  <c r="B79" i="38"/>
  <c r="U60" i="38"/>
  <c r="T60" i="38"/>
  <c r="S60" i="38"/>
  <c r="S68" i="38" s="1"/>
  <c r="R60" i="38"/>
  <c r="Q60" i="38"/>
  <c r="P60" i="38"/>
  <c r="O60" i="38"/>
  <c r="N60" i="38"/>
  <c r="M60" i="38"/>
  <c r="L60" i="38"/>
  <c r="K60" i="38"/>
  <c r="J60" i="38"/>
  <c r="I60" i="38"/>
  <c r="H60" i="38"/>
  <c r="G60" i="38"/>
  <c r="F60" i="38"/>
  <c r="E60" i="38"/>
  <c r="D60" i="38"/>
  <c r="C60" i="38"/>
  <c r="B60" i="38"/>
  <c r="U40" i="38"/>
  <c r="U52" i="38" s="1"/>
  <c r="T40" i="38"/>
  <c r="S40" i="38"/>
  <c r="R40" i="38"/>
  <c r="Q40" i="38"/>
  <c r="P40" i="38"/>
  <c r="O40" i="38"/>
  <c r="N40" i="38"/>
  <c r="M40" i="38"/>
  <c r="L40" i="38"/>
  <c r="K40" i="38"/>
  <c r="J40" i="38"/>
  <c r="I40" i="38"/>
  <c r="H40" i="38"/>
  <c r="G40" i="38"/>
  <c r="F40" i="38"/>
  <c r="E40" i="38"/>
  <c r="D40" i="38"/>
  <c r="C40" i="38"/>
  <c r="B40" i="38"/>
  <c r="B48" i="38" s="1"/>
  <c r="U46" i="38"/>
  <c r="T46" i="38"/>
  <c r="S46" i="38"/>
  <c r="R46" i="38"/>
  <c r="Q46" i="38"/>
  <c r="P46" i="38"/>
  <c r="O46" i="38"/>
  <c r="N46" i="38"/>
  <c r="M46" i="38"/>
  <c r="L46" i="38"/>
  <c r="K46" i="38"/>
  <c r="J46" i="38"/>
  <c r="I46" i="38"/>
  <c r="H46" i="38"/>
  <c r="G46" i="38"/>
  <c r="F46" i="38"/>
  <c r="E46" i="38"/>
  <c r="D46" i="38"/>
  <c r="C46" i="38"/>
  <c r="S44" i="38"/>
  <c r="R44" i="38"/>
  <c r="Q44" i="38"/>
  <c r="P44" i="38"/>
  <c r="O44" i="38"/>
  <c r="N44" i="38"/>
  <c r="L44" i="38"/>
  <c r="J44" i="38"/>
  <c r="I44" i="38"/>
  <c r="H44" i="38"/>
  <c r="G44" i="38"/>
  <c r="E44" i="38"/>
  <c r="C44" i="38"/>
  <c r="S42" i="38"/>
  <c r="R42" i="38"/>
  <c r="Q42" i="38"/>
  <c r="P42" i="38"/>
  <c r="P48" i="38" s="1"/>
  <c r="O42" i="38"/>
  <c r="N42" i="38"/>
  <c r="L42" i="38"/>
  <c r="K42" i="38"/>
  <c r="J42" i="38"/>
  <c r="I42" i="38"/>
  <c r="H42" i="38"/>
  <c r="G42" i="38"/>
  <c r="F42" i="38"/>
  <c r="E42" i="38"/>
  <c r="D42" i="38"/>
  <c r="C42" i="38"/>
  <c r="U38" i="38"/>
  <c r="T38" i="38"/>
  <c r="S38" i="38"/>
  <c r="R38" i="38"/>
  <c r="Q38" i="38"/>
  <c r="P38" i="38"/>
  <c r="O38" i="38"/>
  <c r="N38" i="38"/>
  <c r="M38" i="38"/>
  <c r="L38" i="38"/>
  <c r="K38" i="38"/>
  <c r="J38" i="38"/>
  <c r="I38" i="38"/>
  <c r="H38" i="38"/>
  <c r="G38" i="38"/>
  <c r="F38" i="38"/>
  <c r="E38" i="38"/>
  <c r="D38" i="38"/>
  <c r="C38" i="38"/>
  <c r="B38" i="38"/>
  <c r="T130" i="38"/>
  <c r="S130" i="38"/>
  <c r="T129" i="38"/>
  <c r="T131" i="38" s="1"/>
  <c r="U125" i="38"/>
  <c r="T125" i="38"/>
  <c r="U114" i="38"/>
  <c r="T114" i="38"/>
  <c r="S114" i="38"/>
  <c r="R114" i="38"/>
  <c r="Q114" i="38"/>
  <c r="P114" i="38"/>
  <c r="O114" i="38"/>
  <c r="N114" i="38"/>
  <c r="M114" i="38"/>
  <c r="L114" i="38"/>
  <c r="K114" i="38"/>
  <c r="J114" i="38"/>
  <c r="I114" i="38"/>
  <c r="H114" i="38"/>
  <c r="G114" i="38"/>
  <c r="F114" i="38"/>
  <c r="E114" i="38"/>
  <c r="D114" i="38"/>
  <c r="C114" i="38"/>
  <c r="B114" i="38"/>
  <c r="U111" i="38"/>
  <c r="R110" i="38"/>
  <c r="K111" i="38"/>
  <c r="U95" i="38"/>
  <c r="T95" i="38"/>
  <c r="S95" i="38"/>
  <c r="R95" i="38"/>
  <c r="Q95" i="38"/>
  <c r="P95" i="38"/>
  <c r="O95" i="38"/>
  <c r="N95" i="38"/>
  <c r="M95" i="38"/>
  <c r="L95" i="38"/>
  <c r="K95" i="38"/>
  <c r="J95" i="38"/>
  <c r="I95" i="38"/>
  <c r="H95" i="38"/>
  <c r="G95" i="38"/>
  <c r="F95" i="38"/>
  <c r="E95" i="38"/>
  <c r="D95" i="38"/>
  <c r="C95" i="38"/>
  <c r="B95" i="38"/>
  <c r="Q92" i="38"/>
  <c r="H87" i="38"/>
  <c r="D87" i="38"/>
  <c r="I87" i="38"/>
  <c r="F92" i="38"/>
  <c r="B87" i="38"/>
  <c r="U76" i="38"/>
  <c r="T76" i="38"/>
  <c r="S76" i="38"/>
  <c r="R76" i="38"/>
  <c r="Q76" i="38"/>
  <c r="P76" i="38"/>
  <c r="O76" i="38"/>
  <c r="N76" i="38"/>
  <c r="M76" i="38"/>
  <c r="L76" i="38"/>
  <c r="K76" i="38"/>
  <c r="J76" i="38"/>
  <c r="I76" i="38"/>
  <c r="H76" i="38"/>
  <c r="G76" i="38"/>
  <c r="F76" i="38"/>
  <c r="E76" i="38"/>
  <c r="D76" i="38"/>
  <c r="C76" i="38"/>
  <c r="B76" i="38"/>
  <c r="U72" i="38"/>
  <c r="T68" i="38"/>
  <c r="Q72" i="38"/>
  <c r="I68" i="38"/>
  <c r="H68" i="38"/>
  <c r="U57" i="38"/>
  <c r="T57" i="38"/>
  <c r="S57" i="38"/>
  <c r="R57" i="38"/>
  <c r="Q57" i="38"/>
  <c r="P57" i="38"/>
  <c r="O57" i="38"/>
  <c r="N57" i="38"/>
  <c r="M57" i="38"/>
  <c r="L57" i="38"/>
  <c r="K57" i="38"/>
  <c r="J57" i="38"/>
  <c r="I57" i="38"/>
  <c r="H57" i="38"/>
  <c r="G57" i="38"/>
  <c r="F57" i="38"/>
  <c r="E57" i="38"/>
  <c r="D57" i="38"/>
  <c r="C57" i="38"/>
  <c r="B57" i="38"/>
  <c r="R53" i="38"/>
  <c r="R48" i="38"/>
  <c r="Q48" i="38"/>
  <c r="F52" i="38"/>
  <c r="S48" i="38"/>
  <c r="N53" i="38"/>
  <c r="U37" i="38"/>
  <c r="T37" i="38"/>
  <c r="S37" i="38"/>
  <c r="R37" i="38"/>
  <c r="Q37" i="38"/>
  <c r="P37" i="38"/>
  <c r="O37" i="38"/>
  <c r="N37" i="38"/>
  <c r="M37" i="38"/>
  <c r="L37" i="38"/>
  <c r="K37" i="38"/>
  <c r="J37" i="38"/>
  <c r="I37" i="38"/>
  <c r="H37" i="38"/>
  <c r="G37" i="38"/>
  <c r="F37" i="38"/>
  <c r="E37" i="38"/>
  <c r="D37" i="38"/>
  <c r="C37" i="38"/>
  <c r="B37" i="38"/>
  <c r="C5" i="3"/>
  <c r="C6" i="3"/>
  <c r="B15" i="3"/>
  <c r="B13" i="3"/>
  <c r="B17" i="3" s="1"/>
  <c r="C125" i="37"/>
  <c r="D125" i="37"/>
  <c r="E125" i="37"/>
  <c r="F125" i="37"/>
  <c r="G125" i="37"/>
  <c r="H125" i="37"/>
  <c r="I125" i="37"/>
  <c r="J125" i="37"/>
  <c r="K125" i="37"/>
  <c r="L125" i="37"/>
  <c r="M125" i="37"/>
  <c r="N125" i="37"/>
  <c r="O125" i="37"/>
  <c r="P125" i="37"/>
  <c r="Q125" i="37"/>
  <c r="R125" i="37"/>
  <c r="S125" i="37"/>
  <c r="T125" i="37"/>
  <c r="U125" i="37"/>
  <c r="C126" i="37"/>
  <c r="D126" i="37"/>
  <c r="E126" i="37"/>
  <c r="F126" i="37"/>
  <c r="G126" i="37"/>
  <c r="H126" i="37"/>
  <c r="I126" i="37"/>
  <c r="J126" i="37"/>
  <c r="K126" i="37"/>
  <c r="L126" i="37"/>
  <c r="M126" i="37"/>
  <c r="N126" i="37"/>
  <c r="O126" i="37"/>
  <c r="P126" i="37"/>
  <c r="Q126" i="37"/>
  <c r="R126" i="37"/>
  <c r="S126" i="37"/>
  <c r="T126" i="37"/>
  <c r="U126" i="37"/>
  <c r="B126" i="37"/>
  <c r="C106" i="37"/>
  <c r="D106" i="37"/>
  <c r="E106" i="37"/>
  <c r="F106" i="37"/>
  <c r="G106" i="37"/>
  <c r="H106" i="37"/>
  <c r="I106" i="37"/>
  <c r="J106" i="37"/>
  <c r="K106" i="37"/>
  <c r="L106" i="37"/>
  <c r="M106" i="37"/>
  <c r="N106" i="37"/>
  <c r="O106" i="37"/>
  <c r="P106" i="37"/>
  <c r="Q106" i="37"/>
  <c r="R106" i="37"/>
  <c r="S106" i="37"/>
  <c r="T106" i="37"/>
  <c r="U106" i="37"/>
  <c r="C107" i="37"/>
  <c r="D107" i="37"/>
  <c r="E107" i="37"/>
  <c r="F107" i="37"/>
  <c r="G107" i="37"/>
  <c r="H107" i="37"/>
  <c r="I107" i="37"/>
  <c r="J107" i="37"/>
  <c r="K107" i="37"/>
  <c r="L107" i="37"/>
  <c r="M107" i="37"/>
  <c r="N107" i="37"/>
  <c r="O107" i="37"/>
  <c r="P107" i="37"/>
  <c r="Q107" i="37"/>
  <c r="R107" i="37"/>
  <c r="S107" i="37"/>
  <c r="T107" i="37"/>
  <c r="U107" i="37"/>
  <c r="B107" i="37"/>
  <c r="C87" i="37"/>
  <c r="D87" i="37"/>
  <c r="E87" i="37"/>
  <c r="F87" i="37"/>
  <c r="G87" i="37"/>
  <c r="H87" i="37"/>
  <c r="I87" i="37"/>
  <c r="J87" i="37"/>
  <c r="K87" i="37"/>
  <c r="L87" i="37"/>
  <c r="M87" i="37"/>
  <c r="N87" i="37"/>
  <c r="O87" i="37"/>
  <c r="P87" i="37"/>
  <c r="Q87" i="37"/>
  <c r="R87" i="37"/>
  <c r="S87" i="37"/>
  <c r="T87" i="37"/>
  <c r="U87" i="37"/>
  <c r="C88" i="37"/>
  <c r="D88" i="37"/>
  <c r="E88" i="37"/>
  <c r="F88" i="37"/>
  <c r="G88" i="37"/>
  <c r="H88" i="37"/>
  <c r="I88" i="37"/>
  <c r="J88" i="37"/>
  <c r="K88" i="37"/>
  <c r="L88" i="37"/>
  <c r="M88" i="37"/>
  <c r="N88" i="37"/>
  <c r="O88" i="37"/>
  <c r="P88" i="37"/>
  <c r="Q88" i="37"/>
  <c r="R88" i="37"/>
  <c r="S88" i="37"/>
  <c r="T88" i="37"/>
  <c r="U88" i="37"/>
  <c r="B88" i="37"/>
  <c r="C68" i="37"/>
  <c r="D68" i="37"/>
  <c r="E68" i="37"/>
  <c r="F68" i="37"/>
  <c r="G68" i="37"/>
  <c r="H68" i="37"/>
  <c r="I68" i="37"/>
  <c r="J68" i="37"/>
  <c r="K68" i="37"/>
  <c r="L68" i="37"/>
  <c r="M68" i="37"/>
  <c r="N68" i="37"/>
  <c r="O68" i="37"/>
  <c r="P68" i="37"/>
  <c r="Q68" i="37"/>
  <c r="R68" i="37"/>
  <c r="S68" i="37"/>
  <c r="T68" i="37"/>
  <c r="U68" i="37"/>
  <c r="C69" i="37"/>
  <c r="D69" i="37"/>
  <c r="E69" i="37"/>
  <c r="F69" i="37"/>
  <c r="G69" i="37"/>
  <c r="H69" i="37"/>
  <c r="I69" i="37"/>
  <c r="J69" i="37"/>
  <c r="K69" i="37"/>
  <c r="L69" i="37"/>
  <c r="M69" i="37"/>
  <c r="N69" i="37"/>
  <c r="O69" i="37"/>
  <c r="P69" i="37"/>
  <c r="Q69" i="37"/>
  <c r="R69" i="37"/>
  <c r="S69" i="37"/>
  <c r="T69" i="37"/>
  <c r="U69" i="37"/>
  <c r="B69" i="37"/>
  <c r="C49" i="37"/>
  <c r="D49" i="37"/>
  <c r="E49" i="37"/>
  <c r="F49" i="37"/>
  <c r="G49" i="37"/>
  <c r="H49" i="37"/>
  <c r="I49" i="37"/>
  <c r="J49" i="37"/>
  <c r="K49" i="37"/>
  <c r="L49" i="37"/>
  <c r="M49" i="37"/>
  <c r="N49" i="37"/>
  <c r="O49" i="37"/>
  <c r="P49" i="37"/>
  <c r="Q49" i="37"/>
  <c r="R49" i="37"/>
  <c r="S49" i="37"/>
  <c r="T49" i="37"/>
  <c r="U49" i="37"/>
  <c r="B49" i="37"/>
  <c r="D65" i="37"/>
  <c r="E65" i="37"/>
  <c r="F65" i="37"/>
  <c r="G65" i="37"/>
  <c r="H65" i="37"/>
  <c r="I65" i="37"/>
  <c r="J65" i="37"/>
  <c r="K65" i="37"/>
  <c r="L65" i="37"/>
  <c r="M65" i="37"/>
  <c r="N65" i="37"/>
  <c r="O65" i="37"/>
  <c r="P65" i="37"/>
  <c r="Q65" i="37"/>
  <c r="R65" i="37"/>
  <c r="S65" i="37"/>
  <c r="C65" i="37"/>
  <c r="D84" i="37"/>
  <c r="E84" i="37"/>
  <c r="F84" i="37"/>
  <c r="G84" i="37"/>
  <c r="H84" i="37"/>
  <c r="I84" i="37"/>
  <c r="J84" i="37"/>
  <c r="K84" i="37"/>
  <c r="L84" i="37"/>
  <c r="M84" i="37"/>
  <c r="N84" i="37"/>
  <c r="O84" i="37"/>
  <c r="P84" i="37"/>
  <c r="Q84" i="37"/>
  <c r="R84" i="37"/>
  <c r="S84" i="37"/>
  <c r="C84" i="37"/>
  <c r="D103" i="37"/>
  <c r="E103" i="37"/>
  <c r="F103" i="37"/>
  <c r="G103" i="37"/>
  <c r="H103" i="37"/>
  <c r="I103" i="37"/>
  <c r="J103" i="37"/>
  <c r="K103" i="37"/>
  <c r="L103" i="37"/>
  <c r="M103" i="37"/>
  <c r="N103" i="37"/>
  <c r="O103" i="37"/>
  <c r="P103" i="37"/>
  <c r="Q103" i="37"/>
  <c r="R103" i="37"/>
  <c r="S103" i="37"/>
  <c r="C103" i="37"/>
  <c r="D122" i="37"/>
  <c r="E122" i="37"/>
  <c r="F122" i="37"/>
  <c r="G122" i="37"/>
  <c r="H122" i="37"/>
  <c r="I122" i="37"/>
  <c r="J122" i="37"/>
  <c r="K122" i="37"/>
  <c r="L122" i="37"/>
  <c r="M122" i="37"/>
  <c r="N122" i="37"/>
  <c r="O122" i="37"/>
  <c r="P122" i="37"/>
  <c r="Q122" i="37"/>
  <c r="R122" i="37"/>
  <c r="S122" i="37"/>
  <c r="C122" i="37"/>
  <c r="C61" i="37"/>
  <c r="D61" i="37"/>
  <c r="E61" i="37"/>
  <c r="F61" i="37"/>
  <c r="G61" i="37"/>
  <c r="H61" i="37"/>
  <c r="I61" i="37"/>
  <c r="J61" i="37"/>
  <c r="K61" i="37"/>
  <c r="L61" i="37"/>
  <c r="M61" i="37"/>
  <c r="N61" i="37"/>
  <c r="O61" i="37"/>
  <c r="P61" i="37"/>
  <c r="Q61" i="37"/>
  <c r="R61" i="37"/>
  <c r="S61" i="37"/>
  <c r="T61" i="37"/>
  <c r="U61" i="37"/>
  <c r="B61" i="37"/>
  <c r="C80" i="37"/>
  <c r="D80" i="37"/>
  <c r="E80" i="37"/>
  <c r="F80" i="37"/>
  <c r="G80" i="37"/>
  <c r="H80" i="37"/>
  <c r="I80" i="37"/>
  <c r="J80" i="37"/>
  <c r="K80" i="37"/>
  <c r="L80" i="37"/>
  <c r="M80" i="37"/>
  <c r="N80" i="37"/>
  <c r="O80" i="37"/>
  <c r="P80" i="37"/>
  <c r="Q80" i="37"/>
  <c r="R80" i="37"/>
  <c r="S80" i="37"/>
  <c r="T80" i="37"/>
  <c r="U80" i="37"/>
  <c r="B80" i="37"/>
  <c r="C99" i="37"/>
  <c r="D99" i="37"/>
  <c r="E99" i="37"/>
  <c r="F99" i="37"/>
  <c r="G99" i="37"/>
  <c r="H99" i="37"/>
  <c r="I99" i="37"/>
  <c r="J99" i="37"/>
  <c r="K99" i="37"/>
  <c r="L99" i="37"/>
  <c r="M99" i="37"/>
  <c r="N99" i="37"/>
  <c r="O99" i="37"/>
  <c r="P99" i="37"/>
  <c r="Q99" i="37"/>
  <c r="R99" i="37"/>
  <c r="S99" i="37"/>
  <c r="T99" i="37"/>
  <c r="U99" i="37"/>
  <c r="B99" i="37"/>
  <c r="C118" i="37"/>
  <c r="D118" i="37"/>
  <c r="E118" i="37"/>
  <c r="F118" i="37"/>
  <c r="G118" i="37"/>
  <c r="H118" i="37"/>
  <c r="I118" i="37"/>
  <c r="J118" i="37"/>
  <c r="K118" i="37"/>
  <c r="L118" i="37"/>
  <c r="M118" i="37"/>
  <c r="N118" i="37"/>
  <c r="O118" i="37"/>
  <c r="P118" i="37"/>
  <c r="Q118" i="37"/>
  <c r="R118" i="37"/>
  <c r="S118" i="37"/>
  <c r="T118" i="37"/>
  <c r="U118" i="37"/>
  <c r="B118" i="37"/>
  <c r="C116" i="37"/>
  <c r="D116" i="37"/>
  <c r="E116" i="37"/>
  <c r="F116" i="37"/>
  <c r="G116" i="37"/>
  <c r="H116" i="37"/>
  <c r="I116" i="37"/>
  <c r="J116" i="37"/>
  <c r="K116" i="37"/>
  <c r="L116" i="37"/>
  <c r="M116" i="37"/>
  <c r="N116" i="37"/>
  <c r="O116" i="37"/>
  <c r="P116" i="37"/>
  <c r="Q116" i="37"/>
  <c r="R116" i="37"/>
  <c r="S116" i="37"/>
  <c r="T116" i="37"/>
  <c r="U116" i="37"/>
  <c r="B116" i="37"/>
  <c r="C97" i="37"/>
  <c r="D97" i="37"/>
  <c r="E97" i="37"/>
  <c r="F97" i="37"/>
  <c r="G97" i="37"/>
  <c r="H97" i="37"/>
  <c r="I97" i="37"/>
  <c r="J97" i="37"/>
  <c r="K97" i="37"/>
  <c r="L97" i="37"/>
  <c r="M97" i="37"/>
  <c r="N97" i="37"/>
  <c r="O97" i="37"/>
  <c r="P97" i="37"/>
  <c r="Q97" i="37"/>
  <c r="R97" i="37"/>
  <c r="S97" i="37"/>
  <c r="T97" i="37"/>
  <c r="U97" i="37"/>
  <c r="B97" i="37"/>
  <c r="C59" i="37"/>
  <c r="D59" i="37"/>
  <c r="E59" i="37"/>
  <c r="F59" i="37"/>
  <c r="G59" i="37"/>
  <c r="H59" i="37"/>
  <c r="I59" i="37"/>
  <c r="J59" i="37"/>
  <c r="K59" i="37"/>
  <c r="L59" i="37"/>
  <c r="M59" i="37"/>
  <c r="N59" i="37"/>
  <c r="O59" i="37"/>
  <c r="P59" i="37"/>
  <c r="Q59" i="37"/>
  <c r="R59" i="37"/>
  <c r="S59" i="37"/>
  <c r="T59" i="37"/>
  <c r="U59" i="37"/>
  <c r="B59" i="37"/>
  <c r="U78" i="37"/>
  <c r="T78" i="37"/>
  <c r="S78" i="37"/>
  <c r="R78" i="37"/>
  <c r="Q78" i="37"/>
  <c r="P78" i="37"/>
  <c r="O78" i="37"/>
  <c r="N78" i="37"/>
  <c r="M78" i="37"/>
  <c r="L78" i="37"/>
  <c r="K78" i="37"/>
  <c r="J78" i="37"/>
  <c r="I78" i="37"/>
  <c r="H78" i="37"/>
  <c r="G78" i="37"/>
  <c r="F78" i="37"/>
  <c r="E78" i="37"/>
  <c r="D78" i="37"/>
  <c r="C78" i="37"/>
  <c r="B78" i="37"/>
  <c r="D45" i="37"/>
  <c r="E45" i="37"/>
  <c r="F45" i="37"/>
  <c r="G45" i="37"/>
  <c r="H45" i="37"/>
  <c r="I45" i="37"/>
  <c r="J45" i="37"/>
  <c r="K45" i="37"/>
  <c r="L45" i="37"/>
  <c r="M45" i="37"/>
  <c r="N45" i="37"/>
  <c r="O45" i="37"/>
  <c r="P45" i="37"/>
  <c r="Q45" i="37"/>
  <c r="R45" i="37"/>
  <c r="S45" i="37"/>
  <c r="C45" i="37"/>
  <c r="C41" i="37"/>
  <c r="D41" i="37"/>
  <c r="E41" i="37"/>
  <c r="F41" i="37"/>
  <c r="G41" i="37"/>
  <c r="H41" i="37"/>
  <c r="I41" i="37"/>
  <c r="J41" i="37"/>
  <c r="K41" i="37"/>
  <c r="L41" i="37"/>
  <c r="M41" i="37"/>
  <c r="N41" i="37"/>
  <c r="O41" i="37"/>
  <c r="P41" i="37"/>
  <c r="Q41" i="37"/>
  <c r="R41" i="37"/>
  <c r="S41" i="37"/>
  <c r="T41" i="37"/>
  <c r="U41" i="37"/>
  <c r="B41" i="37"/>
  <c r="C39" i="37"/>
  <c r="D39" i="37"/>
  <c r="E39" i="37"/>
  <c r="F39" i="37"/>
  <c r="G39" i="37"/>
  <c r="H39" i="37"/>
  <c r="I39" i="37"/>
  <c r="J39" i="37"/>
  <c r="K39" i="37"/>
  <c r="L39" i="37"/>
  <c r="M39" i="37"/>
  <c r="N39" i="37"/>
  <c r="O39" i="37"/>
  <c r="P39" i="37"/>
  <c r="Q39" i="37"/>
  <c r="R39" i="37"/>
  <c r="S39" i="37"/>
  <c r="T39" i="37"/>
  <c r="U39" i="37"/>
  <c r="B39" i="37"/>
  <c r="S121" i="37"/>
  <c r="R121" i="37"/>
  <c r="Q121" i="37"/>
  <c r="P121" i="37"/>
  <c r="O121" i="37"/>
  <c r="N121" i="37"/>
  <c r="L121" i="37"/>
  <c r="J121" i="37"/>
  <c r="I121" i="37"/>
  <c r="H121" i="37"/>
  <c r="G121" i="37"/>
  <c r="E121" i="37"/>
  <c r="C121" i="37"/>
  <c r="U115" i="37"/>
  <c r="T115" i="37"/>
  <c r="S115" i="37"/>
  <c r="R115" i="37"/>
  <c r="Q115" i="37"/>
  <c r="P115" i="37"/>
  <c r="O115" i="37"/>
  <c r="N115" i="37"/>
  <c r="M115" i="37"/>
  <c r="L115" i="37"/>
  <c r="K115" i="37"/>
  <c r="J115" i="37"/>
  <c r="I115" i="37"/>
  <c r="H115" i="37"/>
  <c r="G115" i="37"/>
  <c r="F115" i="37"/>
  <c r="E115" i="37"/>
  <c r="D115" i="37"/>
  <c r="C115" i="37"/>
  <c r="B115" i="37"/>
  <c r="S102" i="37"/>
  <c r="R102" i="37"/>
  <c r="Q102" i="37"/>
  <c r="P102" i="37"/>
  <c r="O102" i="37"/>
  <c r="N102" i="37"/>
  <c r="L102" i="37"/>
  <c r="J102" i="37"/>
  <c r="I102" i="37"/>
  <c r="H102" i="37"/>
  <c r="G102" i="37"/>
  <c r="E102" i="37"/>
  <c r="C102" i="37"/>
  <c r="U96" i="37"/>
  <c r="T96" i="37"/>
  <c r="S96" i="37"/>
  <c r="R96" i="37"/>
  <c r="Q96" i="37"/>
  <c r="P96" i="37"/>
  <c r="O96" i="37"/>
  <c r="N96" i="37"/>
  <c r="M96" i="37"/>
  <c r="L96" i="37"/>
  <c r="K96" i="37"/>
  <c r="J96" i="37"/>
  <c r="I96" i="37"/>
  <c r="H96" i="37"/>
  <c r="G96" i="37"/>
  <c r="F96" i="37"/>
  <c r="E96" i="37"/>
  <c r="D96" i="37"/>
  <c r="C96" i="37"/>
  <c r="B96" i="37"/>
  <c r="S83" i="37"/>
  <c r="R83" i="37"/>
  <c r="Q83" i="37"/>
  <c r="P83" i="37"/>
  <c r="O83" i="37"/>
  <c r="N83" i="37"/>
  <c r="L83" i="37"/>
  <c r="J83" i="37"/>
  <c r="I83" i="37"/>
  <c r="H83" i="37"/>
  <c r="G83" i="37"/>
  <c r="E83" i="37"/>
  <c r="C83" i="37"/>
  <c r="U77" i="37"/>
  <c r="T77" i="37"/>
  <c r="S77" i="37"/>
  <c r="R77" i="37"/>
  <c r="Q77" i="37"/>
  <c r="P77" i="37"/>
  <c r="O77" i="37"/>
  <c r="N77" i="37"/>
  <c r="M77" i="37"/>
  <c r="L77" i="37"/>
  <c r="K77" i="37"/>
  <c r="J77" i="37"/>
  <c r="I77" i="37"/>
  <c r="H77" i="37"/>
  <c r="G77" i="37"/>
  <c r="F77" i="37"/>
  <c r="E77" i="37"/>
  <c r="D77" i="37"/>
  <c r="C77" i="37"/>
  <c r="B77" i="37"/>
  <c r="S64" i="37"/>
  <c r="R64" i="37"/>
  <c r="Q64" i="37"/>
  <c r="P64" i="37"/>
  <c r="O64" i="37"/>
  <c r="N64" i="37"/>
  <c r="L64" i="37"/>
  <c r="J64" i="37"/>
  <c r="I64" i="37"/>
  <c r="H64" i="37"/>
  <c r="G64" i="37"/>
  <c r="E64" i="37"/>
  <c r="C64" i="37"/>
  <c r="U58" i="37"/>
  <c r="T58" i="37"/>
  <c r="S58" i="37"/>
  <c r="R58" i="37"/>
  <c r="Q58" i="37"/>
  <c r="P58" i="37"/>
  <c r="O58" i="37"/>
  <c r="N58" i="37"/>
  <c r="M58" i="37"/>
  <c r="L58" i="37"/>
  <c r="K58" i="37"/>
  <c r="J58" i="37"/>
  <c r="I58" i="37"/>
  <c r="H58" i="37"/>
  <c r="G58" i="37"/>
  <c r="F58" i="37"/>
  <c r="E58" i="37"/>
  <c r="D58" i="37"/>
  <c r="C58" i="37"/>
  <c r="B58" i="37"/>
  <c r="D27" i="36" a="1"/>
  <c r="D27" i="36" s="1"/>
  <c r="D75" i="36" s="1"/>
  <c r="C44" i="37" s="1"/>
  <c r="E27" i="36" a="1"/>
  <c r="E27" i="36" s="1"/>
  <c r="E75" i="36" s="1"/>
  <c r="E44" i="37" s="1"/>
  <c r="F27" i="36" a="1"/>
  <c r="F27" i="36"/>
  <c r="G27" i="36" a="1"/>
  <c r="G27" i="36"/>
  <c r="H27" i="36" a="1"/>
  <c r="H27" i="36" s="1"/>
  <c r="H75" i="36" s="1"/>
  <c r="I27" i="36" a="1"/>
  <c r="I27" i="36"/>
  <c r="I75" i="36" s="1"/>
  <c r="I44" i="37" s="1"/>
  <c r="J27" i="36" a="1"/>
  <c r="J27" i="36" s="1"/>
  <c r="J75" i="36" s="1"/>
  <c r="K27" i="36" a="1"/>
  <c r="K27" i="36" s="1"/>
  <c r="K75" i="36" s="1"/>
  <c r="L27" i="36" a="1"/>
  <c r="L27" i="36"/>
  <c r="L75" i="36" s="1"/>
  <c r="M27" i="36" a="1"/>
  <c r="M27" i="36"/>
  <c r="M75" i="36" s="1"/>
  <c r="J44" i="37" s="1"/>
  <c r="N27" i="36" a="1"/>
  <c r="N27" i="36" s="1"/>
  <c r="N75" i="36" s="1"/>
  <c r="O27" i="36" a="1"/>
  <c r="O27" i="36"/>
  <c r="O75" i="36" s="1"/>
  <c r="P27" i="36" a="1"/>
  <c r="P27" i="36" s="1"/>
  <c r="P75" i="36" s="1"/>
  <c r="Q27" i="36" a="1"/>
  <c r="Q27" i="36" s="1"/>
  <c r="Q75" i="36" s="1"/>
  <c r="R27" i="36" a="1"/>
  <c r="R27" i="36"/>
  <c r="S27" i="36" a="1"/>
  <c r="S27" i="36"/>
  <c r="T27" i="36" a="1"/>
  <c r="T27" i="36" s="1"/>
  <c r="T75" i="36" s="1"/>
  <c r="N44" i="37" s="1"/>
  <c r="U27" i="36" a="1"/>
  <c r="U27" i="36"/>
  <c r="U75" i="36" s="1"/>
  <c r="O44" i="37" s="1"/>
  <c r="V27" i="36" a="1"/>
  <c r="V27" i="36" s="1"/>
  <c r="V75" i="36" s="1"/>
  <c r="W27" i="36" a="1"/>
  <c r="W27" i="36" s="1"/>
  <c r="W75" i="36" s="1"/>
  <c r="P44" i="37" s="1"/>
  <c r="X27" i="36" a="1"/>
  <c r="X27" i="36"/>
  <c r="X75" i="36" s="1"/>
  <c r="Y27" i="36" a="1"/>
  <c r="Y27" i="36"/>
  <c r="Y75" i="36" s="1"/>
  <c r="Q44" i="37" s="1"/>
  <c r="Z27" i="36" a="1"/>
  <c r="Z27" i="36" s="1"/>
  <c r="Z75" i="36" s="1"/>
  <c r="AA27" i="36" a="1"/>
  <c r="AA27" i="36"/>
  <c r="AA75" i="36" s="1"/>
  <c r="R44" i="37" s="1"/>
  <c r="AB27" i="36" a="1"/>
  <c r="AB27" i="36" s="1"/>
  <c r="AB75" i="36" s="1"/>
  <c r="S44" i="37" s="1"/>
  <c r="D28" i="36" a="1"/>
  <c r="D28" i="36" s="1"/>
  <c r="D76" i="36" s="1"/>
  <c r="E28" i="36" a="1"/>
  <c r="E28" i="36"/>
  <c r="F28" i="36" a="1"/>
  <c r="F28" i="36"/>
  <c r="G28" i="36" a="1"/>
  <c r="G28" i="36" s="1"/>
  <c r="G76" i="36" s="1"/>
  <c r="H28" i="36" a="1"/>
  <c r="H28" i="36"/>
  <c r="H76" i="36" s="1"/>
  <c r="I28" i="36" a="1"/>
  <c r="I28" i="36" s="1"/>
  <c r="I76" i="36" s="1"/>
  <c r="J28" i="36" a="1"/>
  <c r="J28" i="36" s="1"/>
  <c r="J76" i="36" s="1"/>
  <c r="K28" i="36" a="1"/>
  <c r="K28" i="36"/>
  <c r="K76" i="36" s="1"/>
  <c r="L28" i="36" a="1"/>
  <c r="L28" i="36"/>
  <c r="L76" i="36" s="1"/>
  <c r="M28" i="36" a="1"/>
  <c r="M28" i="36" s="1"/>
  <c r="M76" i="36" s="1"/>
  <c r="N28" i="36" a="1"/>
  <c r="N28" i="36"/>
  <c r="N76" i="36" s="1"/>
  <c r="O28" i="36" a="1"/>
  <c r="O28" i="36" s="1"/>
  <c r="O76" i="36" s="1"/>
  <c r="P28" i="36" a="1"/>
  <c r="P28" i="36" s="1"/>
  <c r="P76" i="36" s="1"/>
  <c r="Q28" i="36" a="1"/>
  <c r="Q28" i="36"/>
  <c r="R28" i="36" a="1"/>
  <c r="R28" i="36"/>
  <c r="S28" i="36" a="1"/>
  <c r="S28" i="36" s="1"/>
  <c r="S76" i="36" s="1"/>
  <c r="T28" i="36" a="1"/>
  <c r="T28" i="36"/>
  <c r="T76" i="36" s="1"/>
  <c r="U28" i="36" a="1"/>
  <c r="U28" i="36" s="1"/>
  <c r="U76" i="36" s="1"/>
  <c r="V28" i="36" a="1"/>
  <c r="V28" i="36" s="1"/>
  <c r="V76" i="36" s="1"/>
  <c r="W28" i="36" a="1"/>
  <c r="W28" i="36"/>
  <c r="W76" i="36" s="1"/>
  <c r="X28" i="36" a="1"/>
  <c r="X28" i="36"/>
  <c r="X76" i="36" s="1"/>
  <c r="Y28" i="36" a="1"/>
  <c r="Y28" i="36" s="1"/>
  <c r="Y76" i="36" s="1"/>
  <c r="Z28" i="36" a="1"/>
  <c r="Z28" i="36"/>
  <c r="Z76" i="36" s="1"/>
  <c r="AA28" i="36" a="1"/>
  <c r="AA28" i="36" s="1"/>
  <c r="AA76" i="36" s="1"/>
  <c r="AB28" i="36" a="1"/>
  <c r="AB28" i="36" s="1"/>
  <c r="AB76" i="36" s="1"/>
  <c r="D29" i="36" a="1"/>
  <c r="D29" i="36"/>
  <c r="E29" i="36" a="1"/>
  <c r="E29" i="36"/>
  <c r="F29" i="36" a="1"/>
  <c r="F29" i="36" s="1"/>
  <c r="F77" i="36" s="1"/>
  <c r="G29" i="36" a="1"/>
  <c r="G29" i="36"/>
  <c r="G77" i="36" s="1"/>
  <c r="H29" i="36" a="1"/>
  <c r="H29" i="36" s="1"/>
  <c r="H77" i="36" s="1"/>
  <c r="I29" i="36" a="1"/>
  <c r="I29" i="36" s="1"/>
  <c r="I77" i="36" s="1"/>
  <c r="J29" i="36" a="1"/>
  <c r="J29" i="36"/>
  <c r="J77" i="36" s="1"/>
  <c r="K29" i="36" a="1"/>
  <c r="K29" i="36"/>
  <c r="K77" i="36" s="1"/>
  <c r="L29" i="36" a="1"/>
  <c r="L29" i="36" s="1"/>
  <c r="L77" i="36" s="1"/>
  <c r="M29" i="36" a="1"/>
  <c r="M29" i="36"/>
  <c r="M77" i="36" s="1"/>
  <c r="N29" i="36" a="1"/>
  <c r="N29" i="36" s="1"/>
  <c r="N77" i="36" s="1"/>
  <c r="O29" i="36" a="1"/>
  <c r="O29" i="36" s="1"/>
  <c r="O77" i="36" s="1"/>
  <c r="P29" i="36" a="1"/>
  <c r="P29" i="36" s="1"/>
  <c r="P77" i="36" s="1"/>
  <c r="Q29" i="36" a="1"/>
  <c r="Q29" i="36"/>
  <c r="R29" i="36" a="1"/>
  <c r="R29" i="36" s="1"/>
  <c r="R77" i="36" s="1"/>
  <c r="S29" i="36" a="1"/>
  <c r="S29" i="36"/>
  <c r="S77" i="36" s="1"/>
  <c r="T29" i="36" a="1"/>
  <c r="T29" i="36" s="1"/>
  <c r="T77" i="36" s="1"/>
  <c r="U29" i="36" a="1"/>
  <c r="U29" i="36" s="1"/>
  <c r="U77" i="36" s="1"/>
  <c r="V29" i="36" a="1"/>
  <c r="V29" i="36"/>
  <c r="V77" i="36" s="1"/>
  <c r="W29" i="36" a="1"/>
  <c r="W29" i="36"/>
  <c r="W77" i="36" s="1"/>
  <c r="X29" i="36" a="1"/>
  <c r="X29" i="36" s="1"/>
  <c r="X77" i="36" s="1"/>
  <c r="Y29" i="36" a="1"/>
  <c r="Y29" i="36"/>
  <c r="Y77" i="36" s="1"/>
  <c r="Z29" i="36" a="1"/>
  <c r="Z29" i="36" s="1"/>
  <c r="Z77" i="36" s="1"/>
  <c r="AA29" i="36" a="1"/>
  <c r="AA29" i="36" s="1"/>
  <c r="AA77" i="36" s="1"/>
  <c r="AB29" i="36" a="1"/>
  <c r="AB29" i="36"/>
  <c r="D30" i="36" a="1"/>
  <c r="D30" i="36"/>
  <c r="E30" i="36" a="1"/>
  <c r="E30" i="36" s="1"/>
  <c r="E78" i="36" s="1"/>
  <c r="F30" i="36" a="1"/>
  <c r="F30" i="36"/>
  <c r="F78" i="36" s="1"/>
  <c r="G30" i="36" a="1"/>
  <c r="G30" i="36" s="1"/>
  <c r="G78" i="36" s="1"/>
  <c r="H30" i="36" a="1"/>
  <c r="H30" i="36" s="1"/>
  <c r="H78" i="36" s="1"/>
  <c r="I30" i="36" a="1"/>
  <c r="I30" i="36"/>
  <c r="I78" i="36" s="1"/>
  <c r="J30" i="36" a="1"/>
  <c r="J30" i="36"/>
  <c r="J78" i="36" s="1"/>
  <c r="K30" i="36" a="1"/>
  <c r="K30" i="36" s="1"/>
  <c r="K78" i="36" s="1"/>
  <c r="L30" i="36" a="1"/>
  <c r="L30" i="36"/>
  <c r="L78" i="36" s="1"/>
  <c r="M30" i="36" a="1"/>
  <c r="M30" i="36" s="1"/>
  <c r="M78" i="36" s="1"/>
  <c r="N30" i="36" a="1"/>
  <c r="N30" i="36" s="1"/>
  <c r="N78" i="36" s="1"/>
  <c r="O30" i="36" a="1"/>
  <c r="O30" i="36"/>
  <c r="P30" i="36" a="1"/>
  <c r="P30" i="36"/>
  <c r="Q30" i="36" a="1"/>
  <c r="Q30" i="36" s="1"/>
  <c r="Q78" i="36" s="1"/>
  <c r="R30" i="36" a="1"/>
  <c r="R30" i="36"/>
  <c r="R78" i="36" s="1"/>
  <c r="S30" i="36" a="1"/>
  <c r="S30" i="36" s="1"/>
  <c r="S78" i="36" s="1"/>
  <c r="T30" i="36" a="1"/>
  <c r="T30" i="36" s="1"/>
  <c r="T78" i="36" s="1"/>
  <c r="U30" i="36" a="1"/>
  <c r="U30" i="36"/>
  <c r="U78" i="36" s="1"/>
  <c r="V30" i="36" a="1"/>
  <c r="V30" i="36"/>
  <c r="V78" i="36" s="1"/>
  <c r="W30" i="36" a="1"/>
  <c r="W30" i="36" s="1"/>
  <c r="W78" i="36" s="1"/>
  <c r="X30" i="36" a="1"/>
  <c r="X30" i="36"/>
  <c r="X78" i="36" s="1"/>
  <c r="Y30" i="36" a="1"/>
  <c r="Y30" i="36" s="1"/>
  <c r="Y78" i="36" s="1"/>
  <c r="Z30" i="36" a="1"/>
  <c r="Z30" i="36" s="1"/>
  <c r="Z78" i="36" s="1"/>
  <c r="AA30" i="36" a="1"/>
  <c r="AA30" i="36"/>
  <c r="AB30" i="36" a="1"/>
  <c r="AB30" i="36"/>
  <c r="D31" i="36" a="1"/>
  <c r="D31" i="36" s="1"/>
  <c r="D79" i="36" s="1"/>
  <c r="E31" i="36" a="1"/>
  <c r="E31" i="36"/>
  <c r="E79" i="36" s="1"/>
  <c r="F31" i="36" a="1"/>
  <c r="F31" i="36" s="1"/>
  <c r="F79" i="36" s="1"/>
  <c r="G31" i="36" a="1"/>
  <c r="G31" i="36" s="1"/>
  <c r="G79" i="36" s="1"/>
  <c r="H31" i="36" a="1"/>
  <c r="H31" i="36"/>
  <c r="H79" i="36" s="1"/>
  <c r="I31" i="36" a="1"/>
  <c r="I31" i="36"/>
  <c r="I79" i="36" s="1"/>
  <c r="J31" i="36" a="1"/>
  <c r="J31" i="36" s="1"/>
  <c r="J79" i="36" s="1"/>
  <c r="K31" i="36" a="1"/>
  <c r="K31" i="36"/>
  <c r="K79" i="36" s="1"/>
  <c r="L31" i="36" a="1"/>
  <c r="L31" i="36" s="1"/>
  <c r="L79" i="36" s="1"/>
  <c r="M31" i="36" a="1"/>
  <c r="M31" i="36" s="1"/>
  <c r="M79" i="36" s="1"/>
  <c r="N31" i="36" a="1"/>
  <c r="N31" i="36"/>
  <c r="O31" i="36" a="1"/>
  <c r="O31" i="36"/>
  <c r="P31" i="36" a="1"/>
  <c r="P31" i="36" s="1"/>
  <c r="P79" i="36" s="1"/>
  <c r="Q31" i="36" a="1"/>
  <c r="Q31" i="36"/>
  <c r="Q79" i="36" s="1"/>
  <c r="R31" i="36" a="1"/>
  <c r="R31" i="36" s="1"/>
  <c r="R79" i="36" s="1"/>
  <c r="S31" i="36" a="1"/>
  <c r="S31" i="36" s="1"/>
  <c r="S79" i="36" s="1"/>
  <c r="T31" i="36" a="1"/>
  <c r="T31" i="36"/>
  <c r="T79" i="36" s="1"/>
  <c r="U31" i="36" a="1"/>
  <c r="U31" i="36"/>
  <c r="U79" i="36" s="1"/>
  <c r="V31" i="36" a="1"/>
  <c r="V31" i="36" s="1"/>
  <c r="V79" i="36" s="1"/>
  <c r="W31" i="36" a="1"/>
  <c r="W31" i="36"/>
  <c r="W79" i="36" s="1"/>
  <c r="X31" i="36" a="1"/>
  <c r="X31" i="36" s="1"/>
  <c r="X79" i="36" s="1"/>
  <c r="Y31" i="36" a="1"/>
  <c r="Y31" i="36" s="1"/>
  <c r="Y79" i="36" s="1"/>
  <c r="Z31" i="36" a="1"/>
  <c r="Z31" i="36" s="1"/>
  <c r="Z79" i="36" s="1"/>
  <c r="AA31" i="36" a="1"/>
  <c r="AA31" i="36"/>
  <c r="AB31" i="36" a="1"/>
  <c r="AB31" i="36" s="1"/>
  <c r="AB79" i="36" s="1"/>
  <c r="C28" i="36" a="1"/>
  <c r="C28" i="36" s="1"/>
  <c r="C76" i="36" s="1"/>
  <c r="C29" i="36" a="1"/>
  <c r="C29" i="36"/>
  <c r="C77" i="36" s="1"/>
  <c r="C30" i="36" a="1"/>
  <c r="C30" i="36"/>
  <c r="C78" i="36" s="1"/>
  <c r="C31" i="36" a="1"/>
  <c r="C31" i="36"/>
  <c r="C79" i="36" s="1"/>
  <c r="C27" i="36" a="1"/>
  <c r="C27" i="36" s="1"/>
  <c r="U38" i="37"/>
  <c r="T38" i="37"/>
  <c r="S38" i="37"/>
  <c r="R38" i="37"/>
  <c r="Q38" i="37"/>
  <c r="P38" i="37"/>
  <c r="O38" i="37"/>
  <c r="N38" i="37"/>
  <c r="M38" i="37"/>
  <c r="L38" i="37"/>
  <c r="K38" i="37"/>
  <c r="J38" i="37"/>
  <c r="I38" i="37"/>
  <c r="H38" i="37"/>
  <c r="G38" i="37"/>
  <c r="F38" i="37"/>
  <c r="E38" i="37"/>
  <c r="D38" i="37"/>
  <c r="C38" i="37"/>
  <c r="B38" i="37"/>
  <c r="U114" i="37"/>
  <c r="T114" i="37"/>
  <c r="S114" i="37"/>
  <c r="R114" i="37"/>
  <c r="Q114" i="37"/>
  <c r="P114" i="37"/>
  <c r="O114" i="37"/>
  <c r="N114" i="37"/>
  <c r="M114" i="37"/>
  <c r="L114" i="37"/>
  <c r="K114" i="37"/>
  <c r="J114" i="37"/>
  <c r="I114" i="37"/>
  <c r="H114" i="37"/>
  <c r="G114" i="37"/>
  <c r="F114" i="37"/>
  <c r="E114" i="37"/>
  <c r="D114" i="37"/>
  <c r="C114" i="37"/>
  <c r="B114" i="37"/>
  <c r="U95" i="37"/>
  <c r="T95" i="37"/>
  <c r="S95" i="37"/>
  <c r="R95" i="37"/>
  <c r="Q95" i="37"/>
  <c r="P95" i="37"/>
  <c r="O95" i="37"/>
  <c r="N95" i="37"/>
  <c r="M95" i="37"/>
  <c r="L95" i="37"/>
  <c r="K95" i="37"/>
  <c r="J95" i="37"/>
  <c r="I95" i="37"/>
  <c r="H95" i="37"/>
  <c r="G95" i="37"/>
  <c r="F95" i="37"/>
  <c r="E95" i="37"/>
  <c r="D95" i="37"/>
  <c r="C95" i="37"/>
  <c r="B95" i="37"/>
  <c r="U76" i="37"/>
  <c r="T76" i="37"/>
  <c r="S76" i="37"/>
  <c r="R76" i="37"/>
  <c r="Q76" i="37"/>
  <c r="P76" i="37"/>
  <c r="O76" i="37"/>
  <c r="N76" i="37"/>
  <c r="M76" i="37"/>
  <c r="L76" i="37"/>
  <c r="K76" i="37"/>
  <c r="J76" i="37"/>
  <c r="I76" i="37"/>
  <c r="H76" i="37"/>
  <c r="G76" i="37"/>
  <c r="F76" i="37"/>
  <c r="E76" i="37"/>
  <c r="D76" i="37"/>
  <c r="C76" i="37"/>
  <c r="B76" i="37"/>
  <c r="U57" i="37"/>
  <c r="T57" i="37"/>
  <c r="S57" i="37"/>
  <c r="R57" i="37"/>
  <c r="Q57" i="37"/>
  <c r="P57" i="37"/>
  <c r="O57" i="37"/>
  <c r="N57" i="37"/>
  <c r="M57" i="37"/>
  <c r="L57" i="37"/>
  <c r="K57" i="37"/>
  <c r="J57" i="37"/>
  <c r="I57" i="37"/>
  <c r="H57" i="37"/>
  <c r="G57" i="37"/>
  <c r="F57" i="37"/>
  <c r="E57" i="37"/>
  <c r="D57" i="37"/>
  <c r="C57" i="37"/>
  <c r="B57" i="37"/>
  <c r="U37" i="37"/>
  <c r="T37" i="37"/>
  <c r="S37" i="37"/>
  <c r="R37" i="37"/>
  <c r="Q37" i="37"/>
  <c r="P37" i="37"/>
  <c r="O37" i="37"/>
  <c r="N37" i="37"/>
  <c r="M37" i="37"/>
  <c r="L37" i="37"/>
  <c r="K37" i="37"/>
  <c r="J37" i="37"/>
  <c r="I37" i="37"/>
  <c r="H37" i="37"/>
  <c r="G37" i="37"/>
  <c r="F37" i="37"/>
  <c r="E37" i="37"/>
  <c r="D37" i="37"/>
  <c r="C37" i="37"/>
  <c r="B37" i="37"/>
  <c r="I3" i="14"/>
  <c r="I4" i="14"/>
  <c r="I5" i="14"/>
  <c r="I6" i="14"/>
  <c r="I2" i="14"/>
  <c r="D124" i="29"/>
  <c r="E124" i="29"/>
  <c r="F124" i="29"/>
  <c r="G124" i="29"/>
  <c r="H124" i="29"/>
  <c r="I124" i="29"/>
  <c r="J124" i="29"/>
  <c r="K124" i="29"/>
  <c r="L124" i="29"/>
  <c r="M124" i="29"/>
  <c r="N124" i="29"/>
  <c r="O124" i="29"/>
  <c r="P124" i="29"/>
  <c r="Q124" i="29"/>
  <c r="R124" i="29"/>
  <c r="S124" i="29"/>
  <c r="T124" i="29"/>
  <c r="U124" i="29"/>
  <c r="C124" i="29"/>
  <c r="D122" i="29"/>
  <c r="E122" i="29"/>
  <c r="F122" i="29"/>
  <c r="G122" i="29"/>
  <c r="H122" i="29"/>
  <c r="I122" i="29"/>
  <c r="J122" i="29"/>
  <c r="K122" i="29"/>
  <c r="L122" i="29"/>
  <c r="M122" i="29"/>
  <c r="N122" i="29"/>
  <c r="O122" i="29"/>
  <c r="P122" i="29"/>
  <c r="Q122" i="29"/>
  <c r="R122" i="29"/>
  <c r="S122" i="29"/>
  <c r="C122" i="29"/>
  <c r="D120" i="29"/>
  <c r="E120" i="29"/>
  <c r="F120" i="29"/>
  <c r="G120" i="29"/>
  <c r="H120" i="29"/>
  <c r="I120" i="29"/>
  <c r="J120" i="29"/>
  <c r="K120" i="29"/>
  <c r="L120" i="29"/>
  <c r="M120" i="29"/>
  <c r="N120" i="29"/>
  <c r="O120" i="29"/>
  <c r="P120" i="29"/>
  <c r="Q120" i="29"/>
  <c r="R120" i="29"/>
  <c r="S120" i="29"/>
  <c r="C120" i="29"/>
  <c r="M126" i="29"/>
  <c r="U126" i="29"/>
  <c r="E116" i="29"/>
  <c r="S100" i="29"/>
  <c r="R100" i="29"/>
  <c r="Q100" i="29"/>
  <c r="P100" i="29"/>
  <c r="O100" i="29"/>
  <c r="N100" i="29"/>
  <c r="L100" i="29"/>
  <c r="K100" i="29"/>
  <c r="J100" i="29"/>
  <c r="I100" i="29"/>
  <c r="H100" i="29"/>
  <c r="G100" i="29"/>
  <c r="F100" i="29"/>
  <c r="E100" i="29"/>
  <c r="D100" i="29"/>
  <c r="C100" i="29"/>
  <c r="H82" i="29"/>
  <c r="K78" i="29"/>
  <c r="S119" i="29"/>
  <c r="R119" i="29"/>
  <c r="Q119" i="29"/>
  <c r="P119" i="29"/>
  <c r="O119" i="29"/>
  <c r="N119" i="29"/>
  <c r="L119" i="29"/>
  <c r="K119" i="29"/>
  <c r="J119" i="29"/>
  <c r="I119" i="29"/>
  <c r="H119" i="29"/>
  <c r="G119" i="29"/>
  <c r="F119" i="29"/>
  <c r="E119" i="29"/>
  <c r="D119" i="29"/>
  <c r="C119" i="29"/>
  <c r="U123" i="29"/>
  <c r="T123" i="29"/>
  <c r="S123" i="29"/>
  <c r="R123" i="29"/>
  <c r="Q123" i="29"/>
  <c r="P123" i="29"/>
  <c r="O123" i="29"/>
  <c r="N123" i="29"/>
  <c r="M123" i="29"/>
  <c r="L123" i="29"/>
  <c r="K123" i="29"/>
  <c r="J123" i="29"/>
  <c r="I123" i="29"/>
  <c r="H123" i="29"/>
  <c r="G123" i="29"/>
  <c r="F123" i="29"/>
  <c r="E123" i="29"/>
  <c r="D123" i="29"/>
  <c r="C123" i="29"/>
  <c r="S121" i="29"/>
  <c r="R121" i="29"/>
  <c r="Q121" i="29"/>
  <c r="P121" i="29"/>
  <c r="O121" i="29"/>
  <c r="N121" i="29"/>
  <c r="L121" i="29"/>
  <c r="J121" i="29"/>
  <c r="I121" i="29"/>
  <c r="H121" i="29"/>
  <c r="G121" i="29"/>
  <c r="E121" i="29"/>
  <c r="C121" i="29"/>
  <c r="U104" i="29"/>
  <c r="T104" i="29"/>
  <c r="S104" i="29"/>
  <c r="R104" i="29"/>
  <c r="Q104" i="29"/>
  <c r="P104" i="29"/>
  <c r="O104" i="29"/>
  <c r="N104" i="29"/>
  <c r="M104" i="29"/>
  <c r="L104" i="29"/>
  <c r="K104" i="29"/>
  <c r="J104" i="29"/>
  <c r="I104" i="29"/>
  <c r="H104" i="29"/>
  <c r="G104" i="29"/>
  <c r="F104" i="29"/>
  <c r="E104" i="29"/>
  <c r="D104" i="29"/>
  <c r="C104" i="29"/>
  <c r="S102" i="29"/>
  <c r="R102" i="29"/>
  <c r="Q102" i="29"/>
  <c r="P102" i="29"/>
  <c r="O102" i="29"/>
  <c r="N102" i="29"/>
  <c r="L102" i="29"/>
  <c r="J102" i="29"/>
  <c r="I102" i="29"/>
  <c r="H102" i="29"/>
  <c r="G102" i="29"/>
  <c r="E102" i="29"/>
  <c r="C102" i="29"/>
  <c r="U85" i="29"/>
  <c r="T85" i="29"/>
  <c r="S85" i="29"/>
  <c r="R85" i="29"/>
  <c r="Q85" i="29"/>
  <c r="P85" i="29"/>
  <c r="O85" i="29"/>
  <c r="N85" i="29"/>
  <c r="M85" i="29"/>
  <c r="L85" i="29"/>
  <c r="K85" i="29"/>
  <c r="J85" i="29"/>
  <c r="I85" i="29"/>
  <c r="H85" i="29"/>
  <c r="G85" i="29"/>
  <c r="F85" i="29"/>
  <c r="E85" i="29"/>
  <c r="D85" i="29"/>
  <c r="C85" i="29"/>
  <c r="S83" i="29"/>
  <c r="R83" i="29"/>
  <c r="Q83" i="29"/>
  <c r="P83" i="29"/>
  <c r="O83" i="29"/>
  <c r="N83" i="29"/>
  <c r="L83" i="29"/>
  <c r="J83" i="29"/>
  <c r="I83" i="29"/>
  <c r="H83" i="29"/>
  <c r="G83" i="29"/>
  <c r="E83" i="29"/>
  <c r="C83" i="29"/>
  <c r="U66" i="29"/>
  <c r="T66" i="29"/>
  <c r="S66" i="29"/>
  <c r="R66" i="29"/>
  <c r="Q66" i="29"/>
  <c r="P66" i="29"/>
  <c r="O66" i="29"/>
  <c r="N66" i="29"/>
  <c r="M66" i="29"/>
  <c r="L66" i="29"/>
  <c r="K66" i="29"/>
  <c r="J66" i="29"/>
  <c r="I66" i="29"/>
  <c r="H66" i="29"/>
  <c r="G66" i="29"/>
  <c r="F66" i="29"/>
  <c r="E66" i="29"/>
  <c r="D66" i="29"/>
  <c r="C66" i="29"/>
  <c r="S64" i="29"/>
  <c r="R64" i="29"/>
  <c r="Q64" i="29"/>
  <c r="P64" i="29"/>
  <c r="O64" i="29"/>
  <c r="N64" i="29"/>
  <c r="L64" i="29"/>
  <c r="J64" i="29"/>
  <c r="I64" i="29"/>
  <c r="H64" i="29"/>
  <c r="G64" i="29"/>
  <c r="E64" i="29"/>
  <c r="C64" i="29"/>
  <c r="T46" i="29"/>
  <c r="U46" i="29"/>
  <c r="Q46" i="29"/>
  <c r="R46" i="29"/>
  <c r="S46" i="29"/>
  <c r="N46" i="29"/>
  <c r="O46" i="29"/>
  <c r="P46" i="29"/>
  <c r="M46" i="29"/>
  <c r="L46" i="29"/>
  <c r="K46" i="29"/>
  <c r="J46" i="29"/>
  <c r="I46" i="29"/>
  <c r="F46" i="29"/>
  <c r="G46" i="29"/>
  <c r="H46" i="29"/>
  <c r="D46" i="29"/>
  <c r="E46" i="29"/>
  <c r="C46" i="29"/>
  <c r="S44" i="29"/>
  <c r="R44" i="29"/>
  <c r="Q44" i="29"/>
  <c r="O44" i="29"/>
  <c r="N44" i="29"/>
  <c r="P44" i="29"/>
  <c r="L44" i="29"/>
  <c r="J44" i="29"/>
  <c r="I44" i="29"/>
  <c r="H44" i="29"/>
  <c r="G44" i="29"/>
  <c r="E44" i="29"/>
  <c r="C44" i="29"/>
  <c r="F42" i="29"/>
  <c r="G42" i="29"/>
  <c r="E42" i="29"/>
  <c r="F75" i="36"/>
  <c r="G44" i="37" s="1"/>
  <c r="G75" i="36"/>
  <c r="H44" i="37" s="1"/>
  <c r="R75" i="36"/>
  <c r="S75" i="36"/>
  <c r="L44" i="37" s="1"/>
  <c r="E76" i="36"/>
  <c r="F76" i="36"/>
  <c r="Q76" i="36"/>
  <c r="R76" i="36"/>
  <c r="D77" i="36"/>
  <c r="E77" i="36"/>
  <c r="Q77" i="36"/>
  <c r="AB77" i="36"/>
  <c r="D78" i="36"/>
  <c r="O78" i="36"/>
  <c r="P78" i="36"/>
  <c r="AA78" i="36"/>
  <c r="AB78" i="36"/>
  <c r="N79" i="36"/>
  <c r="O79" i="36"/>
  <c r="AA79" i="36"/>
  <c r="C52" i="36" a="1"/>
  <c r="C52" i="36" s="1"/>
  <c r="D52" i="36" a="1"/>
  <c r="D52" i="36" s="1"/>
  <c r="E52" i="36" a="1"/>
  <c r="E52" i="36"/>
  <c r="F52" i="36" a="1"/>
  <c r="F52" i="36"/>
  <c r="G52" i="36" a="1"/>
  <c r="G52" i="36"/>
  <c r="H52" i="36" a="1"/>
  <c r="H52" i="36"/>
  <c r="I52" i="36" a="1"/>
  <c r="I52" i="36" s="1"/>
  <c r="J52" i="36" a="1"/>
  <c r="J52" i="36" s="1"/>
  <c r="K52" i="36" a="1"/>
  <c r="K52" i="36"/>
  <c r="L52" i="36" a="1"/>
  <c r="L52" i="36"/>
  <c r="M52" i="36" a="1"/>
  <c r="M52" i="36"/>
  <c r="N52" i="36" a="1"/>
  <c r="N52" i="36"/>
  <c r="O52" i="36" a="1"/>
  <c r="O52" i="36" s="1"/>
  <c r="P52" i="36" a="1"/>
  <c r="P52" i="36" s="1"/>
  <c r="Q52" i="36" a="1"/>
  <c r="Q52" i="36"/>
  <c r="R52" i="36" a="1"/>
  <c r="R52" i="36"/>
  <c r="S52" i="36" a="1"/>
  <c r="S52" i="36"/>
  <c r="T52" i="36" a="1"/>
  <c r="T52" i="36"/>
  <c r="U52" i="36" a="1"/>
  <c r="U52" i="36" s="1"/>
  <c r="V52" i="36" a="1"/>
  <c r="V52" i="36" s="1"/>
  <c r="W52" i="36" a="1"/>
  <c r="W52" i="36"/>
  <c r="X52" i="36" a="1"/>
  <c r="X52" i="36"/>
  <c r="Y52" i="36" a="1"/>
  <c r="Y52" i="36"/>
  <c r="Z52" i="36" a="1"/>
  <c r="Z52" i="36"/>
  <c r="AA52" i="36" a="1"/>
  <c r="AA52" i="36" s="1"/>
  <c r="AB52" i="36" a="1"/>
  <c r="AB52" i="36" s="1"/>
  <c r="C53" i="36" a="1"/>
  <c r="C53" i="36"/>
  <c r="D53" i="36" a="1"/>
  <c r="D53" i="36"/>
  <c r="E53" i="36" a="1"/>
  <c r="E53" i="36"/>
  <c r="F53" i="36" a="1"/>
  <c r="F53" i="36"/>
  <c r="G53" i="36" a="1"/>
  <c r="G53" i="36" s="1"/>
  <c r="H53" i="36" a="1"/>
  <c r="H53" i="36" s="1"/>
  <c r="I53" i="36" a="1"/>
  <c r="I53" i="36"/>
  <c r="J53" i="36" a="1"/>
  <c r="J53" i="36"/>
  <c r="K53" i="36" a="1"/>
  <c r="K53" i="36"/>
  <c r="L53" i="36" a="1"/>
  <c r="L53" i="36"/>
  <c r="M53" i="36" a="1"/>
  <c r="M53" i="36" s="1"/>
  <c r="N53" i="36" a="1"/>
  <c r="N53" i="36" s="1"/>
  <c r="O53" i="36" a="1"/>
  <c r="O53" i="36"/>
  <c r="P53" i="36" a="1"/>
  <c r="P53" i="36"/>
  <c r="Q53" i="36" a="1"/>
  <c r="Q53" i="36"/>
  <c r="R53" i="36" a="1"/>
  <c r="R53" i="36"/>
  <c r="S53" i="36" a="1"/>
  <c r="S53" i="36" s="1"/>
  <c r="T53" i="36" a="1"/>
  <c r="T53" i="36" s="1"/>
  <c r="U53" i="36" a="1"/>
  <c r="U53" i="36"/>
  <c r="V53" i="36" a="1"/>
  <c r="V53" i="36"/>
  <c r="W53" i="36" a="1"/>
  <c r="W53" i="36"/>
  <c r="X53" i="36" a="1"/>
  <c r="X53" i="36"/>
  <c r="Y53" i="36" a="1"/>
  <c r="Y53" i="36" s="1"/>
  <c r="Z53" i="36" a="1"/>
  <c r="Z53" i="36" s="1"/>
  <c r="AA53" i="36" a="1"/>
  <c r="AA53" i="36"/>
  <c r="AB53" i="36" a="1"/>
  <c r="AB53" i="36"/>
  <c r="C54" i="36" a="1"/>
  <c r="C54" i="36"/>
  <c r="D54" i="36" a="1"/>
  <c r="D54" i="36"/>
  <c r="E54" i="36" a="1"/>
  <c r="E54" i="36" s="1"/>
  <c r="F54" i="36" a="1"/>
  <c r="F54" i="36" s="1"/>
  <c r="G54" i="36" a="1"/>
  <c r="G54" i="36"/>
  <c r="H54" i="36" a="1"/>
  <c r="H54" i="36"/>
  <c r="I54" i="36" a="1"/>
  <c r="I54" i="36"/>
  <c r="J54" i="36" a="1"/>
  <c r="J54" i="36"/>
  <c r="K54" i="36" a="1"/>
  <c r="K54" i="36" s="1"/>
  <c r="L54" i="36" a="1"/>
  <c r="L54" i="36" s="1"/>
  <c r="M54" i="36" a="1"/>
  <c r="M54" i="36"/>
  <c r="N54" i="36" a="1"/>
  <c r="N54" i="36"/>
  <c r="O54" i="36" a="1"/>
  <c r="O54" i="36"/>
  <c r="P54" i="36" a="1"/>
  <c r="P54" i="36"/>
  <c r="Q54" i="36" a="1"/>
  <c r="Q54" i="36" s="1"/>
  <c r="R54" i="36" a="1"/>
  <c r="R54" i="36" s="1"/>
  <c r="S54" i="36" a="1"/>
  <c r="S54" i="36"/>
  <c r="T54" i="36" a="1"/>
  <c r="T54" i="36"/>
  <c r="U54" i="36" a="1"/>
  <c r="U54" i="36"/>
  <c r="V54" i="36" a="1"/>
  <c r="V54" i="36"/>
  <c r="W54" i="36" a="1"/>
  <c r="W54" i="36" s="1"/>
  <c r="X54" i="36" a="1"/>
  <c r="X54" i="36" s="1"/>
  <c r="Y54" i="36" a="1"/>
  <c r="Y54" i="36"/>
  <c r="Z54" i="36" a="1"/>
  <c r="Z54" i="36"/>
  <c r="AA54" i="36" a="1"/>
  <c r="AA54" i="36"/>
  <c r="AB54" i="36" a="1"/>
  <c r="AB54" i="36"/>
  <c r="C55" i="36" a="1"/>
  <c r="C55" i="36" s="1"/>
  <c r="D55" i="36" a="1"/>
  <c r="D55" i="36" s="1"/>
  <c r="E55" i="36" a="1"/>
  <c r="E55" i="36"/>
  <c r="F55" i="36" a="1"/>
  <c r="F55" i="36"/>
  <c r="G55" i="36" a="1"/>
  <c r="G55" i="36"/>
  <c r="H55" i="36" a="1"/>
  <c r="H55" i="36"/>
  <c r="I55" i="36" a="1"/>
  <c r="I55" i="36" s="1"/>
  <c r="J55" i="36" a="1"/>
  <c r="J55" i="36" s="1"/>
  <c r="K55" i="36" a="1"/>
  <c r="K55" i="36"/>
  <c r="L55" i="36" a="1"/>
  <c r="L55" i="36"/>
  <c r="M55" i="36" a="1"/>
  <c r="M55" i="36"/>
  <c r="N55" i="36" a="1"/>
  <c r="N55" i="36"/>
  <c r="O55" i="36" a="1"/>
  <c r="O55" i="36" s="1"/>
  <c r="P55" i="36" a="1"/>
  <c r="P55" i="36" s="1"/>
  <c r="Q55" i="36" a="1"/>
  <c r="Q55" i="36"/>
  <c r="R55" i="36" a="1"/>
  <c r="R55" i="36"/>
  <c r="S55" i="36" a="1"/>
  <c r="S55" i="36"/>
  <c r="T55" i="36" a="1"/>
  <c r="T55" i="36"/>
  <c r="U55" i="36" a="1"/>
  <c r="U55" i="36" s="1"/>
  <c r="V55" i="36" a="1"/>
  <c r="V55" i="36" s="1"/>
  <c r="W55" i="36" a="1"/>
  <c r="W55" i="36"/>
  <c r="X55" i="36" a="1"/>
  <c r="X55" i="36"/>
  <c r="Y55" i="36" a="1"/>
  <c r="Y55" i="36"/>
  <c r="Z55" i="36" a="1"/>
  <c r="Z55" i="36"/>
  <c r="AA55" i="36" a="1"/>
  <c r="AA55" i="36" s="1"/>
  <c r="AB55" i="36" a="1"/>
  <c r="AB55" i="36" s="1"/>
  <c r="D51" i="36" a="1"/>
  <c r="D51" i="36" s="1"/>
  <c r="E51" i="36" a="1"/>
  <c r="E51" i="36" s="1"/>
  <c r="F51" i="36" a="1"/>
  <c r="F51" i="36"/>
  <c r="G51" i="36" a="1"/>
  <c r="G51" i="36" s="1"/>
  <c r="H51" i="36" a="1"/>
  <c r="H51" i="36"/>
  <c r="I51" i="36" a="1"/>
  <c r="I51" i="36"/>
  <c r="J51" i="36" a="1"/>
  <c r="J51" i="36" s="1"/>
  <c r="K51" i="36" a="1"/>
  <c r="K51" i="36" s="1"/>
  <c r="L51" i="36" a="1"/>
  <c r="L51" i="36"/>
  <c r="M51" i="36" a="1"/>
  <c r="M51" i="36" s="1"/>
  <c r="N51" i="36" a="1"/>
  <c r="N51" i="36"/>
  <c r="O51" i="36" a="1"/>
  <c r="O51" i="36"/>
  <c r="P51" i="36" a="1"/>
  <c r="P51" i="36" s="1"/>
  <c r="Q51" i="36" a="1"/>
  <c r="Q51" i="36" s="1"/>
  <c r="R51" i="36" a="1"/>
  <c r="R51" i="36"/>
  <c r="S51" i="36" a="1"/>
  <c r="S51" i="36" s="1"/>
  <c r="T51" i="36" a="1"/>
  <c r="T51" i="36"/>
  <c r="U51" i="36" a="1"/>
  <c r="U51" i="36"/>
  <c r="V51" i="36" a="1"/>
  <c r="V51" i="36" s="1"/>
  <c r="W51" i="36" a="1"/>
  <c r="W51" i="36" s="1"/>
  <c r="X51" i="36" a="1"/>
  <c r="X51" i="36"/>
  <c r="Y51" i="36" a="1"/>
  <c r="Y51" i="36" s="1"/>
  <c r="Z51" i="36" a="1"/>
  <c r="Z51" i="36"/>
  <c r="AA51" i="36" a="1"/>
  <c r="AA51" i="36"/>
  <c r="AB51" i="36" a="1"/>
  <c r="AB51" i="36" s="1"/>
  <c r="C51" i="36" a="1"/>
  <c r="C51" i="36" s="1"/>
  <c r="C44" i="36" a="1"/>
  <c r="C44" i="36" s="1"/>
  <c r="D44" i="36" a="1"/>
  <c r="D44" i="36" s="1"/>
  <c r="E44" i="36" a="1"/>
  <c r="E44" i="36"/>
  <c r="F44" i="36" a="1"/>
  <c r="F44" i="36"/>
  <c r="G44" i="36" a="1"/>
  <c r="G44" i="36"/>
  <c r="H44" i="36" a="1"/>
  <c r="H44" i="36"/>
  <c r="I44" i="36" a="1"/>
  <c r="I44" i="36" s="1"/>
  <c r="J44" i="36" a="1"/>
  <c r="J44" i="36" s="1"/>
  <c r="K44" i="36" a="1"/>
  <c r="K44" i="36"/>
  <c r="L44" i="36" a="1"/>
  <c r="L44" i="36"/>
  <c r="M44" i="36" a="1"/>
  <c r="M44" i="36"/>
  <c r="N44" i="36" a="1"/>
  <c r="N44" i="36"/>
  <c r="O44" i="36" a="1"/>
  <c r="O44" i="36" s="1"/>
  <c r="P44" i="36" a="1"/>
  <c r="P44" i="36" s="1"/>
  <c r="Q44" i="36" a="1"/>
  <c r="Q44" i="36"/>
  <c r="R44" i="36" a="1"/>
  <c r="R44" i="36"/>
  <c r="S44" i="36" a="1"/>
  <c r="S44" i="36"/>
  <c r="T44" i="36" a="1"/>
  <c r="T44" i="36"/>
  <c r="U44" i="36" a="1"/>
  <c r="U44" i="36" s="1"/>
  <c r="V44" i="36" a="1"/>
  <c r="V44" i="36" s="1"/>
  <c r="W44" i="36" a="1"/>
  <c r="W44" i="36"/>
  <c r="X44" i="36" a="1"/>
  <c r="X44" i="36"/>
  <c r="Y44" i="36" a="1"/>
  <c r="Y44" i="36"/>
  <c r="Z44" i="36" a="1"/>
  <c r="Z44" i="36"/>
  <c r="AA44" i="36" a="1"/>
  <c r="AA44" i="36" s="1"/>
  <c r="AB44" i="36" a="1"/>
  <c r="AB44" i="36" s="1"/>
  <c r="C45" i="36" a="1"/>
  <c r="C45" i="36"/>
  <c r="D45" i="36" a="1"/>
  <c r="D45" i="36"/>
  <c r="E45" i="36" a="1"/>
  <c r="E45" i="36"/>
  <c r="F45" i="36" a="1"/>
  <c r="F45" i="36"/>
  <c r="G45" i="36" a="1"/>
  <c r="G45" i="36" s="1"/>
  <c r="H45" i="36" a="1"/>
  <c r="H45" i="36" s="1"/>
  <c r="I45" i="36" a="1"/>
  <c r="I45" i="36"/>
  <c r="J45" i="36" a="1"/>
  <c r="J45" i="36"/>
  <c r="K45" i="36" a="1"/>
  <c r="K45" i="36"/>
  <c r="L45" i="36" a="1"/>
  <c r="L45" i="36"/>
  <c r="M45" i="36" a="1"/>
  <c r="M45" i="36" s="1"/>
  <c r="N45" i="36" a="1"/>
  <c r="N45" i="36" s="1"/>
  <c r="O45" i="36" a="1"/>
  <c r="O45" i="36"/>
  <c r="P45" i="36" a="1"/>
  <c r="P45" i="36"/>
  <c r="Q45" i="36" a="1"/>
  <c r="Q45" i="36"/>
  <c r="R45" i="36" a="1"/>
  <c r="R45" i="36"/>
  <c r="S45" i="36" a="1"/>
  <c r="S45" i="36" s="1"/>
  <c r="T45" i="36" a="1"/>
  <c r="T45" i="36" s="1"/>
  <c r="U45" i="36" a="1"/>
  <c r="U45" i="36"/>
  <c r="V45" i="36" a="1"/>
  <c r="V45" i="36"/>
  <c r="W45" i="36" a="1"/>
  <c r="W45" i="36"/>
  <c r="X45" i="36" a="1"/>
  <c r="X45" i="36"/>
  <c r="Y45" i="36" a="1"/>
  <c r="Y45" i="36" s="1"/>
  <c r="Z45" i="36" a="1"/>
  <c r="Z45" i="36" s="1"/>
  <c r="AA45" i="36" a="1"/>
  <c r="AA45" i="36"/>
  <c r="AB45" i="36" a="1"/>
  <c r="AB45" i="36"/>
  <c r="C46" i="36" a="1"/>
  <c r="C46" i="36"/>
  <c r="D46" i="36" a="1"/>
  <c r="D46" i="36"/>
  <c r="E46" i="36" a="1"/>
  <c r="E46" i="36" s="1"/>
  <c r="F46" i="36" a="1"/>
  <c r="F46" i="36" s="1"/>
  <c r="G46" i="36" a="1"/>
  <c r="G46" i="36"/>
  <c r="H46" i="36" a="1"/>
  <c r="H46" i="36"/>
  <c r="I46" i="36" a="1"/>
  <c r="I46" i="36"/>
  <c r="J46" i="36" a="1"/>
  <c r="J46" i="36"/>
  <c r="K46" i="36" a="1"/>
  <c r="K46" i="36" s="1"/>
  <c r="L46" i="36" a="1"/>
  <c r="L46" i="36" s="1"/>
  <c r="M46" i="36" a="1"/>
  <c r="M46" i="36"/>
  <c r="N46" i="36" a="1"/>
  <c r="N46" i="36"/>
  <c r="O46" i="36" a="1"/>
  <c r="O46" i="36"/>
  <c r="P46" i="36" a="1"/>
  <c r="P46" i="36"/>
  <c r="Q46" i="36" a="1"/>
  <c r="Q46" i="36" s="1"/>
  <c r="R46" i="36" a="1"/>
  <c r="R46" i="36" s="1"/>
  <c r="S46" i="36" a="1"/>
  <c r="S46" i="36"/>
  <c r="T46" i="36" a="1"/>
  <c r="T46" i="36"/>
  <c r="U46" i="36" a="1"/>
  <c r="U46" i="36"/>
  <c r="V46" i="36" a="1"/>
  <c r="V46" i="36"/>
  <c r="W46" i="36" a="1"/>
  <c r="W46" i="36" s="1"/>
  <c r="X46" i="36" a="1"/>
  <c r="X46" i="36" s="1"/>
  <c r="Y46" i="36" a="1"/>
  <c r="Y46" i="36"/>
  <c r="Z46" i="36" a="1"/>
  <c r="Z46" i="36"/>
  <c r="AA46" i="36" a="1"/>
  <c r="AA46" i="36"/>
  <c r="AB46" i="36" a="1"/>
  <c r="AB46" i="36"/>
  <c r="C47" i="36" a="1"/>
  <c r="C47" i="36" s="1"/>
  <c r="D47" i="36" a="1"/>
  <c r="D47" i="36" s="1"/>
  <c r="E47" i="36" a="1"/>
  <c r="E47" i="36"/>
  <c r="F47" i="36" a="1"/>
  <c r="F47" i="36"/>
  <c r="G47" i="36" a="1"/>
  <c r="G47" i="36"/>
  <c r="H47" i="36" a="1"/>
  <c r="H47" i="36"/>
  <c r="I47" i="36" a="1"/>
  <c r="I47" i="36" s="1"/>
  <c r="J47" i="36" a="1"/>
  <c r="J47" i="36" s="1"/>
  <c r="K47" i="36" a="1"/>
  <c r="K47" i="36"/>
  <c r="L47" i="36" a="1"/>
  <c r="L47" i="36"/>
  <c r="M47" i="36" a="1"/>
  <c r="M47" i="36"/>
  <c r="N47" i="36" a="1"/>
  <c r="N47" i="36"/>
  <c r="O47" i="36" a="1"/>
  <c r="O47" i="36" s="1"/>
  <c r="P47" i="36" a="1"/>
  <c r="P47" i="36" s="1"/>
  <c r="Q47" i="36" a="1"/>
  <c r="Q47" i="36"/>
  <c r="R47" i="36" a="1"/>
  <c r="R47" i="36"/>
  <c r="S47" i="36" a="1"/>
  <c r="S47" i="36"/>
  <c r="T47" i="36" a="1"/>
  <c r="T47" i="36"/>
  <c r="U47" i="36" a="1"/>
  <c r="U47" i="36" s="1"/>
  <c r="V47" i="36" a="1"/>
  <c r="V47" i="36" s="1"/>
  <c r="W47" i="36" a="1"/>
  <c r="W47" i="36"/>
  <c r="X47" i="36" a="1"/>
  <c r="X47" i="36"/>
  <c r="Y47" i="36" a="1"/>
  <c r="Y47" i="36"/>
  <c r="Z47" i="36" a="1"/>
  <c r="Z47" i="36"/>
  <c r="AA47" i="36" a="1"/>
  <c r="AA47" i="36" s="1"/>
  <c r="AB47" i="36" a="1"/>
  <c r="AB47" i="36" s="1"/>
  <c r="D43" i="36" a="1"/>
  <c r="D43" i="36" s="1"/>
  <c r="E43" i="36" a="1"/>
  <c r="E43" i="36" s="1"/>
  <c r="F43" i="36" a="1"/>
  <c r="F43" i="36"/>
  <c r="G43" i="36" a="1"/>
  <c r="G43" i="36"/>
  <c r="H43" i="36" a="1"/>
  <c r="H43" i="36"/>
  <c r="I43" i="36" a="1"/>
  <c r="I43" i="36"/>
  <c r="J43" i="36" a="1"/>
  <c r="J43" i="36" s="1"/>
  <c r="K43" i="36" a="1"/>
  <c r="K43" i="36" s="1"/>
  <c r="L43" i="36" a="1"/>
  <c r="L43" i="36"/>
  <c r="M43" i="36" a="1"/>
  <c r="M43" i="36"/>
  <c r="N43" i="36" a="1"/>
  <c r="N43" i="36"/>
  <c r="O43" i="36" a="1"/>
  <c r="O43" i="36"/>
  <c r="P43" i="36" a="1"/>
  <c r="P43" i="36" s="1"/>
  <c r="Q43" i="36" a="1"/>
  <c r="Q43" i="36" s="1"/>
  <c r="R43" i="36" a="1"/>
  <c r="R43" i="36"/>
  <c r="S43" i="36" a="1"/>
  <c r="S43" i="36" s="1"/>
  <c r="T43" i="36" a="1"/>
  <c r="T43" i="36" s="1"/>
  <c r="U43" i="36" a="1"/>
  <c r="U43" i="36"/>
  <c r="V43" i="36" a="1"/>
  <c r="V43" i="36" s="1"/>
  <c r="W43" i="36" a="1"/>
  <c r="W43" i="36" s="1"/>
  <c r="X43" i="36" a="1"/>
  <c r="X43" i="36"/>
  <c r="Y43" i="36" a="1"/>
  <c r="Y43" i="36" s="1"/>
  <c r="Z43" i="36" a="1"/>
  <c r="Z43" i="36"/>
  <c r="AA43" i="36" a="1"/>
  <c r="AA43" i="36"/>
  <c r="AB43" i="36" a="1"/>
  <c r="AB43" i="36" s="1"/>
  <c r="C43" i="36" a="1"/>
  <c r="C43" i="36" s="1"/>
  <c r="C36" i="36" a="1"/>
  <c r="C36" i="36" s="1"/>
  <c r="D36" i="36" a="1"/>
  <c r="D36" i="36" s="1"/>
  <c r="E36" i="36" a="1"/>
  <c r="E36" i="36"/>
  <c r="F36" i="36" a="1"/>
  <c r="F36" i="36"/>
  <c r="G36" i="36" a="1"/>
  <c r="G36" i="36"/>
  <c r="H36" i="36" a="1"/>
  <c r="H36" i="36"/>
  <c r="I36" i="36" a="1"/>
  <c r="I36" i="36" s="1"/>
  <c r="J36" i="36" a="1"/>
  <c r="J36" i="36" s="1"/>
  <c r="K36" i="36" a="1"/>
  <c r="K36" i="36"/>
  <c r="L36" i="36" a="1"/>
  <c r="L36" i="36"/>
  <c r="M36" i="36" a="1"/>
  <c r="M36" i="36"/>
  <c r="N36" i="36" a="1"/>
  <c r="N36" i="36"/>
  <c r="O36" i="36" a="1"/>
  <c r="O36" i="36" s="1"/>
  <c r="P36" i="36" a="1"/>
  <c r="P36" i="36" s="1"/>
  <c r="Q36" i="36" a="1"/>
  <c r="Q36" i="36"/>
  <c r="R36" i="36" a="1"/>
  <c r="R36" i="36"/>
  <c r="S36" i="36" a="1"/>
  <c r="S36" i="36"/>
  <c r="T36" i="36" a="1"/>
  <c r="T36" i="36"/>
  <c r="U36" i="36" a="1"/>
  <c r="U36" i="36" s="1"/>
  <c r="V36" i="36" a="1"/>
  <c r="V36" i="36" s="1"/>
  <c r="W36" i="36" a="1"/>
  <c r="W36" i="36"/>
  <c r="X36" i="36" a="1"/>
  <c r="X36" i="36"/>
  <c r="Y36" i="36" a="1"/>
  <c r="Y36" i="36"/>
  <c r="Z36" i="36" a="1"/>
  <c r="Z36" i="36"/>
  <c r="AA36" i="36" a="1"/>
  <c r="AA36" i="36" s="1"/>
  <c r="AB36" i="36" a="1"/>
  <c r="AB36" i="36" s="1"/>
  <c r="C37" i="36" a="1"/>
  <c r="C37" i="36"/>
  <c r="D37" i="36" a="1"/>
  <c r="D37" i="36"/>
  <c r="E37" i="36" a="1"/>
  <c r="E37" i="36"/>
  <c r="F37" i="36" a="1"/>
  <c r="F37" i="36"/>
  <c r="G37" i="36" a="1"/>
  <c r="G37" i="36" s="1"/>
  <c r="H37" i="36" a="1"/>
  <c r="H37" i="36" s="1"/>
  <c r="I37" i="36" a="1"/>
  <c r="I37" i="36"/>
  <c r="J37" i="36" a="1"/>
  <c r="J37" i="36"/>
  <c r="K37" i="36" a="1"/>
  <c r="K37" i="36"/>
  <c r="L37" i="36" a="1"/>
  <c r="L37" i="36"/>
  <c r="M37" i="36" a="1"/>
  <c r="M37" i="36" s="1"/>
  <c r="N37" i="36" a="1"/>
  <c r="N37" i="36" s="1"/>
  <c r="O37" i="36" a="1"/>
  <c r="O37" i="36"/>
  <c r="P37" i="36" a="1"/>
  <c r="P37" i="36"/>
  <c r="Q37" i="36" a="1"/>
  <c r="Q37" i="36"/>
  <c r="R37" i="36" a="1"/>
  <c r="R37" i="36"/>
  <c r="S37" i="36" a="1"/>
  <c r="S37" i="36" s="1"/>
  <c r="T37" i="36" a="1"/>
  <c r="T37" i="36" s="1"/>
  <c r="U37" i="36" a="1"/>
  <c r="U37" i="36"/>
  <c r="V37" i="36" a="1"/>
  <c r="V37" i="36"/>
  <c r="W37" i="36" a="1"/>
  <c r="W37" i="36" s="1"/>
  <c r="X37" i="36" a="1"/>
  <c r="X37" i="36"/>
  <c r="Y37" i="36" a="1"/>
  <c r="Y37" i="36" s="1"/>
  <c r="Z37" i="36" a="1"/>
  <c r="Z37" i="36" s="1"/>
  <c r="AA37" i="36" a="1"/>
  <c r="AA37" i="36"/>
  <c r="AB37" i="36" a="1"/>
  <c r="AB37" i="36"/>
  <c r="C38" i="36" a="1"/>
  <c r="C38" i="36"/>
  <c r="D38" i="36" a="1"/>
  <c r="D38" i="36"/>
  <c r="E38" i="36" a="1"/>
  <c r="E38" i="36" s="1"/>
  <c r="F38" i="36" a="1"/>
  <c r="F38" i="36" s="1"/>
  <c r="G38" i="36" a="1"/>
  <c r="G38" i="36"/>
  <c r="H38" i="36" a="1"/>
  <c r="H38" i="36"/>
  <c r="I38" i="36" a="1"/>
  <c r="I38" i="36"/>
  <c r="J38" i="36" a="1"/>
  <c r="J38" i="36"/>
  <c r="K38" i="36" a="1"/>
  <c r="K38" i="36" s="1"/>
  <c r="L38" i="36" a="1"/>
  <c r="L38" i="36" s="1"/>
  <c r="M38" i="36" a="1"/>
  <c r="M38" i="36"/>
  <c r="N38" i="36" a="1"/>
  <c r="N38" i="36"/>
  <c r="O38" i="36" a="1"/>
  <c r="O38" i="36"/>
  <c r="P38" i="36" a="1"/>
  <c r="P38" i="36"/>
  <c r="Q38" i="36" a="1"/>
  <c r="Q38" i="36" s="1"/>
  <c r="R38" i="36" a="1"/>
  <c r="R38" i="36" s="1"/>
  <c r="S38" i="36" a="1"/>
  <c r="S38" i="36"/>
  <c r="T38" i="36" a="1"/>
  <c r="T38" i="36"/>
  <c r="U38" i="36" a="1"/>
  <c r="U38" i="36"/>
  <c r="V38" i="36" a="1"/>
  <c r="V38" i="36"/>
  <c r="W38" i="36" a="1"/>
  <c r="W38" i="36" s="1"/>
  <c r="X38" i="36" a="1"/>
  <c r="X38" i="36" s="1"/>
  <c r="Y38" i="36" a="1"/>
  <c r="Y38" i="36"/>
  <c r="Z38" i="36" a="1"/>
  <c r="Z38" i="36"/>
  <c r="AA38" i="36" a="1"/>
  <c r="AA38" i="36"/>
  <c r="AB38" i="36" a="1"/>
  <c r="AB38" i="36"/>
  <c r="C39" i="36" a="1"/>
  <c r="C39" i="36" s="1"/>
  <c r="D39" i="36" a="1"/>
  <c r="D39" i="36" s="1"/>
  <c r="E39" i="36" a="1"/>
  <c r="E39" i="36"/>
  <c r="F39" i="36" a="1"/>
  <c r="F39" i="36"/>
  <c r="G39" i="36" a="1"/>
  <c r="G39" i="36"/>
  <c r="H39" i="36" a="1"/>
  <c r="H39" i="36" s="1"/>
  <c r="I39" i="36" a="1"/>
  <c r="I39" i="36" s="1"/>
  <c r="J39" i="36" a="1"/>
  <c r="J39" i="36" s="1"/>
  <c r="K39" i="36" a="1"/>
  <c r="K39" i="36"/>
  <c r="L39" i="36" a="1"/>
  <c r="L39" i="36"/>
  <c r="M39" i="36" a="1"/>
  <c r="M39" i="36"/>
  <c r="N39" i="36" a="1"/>
  <c r="N39" i="36"/>
  <c r="O39" i="36" a="1"/>
  <c r="O39" i="36" s="1"/>
  <c r="P39" i="36" a="1"/>
  <c r="P39" i="36" s="1"/>
  <c r="Q39" i="36" a="1"/>
  <c r="Q39" i="36"/>
  <c r="R39" i="36" a="1"/>
  <c r="R39" i="36"/>
  <c r="S39" i="36" a="1"/>
  <c r="S39" i="36" s="1"/>
  <c r="T39" i="36" a="1"/>
  <c r="T39" i="36"/>
  <c r="U39" i="36" a="1"/>
  <c r="U39" i="36" s="1"/>
  <c r="V39" i="36" a="1"/>
  <c r="V39" i="36" s="1"/>
  <c r="W39" i="36" a="1"/>
  <c r="W39" i="36"/>
  <c r="X39" i="36" a="1"/>
  <c r="X39" i="36"/>
  <c r="Y39" i="36" a="1"/>
  <c r="Y39" i="36"/>
  <c r="Z39" i="36" a="1"/>
  <c r="Z39" i="36"/>
  <c r="AA39" i="36" a="1"/>
  <c r="AA39" i="36" s="1"/>
  <c r="AB39" i="36" a="1"/>
  <c r="AB39" i="36" s="1"/>
  <c r="D35" i="36" a="1"/>
  <c r="D35" i="36" s="1"/>
  <c r="E35" i="36" a="1"/>
  <c r="E35" i="36" s="1"/>
  <c r="F35" i="36" a="1"/>
  <c r="F35" i="36"/>
  <c r="G35" i="36" a="1"/>
  <c r="G35" i="36"/>
  <c r="H35" i="36" a="1"/>
  <c r="H35" i="36"/>
  <c r="I35" i="36" a="1"/>
  <c r="I35" i="36"/>
  <c r="J35" i="36" a="1"/>
  <c r="J35" i="36" s="1"/>
  <c r="K35" i="36" a="1"/>
  <c r="K35" i="36" s="1"/>
  <c r="L35" i="36" a="1"/>
  <c r="L35" i="36"/>
  <c r="M35" i="36" a="1"/>
  <c r="M35" i="36"/>
  <c r="N35" i="36" a="1"/>
  <c r="N35" i="36"/>
  <c r="O35" i="36" a="1"/>
  <c r="O35" i="36"/>
  <c r="P35" i="36" a="1"/>
  <c r="P35" i="36" s="1"/>
  <c r="Q35" i="36" a="1"/>
  <c r="Q35" i="36" s="1"/>
  <c r="R35" i="36" a="1"/>
  <c r="R35" i="36"/>
  <c r="S35" i="36" a="1"/>
  <c r="S35" i="36"/>
  <c r="T35" i="36" a="1"/>
  <c r="T35" i="36"/>
  <c r="U35" i="36" a="1"/>
  <c r="U35" i="36"/>
  <c r="V35" i="36" a="1"/>
  <c r="V35" i="36" s="1"/>
  <c r="W35" i="36" a="1"/>
  <c r="W35" i="36" s="1"/>
  <c r="X35" i="36" a="1"/>
  <c r="X35" i="36"/>
  <c r="Y35" i="36" a="1"/>
  <c r="Y35" i="36" s="1"/>
  <c r="Z35" i="36" a="1"/>
  <c r="Z35" i="36"/>
  <c r="AA35" i="36" a="1"/>
  <c r="AA35" i="36"/>
  <c r="AB35" i="36" a="1"/>
  <c r="AB35" i="36" s="1"/>
  <c r="C35" i="36" a="1"/>
  <c r="C35" i="36" s="1"/>
  <c r="C20" i="36" a="1"/>
  <c r="C20" i="36" s="1"/>
  <c r="D20" i="36" a="1"/>
  <c r="D20" i="36"/>
  <c r="E20" i="36" a="1"/>
  <c r="E20" i="36" s="1"/>
  <c r="F20" i="36" a="1"/>
  <c r="F20" i="36"/>
  <c r="G20" i="36" a="1"/>
  <c r="G20" i="36"/>
  <c r="H20" i="36" a="1"/>
  <c r="H20" i="36"/>
  <c r="I20" i="36" a="1"/>
  <c r="I20" i="36" s="1"/>
  <c r="J20" i="36" a="1"/>
  <c r="J20" i="36"/>
  <c r="K20" i="36" a="1"/>
  <c r="K20" i="36" s="1"/>
  <c r="L20" i="36" a="1"/>
  <c r="L20" i="36"/>
  <c r="M20" i="36" a="1"/>
  <c r="M20" i="36"/>
  <c r="N20" i="36" a="1"/>
  <c r="N20" i="36"/>
  <c r="O20" i="36" a="1"/>
  <c r="O20" i="36" s="1"/>
  <c r="P20" i="36" a="1"/>
  <c r="P20" i="36"/>
  <c r="Q20" i="36" a="1"/>
  <c r="Q20" i="36" s="1"/>
  <c r="R20" i="36" a="1"/>
  <c r="R20" i="36"/>
  <c r="S20" i="36" a="1"/>
  <c r="S20" i="36"/>
  <c r="T20" i="36" a="1"/>
  <c r="T20" i="36"/>
  <c r="U20" i="36" a="1"/>
  <c r="U20" i="36" s="1"/>
  <c r="V20" i="36" a="1"/>
  <c r="V20" i="36"/>
  <c r="W20" i="36" a="1"/>
  <c r="W20" i="36" s="1"/>
  <c r="X20" i="36" a="1"/>
  <c r="X20" i="36"/>
  <c r="Y20" i="36" a="1"/>
  <c r="Y20" i="36"/>
  <c r="Z20" i="36" a="1"/>
  <c r="Z20" i="36"/>
  <c r="AA20" i="36" a="1"/>
  <c r="AA20" i="36" s="1"/>
  <c r="AB20" i="36" a="1"/>
  <c r="AB20" i="36"/>
  <c r="C21" i="36" a="1"/>
  <c r="C21" i="36" s="1"/>
  <c r="D21" i="36" a="1"/>
  <c r="D21" i="36"/>
  <c r="E21" i="36" a="1"/>
  <c r="E21" i="36"/>
  <c r="F21" i="36" a="1"/>
  <c r="F21" i="36"/>
  <c r="G21" i="36" a="1"/>
  <c r="G21" i="36" s="1"/>
  <c r="H21" i="36" a="1"/>
  <c r="H21" i="36"/>
  <c r="I21" i="36" a="1"/>
  <c r="I21" i="36" s="1"/>
  <c r="J21" i="36" a="1"/>
  <c r="J21" i="36"/>
  <c r="K21" i="36" a="1"/>
  <c r="K21" i="36"/>
  <c r="L21" i="36" a="1"/>
  <c r="L21" i="36"/>
  <c r="M21" i="36" a="1"/>
  <c r="M21" i="36" s="1"/>
  <c r="N21" i="36" a="1"/>
  <c r="N21" i="36"/>
  <c r="O21" i="36" a="1"/>
  <c r="O21" i="36" s="1"/>
  <c r="P21" i="36" a="1"/>
  <c r="P21" i="36"/>
  <c r="Q21" i="36" a="1"/>
  <c r="Q21" i="36"/>
  <c r="R21" i="36" a="1"/>
  <c r="R21" i="36"/>
  <c r="S21" i="36" a="1"/>
  <c r="S21" i="36" s="1"/>
  <c r="T21" i="36" a="1"/>
  <c r="T21" i="36"/>
  <c r="U21" i="36" a="1"/>
  <c r="U21" i="36" s="1"/>
  <c r="V21" i="36" a="1"/>
  <c r="V21" i="36"/>
  <c r="W21" i="36" a="1"/>
  <c r="W21" i="36"/>
  <c r="X21" i="36" a="1"/>
  <c r="X21" i="36"/>
  <c r="Y21" i="36" a="1"/>
  <c r="Y21" i="36" s="1"/>
  <c r="Z21" i="36" a="1"/>
  <c r="Z21" i="36"/>
  <c r="AA21" i="36" a="1"/>
  <c r="AA21" i="36" s="1"/>
  <c r="AB21" i="36" a="1"/>
  <c r="AB21" i="36"/>
  <c r="C22" i="36" a="1"/>
  <c r="C22" i="36"/>
  <c r="D22" i="36" a="1"/>
  <c r="D22" i="36"/>
  <c r="E22" i="36" a="1"/>
  <c r="E22" i="36" s="1"/>
  <c r="F22" i="36" a="1"/>
  <c r="F22" i="36"/>
  <c r="G22" i="36" a="1"/>
  <c r="G22" i="36" s="1"/>
  <c r="H22" i="36" a="1"/>
  <c r="H22" i="36"/>
  <c r="I22" i="36" a="1"/>
  <c r="I22" i="36"/>
  <c r="J22" i="36" a="1"/>
  <c r="J22" i="36"/>
  <c r="K22" i="36" a="1"/>
  <c r="K22" i="36" s="1"/>
  <c r="L22" i="36" a="1"/>
  <c r="L22" i="36"/>
  <c r="M22" i="36" a="1"/>
  <c r="M22" i="36" s="1"/>
  <c r="N22" i="36" a="1"/>
  <c r="N22" i="36"/>
  <c r="O22" i="36" a="1"/>
  <c r="O22" i="36"/>
  <c r="P22" i="36" a="1"/>
  <c r="P22" i="36"/>
  <c r="Q22" i="36" a="1"/>
  <c r="Q22" i="36" s="1"/>
  <c r="R22" i="36" a="1"/>
  <c r="R22" i="36"/>
  <c r="S22" i="36" a="1"/>
  <c r="S22" i="36" s="1"/>
  <c r="T22" i="36" a="1"/>
  <c r="T22" i="36"/>
  <c r="U22" i="36" a="1"/>
  <c r="U22" i="36"/>
  <c r="V22" i="36" a="1"/>
  <c r="V22" i="36"/>
  <c r="W22" i="36" a="1"/>
  <c r="W22" i="36" s="1"/>
  <c r="X22" i="36" a="1"/>
  <c r="X22" i="36"/>
  <c r="Y22" i="36" a="1"/>
  <c r="Y22" i="36" s="1"/>
  <c r="Z22" i="36" a="1"/>
  <c r="Z22" i="36"/>
  <c r="AA22" i="36" a="1"/>
  <c r="AA22" i="36"/>
  <c r="AB22" i="36" a="1"/>
  <c r="AB22" i="36"/>
  <c r="C23" i="36" a="1"/>
  <c r="C23" i="36" s="1"/>
  <c r="D23" i="36" a="1"/>
  <c r="D23" i="36"/>
  <c r="E23" i="36" a="1"/>
  <c r="E23" i="36" s="1"/>
  <c r="F23" i="36" a="1"/>
  <c r="F23" i="36"/>
  <c r="G23" i="36" a="1"/>
  <c r="G23" i="36"/>
  <c r="H23" i="36" a="1"/>
  <c r="H23" i="36"/>
  <c r="I23" i="36" a="1"/>
  <c r="I23" i="36" s="1"/>
  <c r="J23" i="36" a="1"/>
  <c r="J23" i="36"/>
  <c r="K23" i="36" a="1"/>
  <c r="K23" i="36" s="1"/>
  <c r="L23" i="36" a="1"/>
  <c r="L23" i="36"/>
  <c r="M23" i="36" a="1"/>
  <c r="M23" i="36"/>
  <c r="N23" i="36" a="1"/>
  <c r="N23" i="36"/>
  <c r="O23" i="36" a="1"/>
  <c r="O23" i="36" s="1"/>
  <c r="P23" i="36" a="1"/>
  <c r="P23" i="36"/>
  <c r="Q23" i="36" a="1"/>
  <c r="Q23" i="36" s="1"/>
  <c r="R23" i="36" a="1"/>
  <c r="R23" i="36"/>
  <c r="S23" i="36" a="1"/>
  <c r="S23" i="36"/>
  <c r="T23" i="36" a="1"/>
  <c r="T23" i="36"/>
  <c r="U23" i="36" a="1"/>
  <c r="U23" i="36" s="1"/>
  <c r="V23" i="36" a="1"/>
  <c r="V23" i="36"/>
  <c r="W23" i="36" a="1"/>
  <c r="W23" i="36" s="1"/>
  <c r="X23" i="36" a="1"/>
  <c r="X23" i="36"/>
  <c r="Y23" i="36" a="1"/>
  <c r="Y23" i="36"/>
  <c r="Z23" i="36" a="1"/>
  <c r="Z23" i="36"/>
  <c r="AA23" i="36" a="1"/>
  <c r="AA23" i="36" s="1"/>
  <c r="AB23" i="36" a="1"/>
  <c r="AB23" i="36"/>
  <c r="D19" i="36" a="1"/>
  <c r="D19" i="36" s="1"/>
  <c r="E19" i="36" a="1"/>
  <c r="E19" i="36" s="1"/>
  <c r="F19" i="36" a="1"/>
  <c r="F19" i="36"/>
  <c r="G19" i="36" a="1"/>
  <c r="G19" i="36"/>
  <c r="H19" i="36" a="1"/>
  <c r="H19" i="36"/>
  <c r="I19" i="36" a="1"/>
  <c r="I19" i="36" s="1"/>
  <c r="J19" i="36" a="1"/>
  <c r="J19" i="36" s="1"/>
  <c r="K19" i="36" a="1"/>
  <c r="K19" i="36" s="1"/>
  <c r="L19" i="36" a="1"/>
  <c r="L19" i="36"/>
  <c r="M19" i="36" a="1"/>
  <c r="M19" i="36"/>
  <c r="N19" i="36" a="1"/>
  <c r="N19" i="36"/>
  <c r="O19" i="36" a="1"/>
  <c r="O19" i="36"/>
  <c r="P19" i="36" a="1"/>
  <c r="P19" i="36" s="1"/>
  <c r="Q19" i="36" a="1"/>
  <c r="Q19" i="36" s="1"/>
  <c r="R19" i="36" a="1"/>
  <c r="R19" i="36"/>
  <c r="S19" i="36" a="1"/>
  <c r="S19" i="36" s="1"/>
  <c r="T19" i="36" a="1"/>
  <c r="T19" i="36"/>
  <c r="U19" i="36" a="1"/>
  <c r="U19" i="36"/>
  <c r="V19" i="36" a="1"/>
  <c r="V19" i="36" s="1"/>
  <c r="W19" i="36" a="1"/>
  <c r="W19" i="36" s="1"/>
  <c r="X19" i="36" a="1"/>
  <c r="X19" i="36"/>
  <c r="Y19" i="36" a="1"/>
  <c r="Y19" i="36" s="1"/>
  <c r="Z19" i="36" a="1"/>
  <c r="Z19" i="36"/>
  <c r="AA19" i="36" a="1"/>
  <c r="AA19" i="36" s="1"/>
  <c r="AB19" i="36" a="1"/>
  <c r="AB19" i="36" s="1"/>
  <c r="C19" i="36" a="1"/>
  <c r="C19" i="36" s="1"/>
  <c r="W74" i="36"/>
  <c r="X74" i="36"/>
  <c r="Y74" i="36"/>
  <c r="Z74" i="36"/>
  <c r="AA74" i="36"/>
  <c r="AB74" i="36"/>
  <c r="W66" i="36"/>
  <c r="X66" i="36"/>
  <c r="Y66" i="36"/>
  <c r="Z66" i="36"/>
  <c r="AA66" i="36"/>
  <c r="AB66" i="36"/>
  <c r="W58" i="36"/>
  <c r="X58" i="36"/>
  <c r="Y58" i="36"/>
  <c r="Z58" i="36"/>
  <c r="AA58" i="36"/>
  <c r="AB58" i="36"/>
  <c r="W50" i="36"/>
  <c r="X50" i="36"/>
  <c r="Y50" i="36"/>
  <c r="Z50" i="36"/>
  <c r="AA50" i="36"/>
  <c r="AB50" i="36"/>
  <c r="W42" i="36"/>
  <c r="X42" i="36"/>
  <c r="Y42" i="36"/>
  <c r="Z42" i="36"/>
  <c r="AA42" i="36"/>
  <c r="AB42" i="36"/>
  <c r="W34" i="36"/>
  <c r="X34" i="36"/>
  <c r="Y34" i="36"/>
  <c r="Z34" i="36"/>
  <c r="AA34" i="36"/>
  <c r="AB34" i="36"/>
  <c r="W26" i="36"/>
  <c r="X26" i="36"/>
  <c r="Y26" i="36"/>
  <c r="Z26" i="36"/>
  <c r="AA26" i="36"/>
  <c r="AB26" i="36"/>
  <c r="W18" i="36"/>
  <c r="X18" i="36"/>
  <c r="Y18" i="36"/>
  <c r="Z18" i="36"/>
  <c r="AA18" i="36"/>
  <c r="AB18" i="36"/>
  <c r="W10" i="36"/>
  <c r="X10" i="36"/>
  <c r="Y10" i="36"/>
  <c r="Z10" i="36"/>
  <c r="AA10" i="36"/>
  <c r="AB10" i="36"/>
  <c r="C12" i="36" a="1"/>
  <c r="C12" i="36" s="1"/>
  <c r="D12" i="36" a="1"/>
  <c r="D12" i="36" s="1"/>
  <c r="E12" i="36" a="1"/>
  <c r="E12" i="36" s="1"/>
  <c r="F12" i="36" a="1"/>
  <c r="F12" i="36"/>
  <c r="G12" i="36" a="1"/>
  <c r="G12" i="36"/>
  <c r="H12" i="36" a="1"/>
  <c r="H12" i="36"/>
  <c r="I12" i="36" a="1"/>
  <c r="I12" i="36" s="1"/>
  <c r="J12" i="36" a="1"/>
  <c r="J12" i="36" s="1"/>
  <c r="K12" i="36" a="1"/>
  <c r="K12" i="36" s="1"/>
  <c r="L12" i="36" a="1"/>
  <c r="L12" i="36"/>
  <c r="M12" i="36" a="1"/>
  <c r="M12" i="36"/>
  <c r="N12" i="36" a="1"/>
  <c r="N12" i="36"/>
  <c r="O12" i="36" a="1"/>
  <c r="O12" i="36" s="1"/>
  <c r="P12" i="36" a="1"/>
  <c r="P12" i="36" s="1"/>
  <c r="Q12" i="36" a="1"/>
  <c r="Q12" i="36" s="1"/>
  <c r="R12" i="36" a="1"/>
  <c r="R12" i="36"/>
  <c r="S12" i="36" a="1"/>
  <c r="S12" i="36"/>
  <c r="T12" i="36" a="1"/>
  <c r="T12" i="36"/>
  <c r="U12" i="36" a="1"/>
  <c r="U12" i="36" s="1"/>
  <c r="V12" i="36" a="1"/>
  <c r="V12" i="36" s="1"/>
  <c r="W12" i="36" a="1"/>
  <c r="W12" i="36" s="1"/>
  <c r="X12" i="36" a="1"/>
  <c r="X12" i="36"/>
  <c r="Y12" i="36" a="1"/>
  <c r="Y12" i="36"/>
  <c r="Z12" i="36" a="1"/>
  <c r="Z12" i="36"/>
  <c r="AA12" i="36" a="1"/>
  <c r="AA12" i="36" s="1"/>
  <c r="AB12" i="36" a="1"/>
  <c r="AB12" i="36" s="1"/>
  <c r="C13" i="36" a="1"/>
  <c r="C13" i="36" s="1"/>
  <c r="D13" i="36" a="1"/>
  <c r="D13" i="36"/>
  <c r="E13" i="36" a="1"/>
  <c r="E13" i="36"/>
  <c r="F13" i="36" a="1"/>
  <c r="F13" i="36"/>
  <c r="G13" i="36" a="1"/>
  <c r="G13" i="36" s="1"/>
  <c r="H13" i="36" a="1"/>
  <c r="H13" i="36" s="1"/>
  <c r="I13" i="36" a="1"/>
  <c r="I13" i="36" s="1"/>
  <c r="J13" i="36" a="1"/>
  <c r="J13" i="36"/>
  <c r="K13" i="36" a="1"/>
  <c r="K13" i="36"/>
  <c r="L13" i="36" a="1"/>
  <c r="L13" i="36"/>
  <c r="M13" i="36" a="1"/>
  <c r="M13" i="36" s="1"/>
  <c r="N13" i="36" a="1"/>
  <c r="N13" i="36" s="1"/>
  <c r="O13" i="36" a="1"/>
  <c r="O13" i="36" s="1"/>
  <c r="P13" i="36" a="1"/>
  <c r="P13" i="36"/>
  <c r="Q13" i="36" a="1"/>
  <c r="Q13" i="36"/>
  <c r="R13" i="36" a="1"/>
  <c r="R13" i="36"/>
  <c r="S13" i="36" a="1"/>
  <c r="S13" i="36" s="1"/>
  <c r="T13" i="36" a="1"/>
  <c r="T13" i="36" s="1"/>
  <c r="U13" i="36" a="1"/>
  <c r="U13" i="36" s="1"/>
  <c r="V13" i="36" a="1"/>
  <c r="V13" i="36"/>
  <c r="W13" i="36" a="1"/>
  <c r="W13" i="36"/>
  <c r="X13" i="36" a="1"/>
  <c r="X13" i="36"/>
  <c r="Y13" i="36" a="1"/>
  <c r="Y13" i="36" s="1"/>
  <c r="Z13" i="36" a="1"/>
  <c r="Z13" i="36" s="1"/>
  <c r="AA13" i="36" a="1"/>
  <c r="AA13" i="36" s="1"/>
  <c r="AB13" i="36" a="1"/>
  <c r="AB13" i="36"/>
  <c r="C14" i="36" a="1"/>
  <c r="C14" i="36"/>
  <c r="D14" i="36" a="1"/>
  <c r="D14" i="36"/>
  <c r="E14" i="36" a="1"/>
  <c r="E14" i="36" s="1"/>
  <c r="F14" i="36" a="1"/>
  <c r="F14" i="36" s="1"/>
  <c r="G14" i="36" a="1"/>
  <c r="G14" i="36" s="1"/>
  <c r="H14" i="36" a="1"/>
  <c r="H14" i="36"/>
  <c r="I14" i="36" a="1"/>
  <c r="I14" i="36"/>
  <c r="J14" i="36" a="1"/>
  <c r="J14" i="36"/>
  <c r="K14" i="36" a="1"/>
  <c r="K14" i="36" s="1"/>
  <c r="L14" i="36" a="1"/>
  <c r="L14" i="36" s="1"/>
  <c r="M14" i="36" a="1"/>
  <c r="M14" i="36" s="1"/>
  <c r="N14" i="36" a="1"/>
  <c r="N14" i="36"/>
  <c r="O14" i="36" a="1"/>
  <c r="O14" i="36"/>
  <c r="P14" i="36" a="1"/>
  <c r="P14" i="36"/>
  <c r="Q14" i="36" a="1"/>
  <c r="Q14" i="36" s="1"/>
  <c r="R14" i="36" a="1"/>
  <c r="R14" i="36" s="1"/>
  <c r="S14" i="36" a="1"/>
  <c r="S14" i="36" s="1"/>
  <c r="T14" i="36" a="1"/>
  <c r="T14" i="36"/>
  <c r="U14" i="36" a="1"/>
  <c r="U14" i="36"/>
  <c r="V14" i="36" a="1"/>
  <c r="V14" i="36"/>
  <c r="W14" i="36" a="1"/>
  <c r="W14" i="36" s="1"/>
  <c r="X14" i="36" a="1"/>
  <c r="X14" i="36" s="1"/>
  <c r="Y14" i="36" a="1"/>
  <c r="Y14" i="36" s="1"/>
  <c r="Z14" i="36" a="1"/>
  <c r="Z14" i="36"/>
  <c r="AA14" i="36" a="1"/>
  <c r="AA14" i="36"/>
  <c r="AB14" i="36" a="1"/>
  <c r="AB14" i="36"/>
  <c r="C15" i="36" a="1"/>
  <c r="C15" i="36" s="1"/>
  <c r="D15" i="36" a="1"/>
  <c r="D15" i="36" s="1"/>
  <c r="E15" i="36" a="1"/>
  <c r="E15" i="36" s="1"/>
  <c r="F15" i="36" a="1"/>
  <c r="F15" i="36"/>
  <c r="G15" i="36" a="1"/>
  <c r="G15" i="36"/>
  <c r="H15" i="36" a="1"/>
  <c r="H15" i="36"/>
  <c r="I15" i="36" a="1"/>
  <c r="I15" i="36" s="1"/>
  <c r="J15" i="36" a="1"/>
  <c r="J15" i="36" s="1"/>
  <c r="K15" i="36" a="1"/>
  <c r="K15" i="36" s="1"/>
  <c r="L15" i="36" a="1"/>
  <c r="L15" i="36"/>
  <c r="M15" i="36" a="1"/>
  <c r="M15" i="36"/>
  <c r="N15" i="36" a="1"/>
  <c r="N15" i="36"/>
  <c r="O15" i="36" a="1"/>
  <c r="O15" i="36" s="1"/>
  <c r="P15" i="36" a="1"/>
  <c r="P15" i="36" s="1"/>
  <c r="Q15" i="36" a="1"/>
  <c r="Q15" i="36" s="1"/>
  <c r="R15" i="36" a="1"/>
  <c r="R15" i="36"/>
  <c r="S15" i="36" a="1"/>
  <c r="S15" i="36"/>
  <c r="T15" i="36" a="1"/>
  <c r="T15" i="36"/>
  <c r="U15" i="36" a="1"/>
  <c r="U15" i="36" s="1"/>
  <c r="V15" i="36" a="1"/>
  <c r="V15" i="36" s="1"/>
  <c r="W15" i="36" a="1"/>
  <c r="W15" i="36" s="1"/>
  <c r="X15" i="36" a="1"/>
  <c r="X15" i="36"/>
  <c r="Y15" i="36" a="1"/>
  <c r="Y15" i="36"/>
  <c r="Z15" i="36" a="1"/>
  <c r="Z15" i="36"/>
  <c r="AA15" i="36" a="1"/>
  <c r="AA15" i="36" s="1"/>
  <c r="AB15" i="36" a="1"/>
  <c r="AB15" i="36" s="1"/>
  <c r="H11" i="36" a="1"/>
  <c r="H11" i="36" s="1"/>
  <c r="I11" i="36" a="1"/>
  <c r="I11" i="36" s="1"/>
  <c r="J11" i="36" a="1"/>
  <c r="J11" i="36"/>
  <c r="K11" i="36" a="1"/>
  <c r="K11" i="36"/>
  <c r="L11" i="36" a="1"/>
  <c r="L11" i="36"/>
  <c r="M11" i="36" a="1"/>
  <c r="M11" i="36"/>
  <c r="N11" i="36" a="1"/>
  <c r="N11" i="36" s="1"/>
  <c r="O11" i="36" a="1"/>
  <c r="O11" i="36" s="1"/>
  <c r="P11" i="36" a="1"/>
  <c r="P11" i="36"/>
  <c r="Q11" i="36" a="1"/>
  <c r="Q11" i="36"/>
  <c r="R11" i="36" a="1"/>
  <c r="R11" i="36"/>
  <c r="S11" i="36" a="1"/>
  <c r="S11" i="36"/>
  <c r="T11" i="36" a="1"/>
  <c r="T11" i="36" s="1"/>
  <c r="U11" i="36" a="1"/>
  <c r="U11" i="36" s="1"/>
  <c r="V11" i="36" a="1"/>
  <c r="V11" i="36"/>
  <c r="W11" i="36" a="1"/>
  <c r="W11" i="36"/>
  <c r="X11" i="36" a="1"/>
  <c r="X11" i="36"/>
  <c r="Y11" i="36" a="1"/>
  <c r="Y11" i="36"/>
  <c r="Z11" i="36" a="1"/>
  <c r="Z11" i="36" s="1"/>
  <c r="AA11" i="36" a="1"/>
  <c r="AA11" i="36" s="1"/>
  <c r="AB11" i="36" a="1"/>
  <c r="AB11" i="36"/>
  <c r="D11" i="36" a="1"/>
  <c r="D11" i="36" s="1"/>
  <c r="E11" i="36" a="1"/>
  <c r="E11" i="36"/>
  <c r="F11" i="36" a="1"/>
  <c r="F11" i="36"/>
  <c r="G11" i="36" a="1"/>
  <c r="G11" i="36"/>
  <c r="C11" i="36" a="1"/>
  <c r="C11" i="36" s="1"/>
  <c r="D3" i="36" a="1"/>
  <c r="D3" i="36" s="1"/>
  <c r="E3" i="36" a="1"/>
  <c r="E3" i="36" s="1"/>
  <c r="F3" i="36" a="1"/>
  <c r="F3" i="36" s="1"/>
  <c r="G3" i="36" a="1"/>
  <c r="G3" i="36"/>
  <c r="H3" i="36" a="1"/>
  <c r="H3" i="36"/>
  <c r="I3" i="36" a="1"/>
  <c r="I3" i="36" s="1"/>
  <c r="J3" i="36" a="1"/>
  <c r="J3" i="36" s="1"/>
  <c r="K3" i="36" a="1"/>
  <c r="K3" i="36" s="1"/>
  <c r="L3" i="36" a="1"/>
  <c r="L3" i="36" s="1"/>
  <c r="M3" i="36" a="1"/>
  <c r="M3" i="36" s="1"/>
  <c r="N3" i="36" a="1"/>
  <c r="N3" i="36" s="1"/>
  <c r="O3" i="36" a="1"/>
  <c r="O3" i="36" s="1"/>
  <c r="P3" i="36" a="1"/>
  <c r="P3" i="36" s="1"/>
  <c r="Q3" i="36" a="1"/>
  <c r="Q3" i="36" s="1"/>
  <c r="R3" i="36" a="1"/>
  <c r="R3" i="36"/>
  <c r="S3" i="36" a="1"/>
  <c r="S3" i="36" s="1"/>
  <c r="T3" i="36" a="1"/>
  <c r="T3" i="36" s="1"/>
  <c r="U3" i="36" a="1"/>
  <c r="U3" i="36" s="1"/>
  <c r="V3" i="36" a="1"/>
  <c r="V3" i="36" s="1"/>
  <c r="W3" i="36" a="1"/>
  <c r="W3" i="36" s="1"/>
  <c r="X3" i="36" a="1"/>
  <c r="X3" i="36" s="1"/>
  <c r="Y3" i="36" a="1"/>
  <c r="Y3" i="36" s="1"/>
  <c r="Z3" i="36" a="1"/>
  <c r="Z3" i="36" s="1"/>
  <c r="AA3" i="36" a="1"/>
  <c r="AA3" i="36" s="1"/>
  <c r="AB3" i="36" a="1"/>
  <c r="AB3" i="36" s="1"/>
  <c r="D4" i="36" a="1"/>
  <c r="D4" i="36" s="1"/>
  <c r="E4" i="36" a="1"/>
  <c r="E4" i="36"/>
  <c r="F4" i="36" a="1"/>
  <c r="F4" i="36"/>
  <c r="G4" i="36" a="1"/>
  <c r="G4" i="36" s="1"/>
  <c r="H4" i="36" a="1"/>
  <c r="H4" i="36" s="1"/>
  <c r="I4" i="36" a="1"/>
  <c r="I4" i="36" s="1"/>
  <c r="J4" i="36" a="1"/>
  <c r="J4" i="36" s="1"/>
  <c r="K4" i="36" a="1"/>
  <c r="K4" i="36" s="1"/>
  <c r="L4" i="36" a="1"/>
  <c r="L4" i="36" s="1"/>
  <c r="M4" i="36" a="1"/>
  <c r="M4" i="36" s="1"/>
  <c r="N4" i="36" a="1"/>
  <c r="N4" i="36"/>
  <c r="O4" i="36" a="1"/>
  <c r="O4" i="36" s="1"/>
  <c r="P4" i="36" a="1"/>
  <c r="P4" i="36" s="1"/>
  <c r="Q4" i="36" a="1"/>
  <c r="Q4" i="36" s="1"/>
  <c r="R4" i="36" a="1"/>
  <c r="R4" i="36" s="1"/>
  <c r="S4" i="36" a="1"/>
  <c r="S4" i="36" s="1"/>
  <c r="T4" i="36" a="1"/>
  <c r="T4" i="36" s="1"/>
  <c r="U4" i="36" a="1"/>
  <c r="U4" i="36" s="1"/>
  <c r="V4" i="36" a="1"/>
  <c r="V4" i="36" s="1"/>
  <c r="W4" i="36" a="1"/>
  <c r="W4" i="36" s="1"/>
  <c r="X4" i="36" a="1"/>
  <c r="X4" i="36"/>
  <c r="Y4" i="36" a="1"/>
  <c r="Y4" i="36" s="1"/>
  <c r="Z4" i="36" a="1"/>
  <c r="Z4" i="36" s="1"/>
  <c r="AA4" i="36" a="1"/>
  <c r="AA4" i="36" s="1"/>
  <c r="AB4" i="36" a="1"/>
  <c r="AB4" i="36" s="1"/>
  <c r="D5" i="36" a="1"/>
  <c r="D5" i="36" s="1"/>
  <c r="E5" i="36" a="1"/>
  <c r="E5" i="36" s="1"/>
  <c r="F5" i="36" a="1"/>
  <c r="F5" i="36" s="1"/>
  <c r="G5" i="36" a="1"/>
  <c r="G5" i="36" s="1"/>
  <c r="H5" i="36" a="1"/>
  <c r="H5" i="36" s="1"/>
  <c r="I5" i="36" a="1"/>
  <c r="I5" i="36" s="1"/>
  <c r="J5" i="36" a="1"/>
  <c r="J5" i="36" s="1"/>
  <c r="K5" i="36" a="1"/>
  <c r="K5" i="36" s="1"/>
  <c r="L5" i="36" a="1"/>
  <c r="L5" i="36" s="1"/>
  <c r="M5" i="36" a="1"/>
  <c r="M5" i="36" s="1"/>
  <c r="N5" i="36" a="1"/>
  <c r="N5" i="36" s="1"/>
  <c r="O5" i="36" a="1"/>
  <c r="O5" i="36" s="1"/>
  <c r="P5" i="36" a="1"/>
  <c r="P5" i="36" s="1"/>
  <c r="Q5" i="36" a="1"/>
  <c r="Q5" i="36" s="1"/>
  <c r="R5" i="36" a="1"/>
  <c r="R5" i="36" s="1"/>
  <c r="S5" i="36" a="1"/>
  <c r="S5" i="36" s="1"/>
  <c r="T5" i="36" a="1"/>
  <c r="T5" i="36" s="1"/>
  <c r="U5" i="36" a="1"/>
  <c r="U5" i="36" s="1"/>
  <c r="V5" i="36" a="1"/>
  <c r="V5" i="36" s="1"/>
  <c r="W5" i="36" a="1"/>
  <c r="W5" i="36" s="1"/>
  <c r="X5" i="36" a="1"/>
  <c r="X5" i="36" s="1"/>
  <c r="Y5" i="36" a="1"/>
  <c r="Y5" i="36" s="1"/>
  <c r="Z5" i="36" a="1"/>
  <c r="Z5" i="36" s="1"/>
  <c r="AA5" i="36" a="1"/>
  <c r="AA5" i="36" s="1"/>
  <c r="AB5" i="36" a="1"/>
  <c r="AB5" i="36" s="1"/>
  <c r="D6" i="36" a="1"/>
  <c r="D6" i="36" s="1"/>
  <c r="E6" i="36" a="1"/>
  <c r="E6" i="36" s="1"/>
  <c r="F6" i="36" a="1"/>
  <c r="F6" i="36" s="1"/>
  <c r="G6" i="36" a="1"/>
  <c r="G6" i="36" s="1"/>
  <c r="H6" i="36" a="1"/>
  <c r="H6" i="36" s="1"/>
  <c r="I6" i="36" a="1"/>
  <c r="I6" i="36" s="1"/>
  <c r="J6" i="36" a="1"/>
  <c r="J6" i="36" s="1"/>
  <c r="K6" i="36" a="1"/>
  <c r="K6" i="36"/>
  <c r="L6" i="36" a="1"/>
  <c r="L6" i="36" s="1"/>
  <c r="M6" i="36" a="1"/>
  <c r="M6" i="36" s="1"/>
  <c r="N6" i="36" a="1"/>
  <c r="N6" i="36" s="1"/>
  <c r="O6" i="36" a="1"/>
  <c r="O6" i="36" s="1"/>
  <c r="P6" i="36" a="1"/>
  <c r="P6" i="36" s="1"/>
  <c r="Q6" i="36" a="1"/>
  <c r="Q6" i="36" s="1"/>
  <c r="R6" i="36" a="1"/>
  <c r="R6" i="36" s="1"/>
  <c r="S6" i="36" a="1"/>
  <c r="S6" i="36" s="1"/>
  <c r="T6" i="36" a="1"/>
  <c r="T6" i="36" s="1"/>
  <c r="U6" i="36" a="1"/>
  <c r="U6" i="36"/>
  <c r="V6" i="36" a="1"/>
  <c r="V6" i="36" s="1"/>
  <c r="W6" i="36" a="1"/>
  <c r="W6" i="36" s="1"/>
  <c r="X6" i="36" a="1"/>
  <c r="X6" i="36" s="1"/>
  <c r="Y6" i="36" a="1"/>
  <c r="Y6" i="36" s="1"/>
  <c r="Z6" i="36" a="1"/>
  <c r="Z6" i="36" s="1"/>
  <c r="AA6" i="36" a="1"/>
  <c r="AA6" i="36" s="1"/>
  <c r="AB6" i="36" a="1"/>
  <c r="AB6" i="36" s="1"/>
  <c r="D7" i="36" a="1"/>
  <c r="D7" i="36" s="1"/>
  <c r="E7" i="36" a="1"/>
  <c r="E7" i="36" s="1"/>
  <c r="F7" i="36" a="1"/>
  <c r="F7" i="36" s="1"/>
  <c r="G7" i="36" a="1"/>
  <c r="G7" i="36" s="1"/>
  <c r="H7" i="36" a="1"/>
  <c r="H7" i="36" s="1"/>
  <c r="I7" i="36" a="1"/>
  <c r="I7" i="36" s="1"/>
  <c r="J7" i="36" a="1"/>
  <c r="J7" i="36"/>
  <c r="K7" i="36" a="1"/>
  <c r="K7" i="36" s="1"/>
  <c r="L7" i="36" a="1"/>
  <c r="L7" i="36" s="1"/>
  <c r="M7" i="36" a="1"/>
  <c r="M7" i="36" s="1"/>
  <c r="N7" i="36" a="1"/>
  <c r="N7" i="36" s="1"/>
  <c r="O7" i="36" a="1"/>
  <c r="O7" i="36"/>
  <c r="P7" i="36" a="1"/>
  <c r="P7" i="36" s="1"/>
  <c r="Q7" i="36" a="1"/>
  <c r="Q7" i="36" s="1"/>
  <c r="R7" i="36" a="1"/>
  <c r="R7" i="36" s="1"/>
  <c r="S7" i="36" a="1"/>
  <c r="S7" i="36" s="1"/>
  <c r="T7" i="36" a="1"/>
  <c r="T7" i="36" s="1"/>
  <c r="U7" i="36" a="1"/>
  <c r="U7" i="36" s="1"/>
  <c r="V7" i="36" a="1"/>
  <c r="V7" i="36" s="1"/>
  <c r="W7" i="36" a="1"/>
  <c r="W7" i="36" s="1"/>
  <c r="X7" i="36" a="1"/>
  <c r="X7" i="36" s="1"/>
  <c r="Y7" i="36" a="1"/>
  <c r="Y7" i="36" s="1"/>
  <c r="Z7" i="36" a="1"/>
  <c r="Z7" i="36" s="1"/>
  <c r="AA7" i="36" a="1"/>
  <c r="AA7" i="36" s="1"/>
  <c r="AB7" i="36" a="1"/>
  <c r="AB7" i="36" s="1"/>
  <c r="C4" i="36" a="1"/>
  <c r="C4" i="36" s="1"/>
  <c r="C5" i="36" a="1"/>
  <c r="C5" i="36" s="1"/>
  <c r="C6" i="36" a="1"/>
  <c r="C6" i="36" s="1"/>
  <c r="C7" i="36" a="1"/>
  <c r="C7" i="36" s="1"/>
  <c r="C3" i="36" a="1"/>
  <c r="C3" i="36" s="1"/>
  <c r="F94" i="36"/>
  <c r="E94" i="36"/>
  <c r="B94" i="36"/>
  <c r="A83" i="36"/>
  <c r="B83" i="36" s="1"/>
  <c r="A82" i="36"/>
  <c r="B82" i="36" s="1"/>
  <c r="B79" i="36"/>
  <c r="B78" i="36"/>
  <c r="B77" i="36"/>
  <c r="B76" i="36"/>
  <c r="B75" i="36"/>
  <c r="V74" i="36"/>
  <c r="U74" i="36"/>
  <c r="T74" i="36"/>
  <c r="S74" i="36"/>
  <c r="R74" i="36"/>
  <c r="Q74" i="36"/>
  <c r="P74" i="36"/>
  <c r="O74" i="36"/>
  <c r="N74" i="36"/>
  <c r="M74" i="36"/>
  <c r="L74" i="36"/>
  <c r="K74" i="36"/>
  <c r="J74" i="36"/>
  <c r="I74" i="36"/>
  <c r="H74" i="36"/>
  <c r="G74" i="36"/>
  <c r="F74" i="36"/>
  <c r="E74" i="36"/>
  <c r="D74" i="36"/>
  <c r="C74" i="36"/>
  <c r="B71" i="36"/>
  <c r="B70" i="36"/>
  <c r="B69" i="36"/>
  <c r="B68" i="36"/>
  <c r="AB67" i="36" a="1"/>
  <c r="AB67" i="36" s="1"/>
  <c r="B67" i="36"/>
  <c r="V66" i="36"/>
  <c r="U66" i="36"/>
  <c r="T66" i="36"/>
  <c r="S66" i="36"/>
  <c r="R66" i="36"/>
  <c r="Q66" i="36"/>
  <c r="P66" i="36"/>
  <c r="O66" i="36"/>
  <c r="N66" i="36"/>
  <c r="M66" i="36"/>
  <c r="L66" i="36"/>
  <c r="K66" i="36"/>
  <c r="J66" i="36"/>
  <c r="I66" i="36"/>
  <c r="H66" i="36"/>
  <c r="G66" i="36"/>
  <c r="F66" i="36"/>
  <c r="E66" i="36"/>
  <c r="D66" i="36"/>
  <c r="C66" i="36"/>
  <c r="B63" i="36"/>
  <c r="B62" i="36"/>
  <c r="B61" i="36"/>
  <c r="B60" i="36"/>
  <c r="AB59" i="36" a="1"/>
  <c r="AB59" i="36" s="1"/>
  <c r="B59" i="36"/>
  <c r="V58" i="36"/>
  <c r="U58" i="36"/>
  <c r="T58" i="36"/>
  <c r="S58" i="36"/>
  <c r="R58" i="36"/>
  <c r="Q58" i="36"/>
  <c r="P58" i="36"/>
  <c r="O58" i="36"/>
  <c r="N58" i="36"/>
  <c r="M58" i="36"/>
  <c r="L58" i="36"/>
  <c r="K58" i="36"/>
  <c r="J58" i="36"/>
  <c r="I58" i="36"/>
  <c r="H58" i="36"/>
  <c r="G58" i="36"/>
  <c r="F58" i="36"/>
  <c r="E58" i="36"/>
  <c r="D58" i="36"/>
  <c r="C58" i="36"/>
  <c r="B55" i="36"/>
  <c r="B54" i="36"/>
  <c r="B53" i="36"/>
  <c r="B52" i="36"/>
  <c r="B51" i="36"/>
  <c r="V50" i="36"/>
  <c r="U50" i="36"/>
  <c r="T50" i="36"/>
  <c r="S50" i="36"/>
  <c r="R50" i="36"/>
  <c r="Q50" i="36"/>
  <c r="P50" i="36"/>
  <c r="O50" i="36"/>
  <c r="N50" i="36"/>
  <c r="M50" i="36"/>
  <c r="L50" i="36"/>
  <c r="K50" i="36"/>
  <c r="J50" i="36"/>
  <c r="I50" i="36"/>
  <c r="H50" i="36"/>
  <c r="G50" i="36"/>
  <c r="F50" i="36"/>
  <c r="E50" i="36"/>
  <c r="D50" i="36"/>
  <c r="C50" i="36"/>
  <c r="B47" i="36"/>
  <c r="B46" i="36"/>
  <c r="B45" i="36"/>
  <c r="B44" i="36"/>
  <c r="B43" i="36"/>
  <c r="V42" i="36"/>
  <c r="U42" i="36"/>
  <c r="T42" i="36"/>
  <c r="S42" i="36"/>
  <c r="R42" i="36"/>
  <c r="Q42" i="36"/>
  <c r="P42" i="36"/>
  <c r="O42" i="36"/>
  <c r="N42" i="36"/>
  <c r="M42" i="36"/>
  <c r="L42" i="36"/>
  <c r="K42" i="36"/>
  <c r="J42" i="36"/>
  <c r="I42" i="36"/>
  <c r="H42" i="36"/>
  <c r="G42" i="36"/>
  <c r="F42" i="36"/>
  <c r="E42" i="36"/>
  <c r="D42" i="36"/>
  <c r="C42" i="36"/>
  <c r="B39" i="36"/>
  <c r="B38" i="36"/>
  <c r="B37" i="36"/>
  <c r="B36" i="36"/>
  <c r="B35" i="36"/>
  <c r="V34" i="36"/>
  <c r="U34" i="36"/>
  <c r="T34" i="36"/>
  <c r="S34" i="36"/>
  <c r="R34" i="36"/>
  <c r="Q34" i="36"/>
  <c r="P34" i="36"/>
  <c r="O34" i="36"/>
  <c r="N34" i="36"/>
  <c r="M34" i="36"/>
  <c r="L34" i="36"/>
  <c r="K34" i="36"/>
  <c r="J34" i="36"/>
  <c r="I34" i="36"/>
  <c r="H34" i="36"/>
  <c r="G34" i="36"/>
  <c r="F34" i="36"/>
  <c r="E34" i="36"/>
  <c r="D34" i="36"/>
  <c r="C34" i="36"/>
  <c r="B31" i="36"/>
  <c r="B30" i="36"/>
  <c r="B29" i="36"/>
  <c r="B28" i="36"/>
  <c r="B27" i="36"/>
  <c r="V26" i="36"/>
  <c r="U26" i="36"/>
  <c r="T26" i="36"/>
  <c r="S26" i="36"/>
  <c r="R26" i="36"/>
  <c r="Q26" i="36"/>
  <c r="P26" i="36"/>
  <c r="O26" i="36"/>
  <c r="N26" i="36"/>
  <c r="M26" i="36"/>
  <c r="L26" i="36"/>
  <c r="K26" i="36"/>
  <c r="J26" i="36"/>
  <c r="I26" i="36"/>
  <c r="H26" i="36"/>
  <c r="G26" i="36"/>
  <c r="F26" i="36"/>
  <c r="E26" i="36"/>
  <c r="D26" i="36"/>
  <c r="C26" i="36"/>
  <c r="B23" i="36"/>
  <c r="B22" i="36"/>
  <c r="B21" i="36"/>
  <c r="B20" i="36"/>
  <c r="B19" i="36"/>
  <c r="V18" i="36"/>
  <c r="U18" i="36"/>
  <c r="T18" i="36"/>
  <c r="S18" i="36"/>
  <c r="R18" i="36"/>
  <c r="Q18" i="36"/>
  <c r="P18" i="36"/>
  <c r="O18" i="36"/>
  <c r="N18" i="36"/>
  <c r="M18" i="36"/>
  <c r="L18" i="36"/>
  <c r="K18" i="36"/>
  <c r="J18" i="36"/>
  <c r="I18" i="36"/>
  <c r="H18" i="36"/>
  <c r="G18" i="36"/>
  <c r="F18" i="36"/>
  <c r="E18" i="36"/>
  <c r="D18" i="36"/>
  <c r="C18" i="36"/>
  <c r="B15" i="36"/>
  <c r="B14" i="36"/>
  <c r="B13" i="36"/>
  <c r="B12" i="36"/>
  <c r="B11" i="36"/>
  <c r="V10" i="36"/>
  <c r="U10" i="36"/>
  <c r="T10" i="36"/>
  <c r="S10" i="36"/>
  <c r="R10" i="36"/>
  <c r="Q10" i="36"/>
  <c r="P10" i="36"/>
  <c r="O10" i="36"/>
  <c r="N10" i="36"/>
  <c r="M10" i="36"/>
  <c r="L10" i="36"/>
  <c r="K10" i="36"/>
  <c r="J10" i="36"/>
  <c r="I10" i="36"/>
  <c r="H10" i="36"/>
  <c r="G10" i="36"/>
  <c r="F10" i="36"/>
  <c r="E10" i="36"/>
  <c r="D10" i="36"/>
  <c r="C10" i="36"/>
  <c r="AC79" i="35"/>
  <c r="AC78" i="35"/>
  <c r="AC77" i="35"/>
  <c r="AC76" i="35"/>
  <c r="AC74" i="35"/>
  <c r="AC68" i="35"/>
  <c r="AC69" i="35" s="1"/>
  <c r="AC70" i="35" s="1"/>
  <c r="AC71" i="35" s="1"/>
  <c r="AC66" i="35"/>
  <c r="AC58" i="35"/>
  <c r="AC50" i="35"/>
  <c r="AC42" i="35"/>
  <c r="AC34" i="35"/>
  <c r="AC26" i="35"/>
  <c r="AC18" i="35"/>
  <c r="AC10" i="35"/>
  <c r="AB79" i="35"/>
  <c r="AB78" i="35"/>
  <c r="AB77" i="35"/>
  <c r="AB76" i="35"/>
  <c r="AB74" i="35"/>
  <c r="AB68" i="35"/>
  <c r="AB69" i="35" s="1"/>
  <c r="AB70" i="35" s="1"/>
  <c r="AB71" i="35" s="1"/>
  <c r="AB66" i="35"/>
  <c r="AB58" i="35"/>
  <c r="AB50" i="35"/>
  <c r="AB42" i="35"/>
  <c r="AB34" i="35"/>
  <c r="AB26" i="35"/>
  <c r="AB18" i="35"/>
  <c r="AB10" i="35"/>
  <c r="F68" i="35"/>
  <c r="F69" i="35" s="1"/>
  <c r="F70" i="35" s="1"/>
  <c r="F71" i="35" s="1"/>
  <c r="D68" i="35"/>
  <c r="E68" i="35"/>
  <c r="E69" i="35" s="1"/>
  <c r="E70" i="35" s="1"/>
  <c r="E71" i="35" s="1"/>
  <c r="G68" i="35"/>
  <c r="G69" i="35" s="1"/>
  <c r="G70" i="35" s="1"/>
  <c r="G71" i="35" s="1"/>
  <c r="I68" i="35"/>
  <c r="I69" i="35" s="1"/>
  <c r="I70" i="35" s="1"/>
  <c r="I71" i="35" s="1"/>
  <c r="J68" i="35"/>
  <c r="J69" i="35" s="1"/>
  <c r="J70" i="35" s="1"/>
  <c r="J71" i="35" s="1"/>
  <c r="K68" i="35"/>
  <c r="K69" i="35" s="1"/>
  <c r="K70" i="35" s="1"/>
  <c r="K71" i="35" s="1"/>
  <c r="L68" i="35"/>
  <c r="L69" i="35" s="1"/>
  <c r="L70" i="35" s="1"/>
  <c r="L71" i="35" s="1"/>
  <c r="M68" i="35"/>
  <c r="M69" i="35" s="1"/>
  <c r="M70" i="35" s="1"/>
  <c r="M71" i="35" s="1"/>
  <c r="N68" i="35"/>
  <c r="N69" i="35" s="1"/>
  <c r="N70" i="35" s="1"/>
  <c r="N71" i="35" s="1"/>
  <c r="O68" i="35"/>
  <c r="O69" i="35" s="1"/>
  <c r="O70" i="35" s="1"/>
  <c r="O71" i="35" s="1"/>
  <c r="P68" i="35"/>
  <c r="P69" i="35" s="1"/>
  <c r="P70" i="35" s="1"/>
  <c r="P71" i="35" s="1"/>
  <c r="Q68" i="35"/>
  <c r="R68" i="35"/>
  <c r="R69" i="35" s="1"/>
  <c r="R71" i="35" s="1"/>
  <c r="S68" i="35"/>
  <c r="S69" i="35" s="1"/>
  <c r="S70" i="35" s="1"/>
  <c r="S71" i="35" s="1"/>
  <c r="U68" i="35"/>
  <c r="U69" i="35" s="1"/>
  <c r="U70" i="35" s="1"/>
  <c r="U71" i="35" s="1"/>
  <c r="V68" i="35"/>
  <c r="V69" i="35" s="1"/>
  <c r="V70" i="35" s="1"/>
  <c r="V71" i="35" s="1"/>
  <c r="W68" i="35"/>
  <c r="W69" i="35" s="1"/>
  <c r="W70" i="35" s="1"/>
  <c r="W71" i="35" s="1"/>
  <c r="X68" i="35"/>
  <c r="X69" i="35" s="1"/>
  <c r="X70" i="35" s="1"/>
  <c r="X71" i="35" s="1"/>
  <c r="Y68" i="35"/>
  <c r="Y69" i="35" s="1"/>
  <c r="Y70" i="35" s="1"/>
  <c r="Y71" i="35" s="1"/>
  <c r="Z68" i="35"/>
  <c r="Z69" i="35" s="1"/>
  <c r="Z70" i="35" s="1"/>
  <c r="Z71" i="35" s="1"/>
  <c r="AA68" i="35"/>
  <c r="AA69" i="35" s="1"/>
  <c r="AA70" i="35" s="1"/>
  <c r="AA71" i="35" s="1"/>
  <c r="D69" i="35"/>
  <c r="D70" i="35" s="1"/>
  <c r="D71" i="35" s="1"/>
  <c r="H69" i="35"/>
  <c r="Q69" i="35"/>
  <c r="Q70" i="35" s="1"/>
  <c r="Q71" i="35" s="1"/>
  <c r="T69" i="35"/>
  <c r="H71" i="35"/>
  <c r="T70" i="35"/>
  <c r="T71" i="35" s="1"/>
  <c r="C69" i="35"/>
  <c r="C70" i="35"/>
  <c r="C71" i="35"/>
  <c r="C68" i="35"/>
  <c r="F95" i="35"/>
  <c r="E95" i="35"/>
  <c r="B95" i="35"/>
  <c r="A84" i="35"/>
  <c r="B84" i="35" s="1"/>
  <c r="A83" i="35"/>
  <c r="B83" i="35" s="1"/>
  <c r="V80" i="35"/>
  <c r="U80" i="35"/>
  <c r="T80" i="35"/>
  <c r="S80" i="35"/>
  <c r="R80" i="35"/>
  <c r="Q80" i="35"/>
  <c r="P80" i="35"/>
  <c r="O80" i="35"/>
  <c r="N80" i="35"/>
  <c r="M80" i="35"/>
  <c r="L80" i="35"/>
  <c r="K80" i="35"/>
  <c r="J80" i="35"/>
  <c r="I80" i="35"/>
  <c r="H80" i="35"/>
  <c r="G80" i="35"/>
  <c r="F80" i="35"/>
  <c r="E80" i="35"/>
  <c r="D80" i="35"/>
  <c r="C80" i="35"/>
  <c r="B80" i="35"/>
  <c r="AA79" i="35"/>
  <c r="Z79" i="35"/>
  <c r="Y79" i="35"/>
  <c r="X79" i="35"/>
  <c r="W79" i="35"/>
  <c r="V79" i="35"/>
  <c r="U79" i="35"/>
  <c r="T79" i="35"/>
  <c r="S79" i="35"/>
  <c r="R79" i="35"/>
  <c r="Q79" i="35"/>
  <c r="P79" i="35"/>
  <c r="O79" i="35"/>
  <c r="N79" i="35"/>
  <c r="M79" i="35"/>
  <c r="L79" i="35"/>
  <c r="K79" i="35"/>
  <c r="J79" i="35"/>
  <c r="I79" i="35"/>
  <c r="H79" i="35"/>
  <c r="G79" i="35"/>
  <c r="F79" i="35"/>
  <c r="E79" i="35"/>
  <c r="D79" i="35"/>
  <c r="C79" i="35"/>
  <c r="B79" i="35"/>
  <c r="AA78" i="35"/>
  <c r="Z78" i="35"/>
  <c r="Y78" i="35"/>
  <c r="X78" i="35"/>
  <c r="W78" i="35"/>
  <c r="V78" i="35"/>
  <c r="U78" i="35"/>
  <c r="T78" i="35"/>
  <c r="S78" i="35"/>
  <c r="R78" i="35"/>
  <c r="Q78" i="35"/>
  <c r="P78" i="35"/>
  <c r="O78" i="35"/>
  <c r="N78" i="35"/>
  <c r="M78" i="35"/>
  <c r="L78" i="35"/>
  <c r="K78" i="35"/>
  <c r="J78" i="35"/>
  <c r="I78" i="35"/>
  <c r="H78" i="35"/>
  <c r="G78" i="35"/>
  <c r="F78" i="35"/>
  <c r="E78" i="35"/>
  <c r="D78" i="35"/>
  <c r="C78" i="35"/>
  <c r="B78" i="35"/>
  <c r="AA77" i="35"/>
  <c r="Z77" i="35"/>
  <c r="Y77" i="35"/>
  <c r="X77" i="35"/>
  <c r="W77" i="35"/>
  <c r="V77" i="35"/>
  <c r="U77" i="35"/>
  <c r="T77" i="35"/>
  <c r="S77" i="35"/>
  <c r="R77" i="35"/>
  <c r="Q77" i="35"/>
  <c r="P77" i="35"/>
  <c r="O77" i="35"/>
  <c r="N77" i="35"/>
  <c r="M77" i="35"/>
  <c r="L77" i="35"/>
  <c r="K77" i="35"/>
  <c r="J77" i="35"/>
  <c r="I77" i="35"/>
  <c r="H77" i="35"/>
  <c r="G77" i="35"/>
  <c r="F77" i="35"/>
  <c r="E77" i="35"/>
  <c r="D77" i="35"/>
  <c r="C77" i="35"/>
  <c r="B77" i="35"/>
  <c r="AA76" i="35"/>
  <c r="Z76" i="35"/>
  <c r="Y76" i="35"/>
  <c r="X76" i="35"/>
  <c r="W76" i="35"/>
  <c r="V76" i="35"/>
  <c r="U76" i="35"/>
  <c r="T76" i="35"/>
  <c r="S76" i="35"/>
  <c r="R76" i="35"/>
  <c r="Q76" i="35"/>
  <c r="P76" i="35"/>
  <c r="O76" i="35"/>
  <c r="N76" i="35"/>
  <c r="M76" i="35"/>
  <c r="L76" i="35"/>
  <c r="K76" i="35"/>
  <c r="J76" i="35"/>
  <c r="I76" i="35"/>
  <c r="H76" i="35"/>
  <c r="G76" i="35"/>
  <c r="F76" i="35"/>
  <c r="E76" i="35"/>
  <c r="D76" i="35"/>
  <c r="C76" i="35"/>
  <c r="B76" i="35"/>
  <c r="AA74" i="35"/>
  <c r="Z74" i="35"/>
  <c r="Y74" i="35"/>
  <c r="X74" i="35"/>
  <c r="W74" i="35"/>
  <c r="V74" i="35"/>
  <c r="U74" i="35"/>
  <c r="T74" i="35"/>
  <c r="S74" i="35"/>
  <c r="R74" i="35"/>
  <c r="Q74" i="35"/>
  <c r="P74" i="35"/>
  <c r="O74" i="35"/>
  <c r="N74" i="35"/>
  <c r="M74" i="35"/>
  <c r="L74" i="35"/>
  <c r="K74" i="35"/>
  <c r="J74" i="35"/>
  <c r="I74" i="35"/>
  <c r="H74" i="35"/>
  <c r="G74" i="35"/>
  <c r="F74" i="35"/>
  <c r="E74" i="35"/>
  <c r="D74" i="35"/>
  <c r="C74" i="35"/>
  <c r="B71" i="35"/>
  <c r="B70" i="35"/>
  <c r="B69" i="35"/>
  <c r="B68" i="35"/>
  <c r="B67" i="35"/>
  <c r="AA66" i="35"/>
  <c r="Z66" i="35"/>
  <c r="Y66" i="35"/>
  <c r="X66" i="35"/>
  <c r="W66" i="35"/>
  <c r="V66" i="35"/>
  <c r="U66" i="35"/>
  <c r="T66" i="35"/>
  <c r="S66" i="35"/>
  <c r="R66" i="35"/>
  <c r="Q66" i="35"/>
  <c r="P66" i="35"/>
  <c r="O66" i="35"/>
  <c r="N66" i="35"/>
  <c r="M66" i="35"/>
  <c r="L66" i="35"/>
  <c r="K66" i="35"/>
  <c r="J66" i="35"/>
  <c r="I66" i="35"/>
  <c r="H66" i="35"/>
  <c r="G66" i="35"/>
  <c r="F66" i="35"/>
  <c r="E66" i="35"/>
  <c r="D66" i="35"/>
  <c r="C66" i="35"/>
  <c r="B63" i="35"/>
  <c r="B62" i="35"/>
  <c r="B61" i="35"/>
  <c r="B60" i="35"/>
  <c r="B59" i="35"/>
  <c r="AA58" i="35"/>
  <c r="Z58" i="35"/>
  <c r="Y58" i="35"/>
  <c r="X58" i="35"/>
  <c r="W58" i="35"/>
  <c r="V58" i="35"/>
  <c r="U58" i="35"/>
  <c r="T58" i="35"/>
  <c r="S58" i="35"/>
  <c r="R58" i="35"/>
  <c r="Q58" i="35"/>
  <c r="P58" i="35"/>
  <c r="O58" i="35"/>
  <c r="N58" i="35"/>
  <c r="M58" i="35"/>
  <c r="L58" i="35"/>
  <c r="K58" i="35"/>
  <c r="J58" i="35"/>
  <c r="I58" i="35"/>
  <c r="H58" i="35"/>
  <c r="G58" i="35"/>
  <c r="F58" i="35"/>
  <c r="E58" i="35"/>
  <c r="D58" i="35"/>
  <c r="C58" i="35"/>
  <c r="B55" i="35"/>
  <c r="B54" i="35"/>
  <c r="B53" i="35"/>
  <c r="B52" i="35"/>
  <c r="B51" i="35"/>
  <c r="AA50" i="35"/>
  <c r="Z50" i="35"/>
  <c r="Y50" i="35"/>
  <c r="X50" i="35"/>
  <c r="W50" i="35"/>
  <c r="V50" i="35"/>
  <c r="U50" i="35"/>
  <c r="T50" i="35"/>
  <c r="S50" i="35"/>
  <c r="R50" i="35"/>
  <c r="Q50" i="35"/>
  <c r="P50" i="35"/>
  <c r="O50" i="35"/>
  <c r="N50" i="35"/>
  <c r="M50" i="35"/>
  <c r="L50" i="35"/>
  <c r="K50" i="35"/>
  <c r="J50" i="35"/>
  <c r="I50" i="35"/>
  <c r="H50" i="35"/>
  <c r="G50" i="35"/>
  <c r="F50" i="35"/>
  <c r="E50" i="35"/>
  <c r="D50" i="35"/>
  <c r="C50" i="35"/>
  <c r="B47" i="35"/>
  <c r="B46" i="35"/>
  <c r="B45" i="35"/>
  <c r="B44" i="35"/>
  <c r="B43" i="35"/>
  <c r="AA42" i="35"/>
  <c r="Z42" i="35"/>
  <c r="Y42" i="35"/>
  <c r="X42" i="35"/>
  <c r="W42" i="35"/>
  <c r="V42" i="35"/>
  <c r="U42" i="35"/>
  <c r="T42" i="35"/>
  <c r="S42" i="35"/>
  <c r="R42" i="35"/>
  <c r="Q42" i="35"/>
  <c r="P42" i="35"/>
  <c r="O42" i="35"/>
  <c r="N42" i="35"/>
  <c r="M42" i="35"/>
  <c r="L42" i="35"/>
  <c r="K42" i="35"/>
  <c r="J42" i="35"/>
  <c r="I42" i="35"/>
  <c r="H42" i="35"/>
  <c r="G42" i="35"/>
  <c r="F42" i="35"/>
  <c r="E42" i="35"/>
  <c r="D42" i="35"/>
  <c r="C42" i="35"/>
  <c r="B39" i="35"/>
  <c r="B38" i="35"/>
  <c r="B37" i="35"/>
  <c r="B36" i="35"/>
  <c r="B35" i="35"/>
  <c r="AA34" i="35"/>
  <c r="Z34" i="35"/>
  <c r="Y34" i="35"/>
  <c r="X34" i="35"/>
  <c r="W34" i="35"/>
  <c r="V34" i="35"/>
  <c r="U34" i="35"/>
  <c r="T34" i="35"/>
  <c r="S34" i="35"/>
  <c r="R34" i="35"/>
  <c r="Q34" i="35"/>
  <c r="P34" i="35"/>
  <c r="O34" i="35"/>
  <c r="N34" i="35"/>
  <c r="M34" i="35"/>
  <c r="L34" i="35"/>
  <c r="K34" i="35"/>
  <c r="J34" i="35"/>
  <c r="I34" i="35"/>
  <c r="H34" i="35"/>
  <c r="G34" i="35"/>
  <c r="F34" i="35"/>
  <c r="E34" i="35"/>
  <c r="D34" i="35"/>
  <c r="C34" i="35"/>
  <c r="B31" i="35"/>
  <c r="B30" i="35"/>
  <c r="B29" i="35"/>
  <c r="B28" i="35"/>
  <c r="B27" i="35"/>
  <c r="AA26" i="35"/>
  <c r="Z26" i="35"/>
  <c r="Y26" i="35"/>
  <c r="X26" i="35"/>
  <c r="W26" i="35"/>
  <c r="V26" i="35"/>
  <c r="U26" i="35"/>
  <c r="T26" i="35"/>
  <c r="S26" i="35"/>
  <c r="R26" i="35"/>
  <c r="Q26" i="35"/>
  <c r="P26" i="35"/>
  <c r="O26" i="35"/>
  <c r="N26" i="35"/>
  <c r="M26" i="35"/>
  <c r="L26" i="35"/>
  <c r="K26" i="35"/>
  <c r="J26" i="35"/>
  <c r="I26" i="35"/>
  <c r="H26" i="35"/>
  <c r="G26" i="35"/>
  <c r="F26" i="35"/>
  <c r="E26" i="35"/>
  <c r="D26" i="35"/>
  <c r="C26" i="35"/>
  <c r="B23" i="35"/>
  <c r="B22" i="35"/>
  <c r="B21" i="35"/>
  <c r="B20" i="35"/>
  <c r="B19" i="35"/>
  <c r="AA18" i="35"/>
  <c r="Z18" i="35"/>
  <c r="Y18" i="35"/>
  <c r="X18" i="35"/>
  <c r="W18" i="35"/>
  <c r="V18" i="35"/>
  <c r="U18" i="35"/>
  <c r="T18" i="35"/>
  <c r="S18" i="35"/>
  <c r="R18" i="35"/>
  <c r="Q18" i="35"/>
  <c r="P18" i="35"/>
  <c r="O18" i="35"/>
  <c r="N18" i="35"/>
  <c r="M18" i="35"/>
  <c r="L18" i="35"/>
  <c r="K18" i="35"/>
  <c r="J18" i="35"/>
  <c r="I18" i="35"/>
  <c r="H18" i="35"/>
  <c r="G18" i="35"/>
  <c r="F18" i="35"/>
  <c r="E18" i="35"/>
  <c r="D18" i="35"/>
  <c r="C18" i="35"/>
  <c r="B15" i="35"/>
  <c r="B14" i="35"/>
  <c r="B13" i="35"/>
  <c r="B12" i="35"/>
  <c r="B11" i="35"/>
  <c r="AA10" i="35"/>
  <c r="Z10" i="35"/>
  <c r="Y10" i="35"/>
  <c r="X10" i="35"/>
  <c r="W10" i="35"/>
  <c r="V10" i="35"/>
  <c r="U10" i="35"/>
  <c r="T10" i="35"/>
  <c r="S10" i="35"/>
  <c r="R10" i="35"/>
  <c r="Q10" i="35"/>
  <c r="P10" i="35"/>
  <c r="O10" i="35"/>
  <c r="N10" i="35"/>
  <c r="M10" i="35"/>
  <c r="L10" i="35"/>
  <c r="K10" i="35"/>
  <c r="J10" i="35"/>
  <c r="I10" i="35"/>
  <c r="H10" i="35"/>
  <c r="G10" i="35"/>
  <c r="F10" i="35"/>
  <c r="E10" i="35"/>
  <c r="D10" i="35"/>
  <c r="C10" i="35"/>
  <c r="S81" i="29"/>
  <c r="R81" i="29"/>
  <c r="Q81" i="29"/>
  <c r="P81" i="29"/>
  <c r="O81" i="29"/>
  <c r="N81" i="29"/>
  <c r="L81" i="29"/>
  <c r="K81" i="29"/>
  <c r="J81" i="29"/>
  <c r="I81" i="29"/>
  <c r="H81" i="29"/>
  <c r="G81" i="29"/>
  <c r="F81" i="29"/>
  <c r="E81" i="29"/>
  <c r="D81" i="29"/>
  <c r="C81" i="29"/>
  <c r="S62" i="29"/>
  <c r="R62" i="29"/>
  <c r="Q62" i="29"/>
  <c r="P62" i="29"/>
  <c r="O62" i="29"/>
  <c r="N62" i="29"/>
  <c r="L62" i="29"/>
  <c r="K62" i="29"/>
  <c r="J62" i="29"/>
  <c r="I62" i="29"/>
  <c r="H62" i="29"/>
  <c r="G62" i="29"/>
  <c r="F62" i="29"/>
  <c r="E62" i="29"/>
  <c r="D62" i="29"/>
  <c r="C62" i="29"/>
  <c r="I42" i="29"/>
  <c r="H42" i="29"/>
  <c r="C42" i="29"/>
  <c r="D67" i="32" a="1"/>
  <c r="D67" i="32" s="1"/>
  <c r="E67" i="32" a="1"/>
  <c r="E67" i="32" s="1"/>
  <c r="F67" i="32" a="1"/>
  <c r="F67" i="32" s="1"/>
  <c r="G67" i="32" a="1"/>
  <c r="G67" i="32" s="1"/>
  <c r="H67" i="32" a="1"/>
  <c r="H67" i="32"/>
  <c r="I67" i="32" a="1"/>
  <c r="I67" i="32" s="1"/>
  <c r="J67" i="32" a="1"/>
  <c r="J67" i="32" s="1"/>
  <c r="K67" i="32" a="1"/>
  <c r="K67" i="32"/>
  <c r="L67" i="32" a="1"/>
  <c r="L67" i="32" s="1"/>
  <c r="M67" i="32" a="1"/>
  <c r="M67" i="32" s="1"/>
  <c r="N67" i="32" a="1"/>
  <c r="N67" i="32"/>
  <c r="O67" i="32" a="1"/>
  <c r="O67" i="32"/>
  <c r="P67" i="32" a="1"/>
  <c r="P67" i="32" s="1"/>
  <c r="Q67" i="32" a="1"/>
  <c r="Q67" i="32" s="1"/>
  <c r="R67" i="32" a="1"/>
  <c r="R67" i="32" s="1"/>
  <c r="S67" i="32" a="1"/>
  <c r="S67" i="32" s="1"/>
  <c r="T67" i="32" a="1"/>
  <c r="T67" i="32" s="1"/>
  <c r="U67" i="32" a="1"/>
  <c r="U67" i="32" s="1"/>
  <c r="V67" i="32" a="1"/>
  <c r="V67" i="32" s="1"/>
  <c r="W67" i="32" a="1"/>
  <c r="W67" i="32"/>
  <c r="X67" i="32" a="1"/>
  <c r="X67" i="32" s="1"/>
  <c r="Y67" i="32" a="1"/>
  <c r="Y67" i="32" s="1"/>
  <c r="Z67" i="32" a="1"/>
  <c r="Z67" i="32"/>
  <c r="AA67" i="32" a="1"/>
  <c r="AA67" i="32"/>
  <c r="AB67" i="32" a="1"/>
  <c r="AB67" i="32" s="1"/>
  <c r="AC67" i="32" a="1"/>
  <c r="AC67" i="32" s="1"/>
  <c r="D68" i="32" a="1"/>
  <c r="D68" i="32" s="1"/>
  <c r="E68" i="32" a="1"/>
  <c r="E68" i="32" s="1"/>
  <c r="F68" i="32" a="1"/>
  <c r="F68" i="32"/>
  <c r="G68" i="32" a="1"/>
  <c r="G68" i="32" s="1"/>
  <c r="H68" i="32" a="1"/>
  <c r="H68" i="32" s="1"/>
  <c r="I68" i="32" a="1"/>
  <c r="I68" i="32"/>
  <c r="J68" i="32" a="1"/>
  <c r="J68" i="32" s="1"/>
  <c r="K68" i="32" a="1"/>
  <c r="K68" i="32" s="1"/>
  <c r="L68" i="32" a="1"/>
  <c r="L68" i="32"/>
  <c r="M68" i="32" a="1"/>
  <c r="M68" i="32"/>
  <c r="N68" i="32" a="1"/>
  <c r="N68" i="32" s="1"/>
  <c r="O68" i="32" a="1"/>
  <c r="O68" i="32" s="1"/>
  <c r="P68" i="32" a="1"/>
  <c r="P68" i="32" s="1"/>
  <c r="Q68" i="32" a="1"/>
  <c r="Q68" i="32" s="1"/>
  <c r="R68" i="32" a="1"/>
  <c r="R68" i="32" s="1"/>
  <c r="S68" i="32" a="1"/>
  <c r="S68" i="32" s="1"/>
  <c r="T68" i="32" a="1"/>
  <c r="T68" i="32" s="1"/>
  <c r="U68" i="32" a="1"/>
  <c r="U68" i="32"/>
  <c r="V68" i="32" a="1"/>
  <c r="V68" i="32" s="1"/>
  <c r="W68" i="32" a="1"/>
  <c r="W68" i="32" s="1"/>
  <c r="X68" i="32" a="1"/>
  <c r="X68" i="32"/>
  <c r="Y68" i="32" a="1"/>
  <c r="Y68" i="32"/>
  <c r="Z68" i="32" a="1"/>
  <c r="Z68" i="32" s="1"/>
  <c r="AA68" i="32" a="1"/>
  <c r="AA68" i="32" s="1"/>
  <c r="AB68" i="32" a="1"/>
  <c r="AB68" i="32" s="1"/>
  <c r="AC68" i="32" a="1"/>
  <c r="AC68" i="32" s="1"/>
  <c r="D69" i="32" a="1"/>
  <c r="D69" i="32"/>
  <c r="E69" i="32" a="1"/>
  <c r="E69" i="32" s="1"/>
  <c r="F69" i="32" a="1"/>
  <c r="F69" i="32" s="1"/>
  <c r="G69" i="32" a="1"/>
  <c r="G69" i="32"/>
  <c r="H69" i="32" a="1"/>
  <c r="H69" i="32" s="1"/>
  <c r="I69" i="32" a="1"/>
  <c r="I69" i="32" s="1"/>
  <c r="J69" i="32" a="1"/>
  <c r="J69" i="32"/>
  <c r="K69" i="32" a="1"/>
  <c r="K69" i="32"/>
  <c r="L69" i="32" a="1"/>
  <c r="L69" i="32" s="1"/>
  <c r="M69" i="32" a="1"/>
  <c r="M69" i="32" s="1"/>
  <c r="N69" i="32" a="1"/>
  <c r="N69" i="32" s="1"/>
  <c r="O69" i="32" a="1"/>
  <c r="O69" i="32" s="1"/>
  <c r="P69" i="32" a="1"/>
  <c r="P69" i="32" s="1"/>
  <c r="Q69" i="32" a="1"/>
  <c r="Q69" i="32" s="1"/>
  <c r="R69" i="32" a="1"/>
  <c r="R69" i="32" s="1"/>
  <c r="S69" i="32" a="1"/>
  <c r="S69" i="32"/>
  <c r="T69" i="32" a="1"/>
  <c r="T69" i="32" s="1"/>
  <c r="U69" i="32" a="1"/>
  <c r="U69" i="32" s="1"/>
  <c r="V69" i="32" a="1"/>
  <c r="V69" i="32"/>
  <c r="W69" i="32" a="1"/>
  <c r="W69" i="32"/>
  <c r="X69" i="32" a="1"/>
  <c r="X69" i="32" s="1"/>
  <c r="Y69" i="32" a="1"/>
  <c r="Y69" i="32" s="1"/>
  <c r="Z69" i="32" a="1"/>
  <c r="Z69" i="32" s="1"/>
  <c r="AA69" i="32" a="1"/>
  <c r="AA69" i="32" s="1"/>
  <c r="AB69" i="32" a="1"/>
  <c r="AB69" i="32"/>
  <c r="AC69" i="32" a="1"/>
  <c r="AC69" i="32" s="1"/>
  <c r="D70" i="32" a="1"/>
  <c r="D70" i="32" s="1"/>
  <c r="E70" i="32" a="1"/>
  <c r="E70" i="32"/>
  <c r="F70" i="32" a="1"/>
  <c r="F70" i="32" s="1"/>
  <c r="G70" i="32" a="1"/>
  <c r="G70" i="32" s="1"/>
  <c r="H70" i="32" a="1"/>
  <c r="H70" i="32"/>
  <c r="I70" i="32" a="1"/>
  <c r="I70" i="32"/>
  <c r="J70" i="32" a="1"/>
  <c r="J70" i="32" s="1"/>
  <c r="K70" i="32" a="1"/>
  <c r="K70" i="32" s="1"/>
  <c r="L70" i="32" a="1"/>
  <c r="L70" i="32" s="1"/>
  <c r="M70" i="32" a="1"/>
  <c r="M70" i="32" s="1"/>
  <c r="N70" i="32" a="1"/>
  <c r="N70" i="32" s="1"/>
  <c r="O70" i="32" a="1"/>
  <c r="O70" i="32" s="1"/>
  <c r="P70" i="32" a="1"/>
  <c r="P70" i="32" s="1"/>
  <c r="Q70" i="32" a="1"/>
  <c r="Q70" i="32"/>
  <c r="R70" i="32" a="1"/>
  <c r="R70" i="32" s="1"/>
  <c r="S70" i="32" a="1"/>
  <c r="S70" i="32" s="1"/>
  <c r="T70" i="32" a="1"/>
  <c r="T70" i="32"/>
  <c r="U70" i="32" a="1"/>
  <c r="U70" i="32"/>
  <c r="V70" i="32" a="1"/>
  <c r="V70" i="32" s="1"/>
  <c r="W70" i="32" a="1"/>
  <c r="W70" i="32" s="1"/>
  <c r="X70" i="32" a="1"/>
  <c r="X70" i="32" s="1"/>
  <c r="Y70" i="32" a="1"/>
  <c r="Y70" i="32" s="1"/>
  <c r="Z70" i="32" a="1"/>
  <c r="Z70" i="32"/>
  <c r="AA70" i="32" a="1"/>
  <c r="AA70" i="32" s="1"/>
  <c r="AB70" i="32" a="1"/>
  <c r="AB70" i="32" s="1"/>
  <c r="AC70" i="32" a="1"/>
  <c r="AC70" i="32"/>
  <c r="D71" i="32" a="1"/>
  <c r="D71" i="32" s="1"/>
  <c r="E71" i="32" a="1"/>
  <c r="E71" i="32" s="1"/>
  <c r="F71" i="32" a="1"/>
  <c r="F71" i="32"/>
  <c r="G71" i="32" a="1"/>
  <c r="G71" i="32"/>
  <c r="H71" i="32" a="1"/>
  <c r="H71" i="32" s="1"/>
  <c r="I71" i="32" a="1"/>
  <c r="I71" i="32" s="1"/>
  <c r="J71" i="32" a="1"/>
  <c r="J71" i="32" s="1"/>
  <c r="K71" i="32" a="1"/>
  <c r="K71" i="32" s="1"/>
  <c r="L71" i="32" a="1"/>
  <c r="L71" i="32" s="1"/>
  <c r="M71" i="32" a="1"/>
  <c r="M71" i="32" s="1"/>
  <c r="N71" i="32" a="1"/>
  <c r="N71" i="32" s="1"/>
  <c r="O71" i="32" a="1"/>
  <c r="O71" i="32"/>
  <c r="P71" i="32" a="1"/>
  <c r="P71" i="32" s="1"/>
  <c r="Q71" i="32" a="1"/>
  <c r="Q71" i="32" s="1"/>
  <c r="R71" i="32" a="1"/>
  <c r="R71" i="32"/>
  <c r="S71" i="32" a="1"/>
  <c r="S71" i="32"/>
  <c r="T71" i="32" a="1"/>
  <c r="T71" i="32" s="1"/>
  <c r="U71" i="32" a="1"/>
  <c r="U71" i="32" s="1"/>
  <c r="V71" i="32" a="1"/>
  <c r="V71" i="32" s="1"/>
  <c r="W71" i="32" a="1"/>
  <c r="W71" i="32" s="1"/>
  <c r="X71" i="32" a="1"/>
  <c r="X71" i="32"/>
  <c r="Y71" i="32" a="1"/>
  <c r="Y71" i="32" s="1"/>
  <c r="Z71" i="32" a="1"/>
  <c r="Z71" i="32" s="1"/>
  <c r="AA71" i="32" a="1"/>
  <c r="AA71" i="32"/>
  <c r="AB71" i="32" a="1"/>
  <c r="AB71" i="32" s="1"/>
  <c r="AC71" i="32" a="1"/>
  <c r="AC71" i="32" s="1"/>
  <c r="C68" i="32" a="1"/>
  <c r="C68" i="32"/>
  <c r="C69" i="32" a="1"/>
  <c r="C69" i="32" s="1"/>
  <c r="C70" i="32" a="1"/>
  <c r="C70" i="32" s="1"/>
  <c r="C71" i="32" a="1"/>
  <c r="C71" i="32" s="1"/>
  <c r="C67" i="32" a="1"/>
  <c r="C67" i="32" s="1"/>
  <c r="D35" i="32" a="1"/>
  <c r="D35" i="32" s="1"/>
  <c r="E35" i="32" a="1"/>
  <c r="E35" i="32" s="1"/>
  <c r="F35" i="32" a="1"/>
  <c r="F35" i="32" s="1"/>
  <c r="G35" i="32" a="1"/>
  <c r="G35" i="32"/>
  <c r="H35" i="32" a="1"/>
  <c r="H35" i="32"/>
  <c r="I35" i="32" a="1"/>
  <c r="I35" i="32"/>
  <c r="J35" i="32" a="1"/>
  <c r="J35" i="32" s="1"/>
  <c r="K35" i="32" a="1"/>
  <c r="K35" i="32" s="1"/>
  <c r="L35" i="32" a="1"/>
  <c r="L35" i="32" s="1"/>
  <c r="M35" i="32" a="1"/>
  <c r="M35" i="32"/>
  <c r="N35" i="32" a="1"/>
  <c r="N35" i="32"/>
  <c r="O35" i="32" a="1"/>
  <c r="O35" i="32"/>
  <c r="P35" i="32" a="1"/>
  <c r="P35" i="32" s="1"/>
  <c r="Q35" i="32" a="1"/>
  <c r="Q35" i="32"/>
  <c r="R35" i="32" a="1"/>
  <c r="R35" i="32" s="1"/>
  <c r="S35" i="32" a="1"/>
  <c r="S35" i="32"/>
  <c r="T35" i="32" a="1"/>
  <c r="T35" i="32"/>
  <c r="U35" i="32" a="1"/>
  <c r="U35" i="32"/>
  <c r="V35" i="32" a="1"/>
  <c r="V35" i="32" s="1"/>
  <c r="W35" i="32" a="1"/>
  <c r="W35" i="32"/>
  <c r="X35" i="32" a="1"/>
  <c r="X35" i="32" s="1"/>
  <c r="Y35" i="32" a="1"/>
  <c r="Y35" i="32"/>
  <c r="Z35" i="32" a="1"/>
  <c r="Z35" i="32"/>
  <c r="AA35" i="32" a="1"/>
  <c r="AA35" i="32"/>
  <c r="AB35" i="32" a="1"/>
  <c r="AB35" i="32" s="1"/>
  <c r="AC35" i="32" a="1"/>
  <c r="AC35" i="32" s="1"/>
  <c r="D36" i="32" a="1"/>
  <c r="D36" i="32" s="1"/>
  <c r="E36" i="32" a="1"/>
  <c r="E36" i="32"/>
  <c r="F36" i="32" a="1"/>
  <c r="F36" i="32"/>
  <c r="G36" i="32" a="1"/>
  <c r="G36" i="32"/>
  <c r="H36" i="32" a="1"/>
  <c r="H36" i="32" s="1"/>
  <c r="I36" i="32" a="1"/>
  <c r="I36" i="32" s="1"/>
  <c r="J36" i="32" a="1"/>
  <c r="J36" i="32" s="1"/>
  <c r="K36" i="32" a="1"/>
  <c r="K36" i="32"/>
  <c r="L36" i="32" a="1"/>
  <c r="L36" i="32"/>
  <c r="M36" i="32" a="1"/>
  <c r="M36" i="32"/>
  <c r="N36" i="32" a="1"/>
  <c r="N36" i="32" s="1"/>
  <c r="O36" i="32" a="1"/>
  <c r="O36" i="32" s="1"/>
  <c r="P36" i="32" a="1"/>
  <c r="P36" i="32" s="1"/>
  <c r="Q36" i="32" a="1"/>
  <c r="Q36" i="32"/>
  <c r="R36" i="32" a="1"/>
  <c r="R36" i="32"/>
  <c r="S36" i="32" a="1"/>
  <c r="S36" i="32"/>
  <c r="T36" i="32" a="1"/>
  <c r="T36" i="32" s="1"/>
  <c r="U36" i="32" a="1"/>
  <c r="U36" i="32" s="1"/>
  <c r="V36" i="32" a="1"/>
  <c r="V36" i="32" s="1"/>
  <c r="W36" i="32" a="1"/>
  <c r="W36" i="32"/>
  <c r="X36" i="32" a="1"/>
  <c r="X36" i="32"/>
  <c r="Y36" i="32" a="1"/>
  <c r="Y36" i="32"/>
  <c r="Z36" i="32" a="1"/>
  <c r="Z36" i="32" s="1"/>
  <c r="AA36" i="32" a="1"/>
  <c r="AA36" i="32"/>
  <c r="AB36" i="32" a="1"/>
  <c r="AB36" i="32" s="1"/>
  <c r="AC36" i="32" a="1"/>
  <c r="AC36" i="32"/>
  <c r="D37" i="32" a="1"/>
  <c r="D37" i="32"/>
  <c r="E37" i="32" a="1"/>
  <c r="E37" i="32"/>
  <c r="F37" i="32" a="1"/>
  <c r="F37" i="32" s="1"/>
  <c r="G37" i="32" a="1"/>
  <c r="G37" i="32"/>
  <c r="H37" i="32" a="1"/>
  <c r="H37" i="32" s="1"/>
  <c r="I37" i="32" a="1"/>
  <c r="I37" i="32"/>
  <c r="J37" i="32" a="1"/>
  <c r="J37" i="32"/>
  <c r="K37" i="32" a="1"/>
  <c r="K37" i="32"/>
  <c r="L37" i="32" a="1"/>
  <c r="L37" i="32" s="1"/>
  <c r="M37" i="32" a="1"/>
  <c r="M37" i="32" s="1"/>
  <c r="N37" i="32" a="1"/>
  <c r="N37" i="32" s="1"/>
  <c r="O37" i="32" a="1"/>
  <c r="O37" i="32"/>
  <c r="P37" i="32" a="1"/>
  <c r="P37" i="32"/>
  <c r="Q37" i="32" a="1"/>
  <c r="Q37" i="32"/>
  <c r="R37" i="32" a="1"/>
  <c r="R37" i="32" s="1"/>
  <c r="S37" i="32" a="1"/>
  <c r="S37" i="32" s="1"/>
  <c r="T37" i="32" a="1"/>
  <c r="T37" i="32" s="1"/>
  <c r="U37" i="32" a="1"/>
  <c r="U37" i="32" s="1"/>
  <c r="V37" i="32" a="1"/>
  <c r="V37" i="32"/>
  <c r="W37" i="32" a="1"/>
  <c r="W37" i="32"/>
  <c r="X37" i="32" a="1"/>
  <c r="X37" i="32" s="1"/>
  <c r="Y37" i="32" a="1"/>
  <c r="Y37" i="32"/>
  <c r="Z37" i="32" a="1"/>
  <c r="Z37" i="32" s="1"/>
  <c r="AA37" i="32" a="1"/>
  <c r="AA37" i="32" s="1"/>
  <c r="AB37" i="32" a="1"/>
  <c r="AB37" i="32" s="1"/>
  <c r="AC37" i="32" a="1"/>
  <c r="AC37" i="32"/>
  <c r="D38" i="32" a="1"/>
  <c r="D38" i="32" s="1"/>
  <c r="E38" i="32" a="1"/>
  <c r="E38" i="32"/>
  <c r="F38" i="32" a="1"/>
  <c r="F38" i="32" s="1"/>
  <c r="G38" i="32" a="1"/>
  <c r="G38" i="32" s="1"/>
  <c r="H38" i="32" a="1"/>
  <c r="H38" i="32" s="1"/>
  <c r="I38" i="32" a="1"/>
  <c r="I38" i="32" s="1"/>
  <c r="J38" i="32" a="1"/>
  <c r="J38" i="32" s="1"/>
  <c r="K38" i="32" a="1"/>
  <c r="K38" i="32"/>
  <c r="L38" i="32" a="1"/>
  <c r="L38" i="32" s="1"/>
  <c r="M38" i="32" a="1"/>
  <c r="M38" i="32" s="1"/>
  <c r="N38" i="32" a="1"/>
  <c r="N38" i="32" s="1"/>
  <c r="O38" i="32" a="1"/>
  <c r="O38" i="32" s="1"/>
  <c r="P38" i="32" a="1"/>
  <c r="P38" i="32" s="1"/>
  <c r="Q38" i="32" a="1"/>
  <c r="Q38" i="32"/>
  <c r="R38" i="32" a="1"/>
  <c r="R38" i="32" s="1"/>
  <c r="S38" i="32" a="1"/>
  <c r="S38" i="32"/>
  <c r="T38" i="32" a="1"/>
  <c r="T38" i="32" s="1"/>
  <c r="U38" i="32" a="1"/>
  <c r="U38" i="32" s="1"/>
  <c r="V38" i="32" a="1"/>
  <c r="V38" i="32" s="1"/>
  <c r="W38" i="32" a="1"/>
  <c r="W38" i="32"/>
  <c r="X38" i="32" a="1"/>
  <c r="X38" i="32" s="1"/>
  <c r="Y38" i="32" a="1"/>
  <c r="Y38" i="32"/>
  <c r="Z38" i="32" a="1"/>
  <c r="Z38" i="32"/>
  <c r="AA38" i="32" a="1"/>
  <c r="AA38" i="32" s="1"/>
  <c r="AB38" i="32" a="1"/>
  <c r="AB38" i="32" s="1"/>
  <c r="AC38" i="32" a="1"/>
  <c r="AC38" i="32"/>
  <c r="D39" i="32" a="1"/>
  <c r="D39" i="32" s="1"/>
  <c r="E39" i="32" a="1"/>
  <c r="E39" i="32" s="1"/>
  <c r="F39" i="32" a="1"/>
  <c r="F39" i="32"/>
  <c r="G39" i="32" a="1"/>
  <c r="G39" i="32"/>
  <c r="H39" i="32" a="1"/>
  <c r="H39" i="32" s="1"/>
  <c r="I39" i="32" a="1"/>
  <c r="I39" i="32"/>
  <c r="J39" i="32" a="1"/>
  <c r="J39" i="32" s="1"/>
  <c r="K39" i="32" a="1"/>
  <c r="K39" i="32" s="1"/>
  <c r="L39" i="32" a="1"/>
  <c r="L39" i="32" s="1"/>
  <c r="M39" i="32" a="1"/>
  <c r="M39" i="32"/>
  <c r="N39" i="32" a="1"/>
  <c r="N39" i="32" s="1"/>
  <c r="O39" i="32" a="1"/>
  <c r="O39" i="32"/>
  <c r="P39" i="32" a="1"/>
  <c r="P39" i="32" s="1"/>
  <c r="Q39" i="32" a="1"/>
  <c r="Q39" i="32" s="1"/>
  <c r="R39" i="32" a="1"/>
  <c r="R39" i="32" s="1"/>
  <c r="S39" i="32" a="1"/>
  <c r="S39" i="32" s="1"/>
  <c r="T39" i="32" a="1"/>
  <c r="T39" i="32" s="1"/>
  <c r="U39" i="32" a="1"/>
  <c r="U39" i="32"/>
  <c r="V39" i="32" a="1"/>
  <c r="V39" i="32" s="1"/>
  <c r="W39" i="32" a="1"/>
  <c r="W39" i="32" s="1"/>
  <c r="X39" i="32" a="1"/>
  <c r="X39" i="32" s="1"/>
  <c r="Y39" i="32" a="1"/>
  <c r="Y39" i="32" s="1"/>
  <c r="Z39" i="32" a="1"/>
  <c r="Z39" i="32" s="1"/>
  <c r="AA39" i="32" a="1"/>
  <c r="AA39" i="32"/>
  <c r="AB39" i="32" a="1"/>
  <c r="AB39" i="32" s="1"/>
  <c r="AC39" i="32" a="1"/>
  <c r="AC39" i="32"/>
  <c r="C36" i="32" a="1"/>
  <c r="C36" i="32" s="1"/>
  <c r="C37" i="32" a="1"/>
  <c r="C37" i="32" s="1"/>
  <c r="C38" i="32" a="1"/>
  <c r="C38" i="32" s="1"/>
  <c r="C39" i="32" a="1"/>
  <c r="C39" i="32"/>
  <c r="C35" i="32" a="1"/>
  <c r="C35" i="32" s="1"/>
  <c r="D19" i="32" a="1"/>
  <c r="D19" i="32" s="1"/>
  <c r="E19" i="32" a="1"/>
  <c r="E19" i="32"/>
  <c r="F19" i="32" a="1"/>
  <c r="F19" i="32" s="1"/>
  <c r="G19" i="32" a="1"/>
  <c r="G19" i="32"/>
  <c r="H19" i="32" a="1"/>
  <c r="H19" i="32" s="1"/>
  <c r="I19" i="32" a="1"/>
  <c r="I19" i="32" s="1"/>
  <c r="J19" i="32" a="1"/>
  <c r="J19" i="32" s="1"/>
  <c r="K19" i="32" a="1"/>
  <c r="K19" i="32"/>
  <c r="L19" i="32" a="1"/>
  <c r="L19" i="32" s="1"/>
  <c r="M19" i="32" a="1"/>
  <c r="M19" i="32"/>
  <c r="N19" i="32" a="1"/>
  <c r="N19" i="32"/>
  <c r="O19" i="32" a="1"/>
  <c r="O19" i="32" s="1"/>
  <c r="P19" i="32" a="1"/>
  <c r="P19" i="32" s="1"/>
  <c r="Q19" i="32" a="1"/>
  <c r="Q19" i="32"/>
  <c r="R19" i="32" a="1"/>
  <c r="R19" i="32" s="1"/>
  <c r="S19" i="32" a="1"/>
  <c r="S19" i="32" s="1"/>
  <c r="T19" i="32" a="1"/>
  <c r="T19" i="32"/>
  <c r="U19" i="32" a="1"/>
  <c r="U19" i="32"/>
  <c r="V19" i="32" a="1"/>
  <c r="V19" i="32" s="1"/>
  <c r="W19" i="32" a="1"/>
  <c r="W19" i="32"/>
  <c r="X19" i="32" a="1"/>
  <c r="X19" i="32" s="1"/>
  <c r="Y19" i="32" a="1"/>
  <c r="Y19" i="32" s="1"/>
  <c r="Z19" i="32" a="1"/>
  <c r="Z19" i="32" s="1"/>
  <c r="AA19" i="32" a="1"/>
  <c r="AA19" i="32"/>
  <c r="AB19" i="32" a="1"/>
  <c r="AB19" i="32" s="1"/>
  <c r="AC19" i="32" a="1"/>
  <c r="AC19" i="32"/>
  <c r="D20" i="32" a="1"/>
  <c r="D20" i="32" s="1"/>
  <c r="E20" i="32" a="1"/>
  <c r="E20" i="32" s="1"/>
  <c r="F20" i="32" a="1"/>
  <c r="F20" i="32" s="1"/>
  <c r="G20" i="32" a="1"/>
  <c r="G20" i="32" s="1"/>
  <c r="H20" i="32" a="1"/>
  <c r="H20" i="32" s="1"/>
  <c r="I20" i="32" a="1"/>
  <c r="I20" i="32"/>
  <c r="J20" i="32" a="1"/>
  <c r="J20" i="32" s="1"/>
  <c r="K20" i="32" a="1"/>
  <c r="K20" i="32" s="1"/>
  <c r="L20" i="32" a="1"/>
  <c r="L20" i="32" s="1"/>
  <c r="M20" i="32" a="1"/>
  <c r="M20" i="32" s="1"/>
  <c r="N20" i="32" a="1"/>
  <c r="N20" i="32" s="1"/>
  <c r="O20" i="32" a="1"/>
  <c r="O20" i="32"/>
  <c r="P20" i="32" a="1"/>
  <c r="P20" i="32" s="1"/>
  <c r="Q20" i="32" a="1"/>
  <c r="Q20" i="32"/>
  <c r="R20" i="32" a="1"/>
  <c r="R20" i="32" s="1"/>
  <c r="S20" i="32" a="1"/>
  <c r="S20" i="32" s="1"/>
  <c r="T20" i="32" a="1"/>
  <c r="T20" i="32" s="1"/>
  <c r="U20" i="32" a="1"/>
  <c r="U20" i="32"/>
  <c r="V20" i="32" a="1"/>
  <c r="V20" i="32" s="1"/>
  <c r="W20" i="32" a="1"/>
  <c r="W20" i="32"/>
  <c r="X20" i="32" a="1"/>
  <c r="X20" i="32"/>
  <c r="Y20" i="32" a="1"/>
  <c r="Y20" i="32" s="1"/>
  <c r="Z20" i="32" a="1"/>
  <c r="Z20" i="32" s="1"/>
  <c r="AA20" i="32" a="1"/>
  <c r="AA20" i="32"/>
  <c r="AB20" i="32" a="1"/>
  <c r="AB20" i="32" s="1"/>
  <c r="AC20" i="32" a="1"/>
  <c r="AC20" i="32" s="1"/>
  <c r="D21" i="32" a="1"/>
  <c r="D21" i="32"/>
  <c r="E21" i="32" a="1"/>
  <c r="E21" i="32"/>
  <c r="F21" i="32" a="1"/>
  <c r="F21" i="32" s="1"/>
  <c r="G21" i="32" a="1"/>
  <c r="G21" i="32"/>
  <c r="H21" i="32" a="1"/>
  <c r="H21" i="32" s="1"/>
  <c r="I21" i="32" a="1"/>
  <c r="I21" i="32" s="1"/>
  <c r="J21" i="32" a="1"/>
  <c r="J21" i="32" s="1"/>
  <c r="K21" i="32" a="1"/>
  <c r="K21" i="32"/>
  <c r="L21" i="32" a="1"/>
  <c r="L21" i="32" s="1"/>
  <c r="M21" i="32" a="1"/>
  <c r="M21" i="32"/>
  <c r="N21" i="32" a="1"/>
  <c r="N21" i="32" s="1"/>
  <c r="O21" i="32" a="1"/>
  <c r="O21" i="32" s="1"/>
  <c r="P21" i="32" a="1"/>
  <c r="P21" i="32" s="1"/>
  <c r="Q21" i="32" a="1"/>
  <c r="Q21" i="32" s="1"/>
  <c r="R21" i="32" a="1"/>
  <c r="R21" i="32" s="1"/>
  <c r="S21" i="32" a="1"/>
  <c r="S21" i="32"/>
  <c r="T21" i="32" a="1"/>
  <c r="T21" i="32" s="1"/>
  <c r="U21" i="32" a="1"/>
  <c r="U21" i="32" s="1"/>
  <c r="V21" i="32" a="1"/>
  <c r="V21" i="32" s="1"/>
  <c r="W21" i="32" a="1"/>
  <c r="W21" i="32" s="1"/>
  <c r="X21" i="32" a="1"/>
  <c r="X21" i="32" s="1"/>
  <c r="Y21" i="32" a="1"/>
  <c r="Y21" i="32"/>
  <c r="Z21" i="32" a="1"/>
  <c r="Z21" i="32" s="1"/>
  <c r="AA21" i="32" a="1"/>
  <c r="AA21" i="32"/>
  <c r="AB21" i="32" a="1"/>
  <c r="AB21" i="32" s="1"/>
  <c r="AC21" i="32" a="1"/>
  <c r="AC21" i="32" s="1"/>
  <c r="D22" i="32" a="1"/>
  <c r="D22" i="32" s="1"/>
  <c r="E22" i="32" a="1"/>
  <c r="E22" i="32"/>
  <c r="F22" i="32" a="1"/>
  <c r="F22" i="32" s="1"/>
  <c r="G22" i="32" a="1"/>
  <c r="G22" i="32"/>
  <c r="H22" i="32" a="1"/>
  <c r="H22" i="32"/>
  <c r="I22" i="32" a="1"/>
  <c r="I22" i="32" s="1"/>
  <c r="J22" i="32" a="1"/>
  <c r="J22" i="32" s="1"/>
  <c r="K22" i="32" a="1"/>
  <c r="K22" i="32"/>
  <c r="L22" i="32" a="1"/>
  <c r="L22" i="32" s="1"/>
  <c r="M22" i="32" a="1"/>
  <c r="M22" i="32" s="1"/>
  <c r="N22" i="32" a="1"/>
  <c r="N22" i="32"/>
  <c r="O22" i="32" a="1"/>
  <c r="O22" i="32"/>
  <c r="P22" i="32" a="1"/>
  <c r="P22" i="32" s="1"/>
  <c r="Q22" i="32" a="1"/>
  <c r="Q22" i="32"/>
  <c r="R22" i="32" a="1"/>
  <c r="R22" i="32" s="1"/>
  <c r="S22" i="32" a="1"/>
  <c r="S22" i="32" s="1"/>
  <c r="T22" i="32" a="1"/>
  <c r="T22" i="32" s="1"/>
  <c r="U22" i="32" a="1"/>
  <c r="U22" i="32"/>
  <c r="V22" i="32" a="1"/>
  <c r="V22" i="32" s="1"/>
  <c r="W22" i="32" a="1"/>
  <c r="W22" i="32"/>
  <c r="X22" i="32" a="1"/>
  <c r="X22" i="32" s="1"/>
  <c r="Y22" i="32" a="1"/>
  <c r="Y22" i="32" s="1"/>
  <c r="Z22" i="32" a="1"/>
  <c r="Z22" i="32" s="1"/>
  <c r="AA22" i="32" a="1"/>
  <c r="AA22" i="32" s="1"/>
  <c r="AB22" i="32" a="1"/>
  <c r="AB22" i="32" s="1"/>
  <c r="AC22" i="32" a="1"/>
  <c r="AC22" i="32"/>
  <c r="D23" i="32" a="1"/>
  <c r="D23" i="32" s="1"/>
  <c r="E23" i="32" a="1"/>
  <c r="E23" i="32" s="1"/>
  <c r="F23" i="32" a="1"/>
  <c r="F23" i="32" s="1"/>
  <c r="G23" i="32" a="1"/>
  <c r="G23" i="32" s="1"/>
  <c r="H23" i="32" a="1"/>
  <c r="H23" i="32" s="1"/>
  <c r="I23" i="32" a="1"/>
  <c r="I23" i="32"/>
  <c r="J23" i="32" a="1"/>
  <c r="J23" i="32" s="1"/>
  <c r="K23" i="32" a="1"/>
  <c r="K23" i="32"/>
  <c r="L23" i="32" a="1"/>
  <c r="L23" i="32" s="1"/>
  <c r="M23" i="32" a="1"/>
  <c r="M23" i="32" s="1"/>
  <c r="N23" i="32" a="1"/>
  <c r="N23" i="32" s="1"/>
  <c r="O23" i="32" a="1"/>
  <c r="O23" i="32"/>
  <c r="P23" i="32" a="1"/>
  <c r="P23" i="32" s="1"/>
  <c r="Q23" i="32" a="1"/>
  <c r="Q23" i="32"/>
  <c r="R23" i="32" a="1"/>
  <c r="R23" i="32"/>
  <c r="S23" i="32" a="1"/>
  <c r="S23" i="32" s="1"/>
  <c r="T23" i="32" a="1"/>
  <c r="T23" i="32" s="1"/>
  <c r="U23" i="32" a="1"/>
  <c r="U23" i="32"/>
  <c r="V23" i="32" a="1"/>
  <c r="V23" i="32" s="1"/>
  <c r="W23" i="32" a="1"/>
  <c r="W23" i="32" s="1"/>
  <c r="X23" i="32" a="1"/>
  <c r="X23" i="32"/>
  <c r="Y23" i="32" a="1"/>
  <c r="Y23" i="32"/>
  <c r="Z23" i="32" a="1"/>
  <c r="Z23" i="32" s="1"/>
  <c r="AA23" i="32" a="1"/>
  <c r="AA23" i="32"/>
  <c r="AB23" i="32" a="1"/>
  <c r="AB23" i="32" s="1"/>
  <c r="AC23" i="32" a="1"/>
  <c r="AC23" i="32" s="1"/>
  <c r="C20" i="32" a="1"/>
  <c r="C20" i="32" s="1"/>
  <c r="C21" i="32" a="1"/>
  <c r="C21" i="32" s="1"/>
  <c r="C22" i="32" a="1"/>
  <c r="C22" i="32" s="1"/>
  <c r="C23" i="32" a="1"/>
  <c r="C23" i="32"/>
  <c r="C19" i="32" a="1"/>
  <c r="C19" i="32" s="1"/>
  <c r="D11" i="32" a="1"/>
  <c r="D11" i="32" s="1"/>
  <c r="E11" i="32" a="1"/>
  <c r="E11" i="32" s="1"/>
  <c r="F11" i="32" a="1"/>
  <c r="F11" i="32" s="1"/>
  <c r="G11" i="32" a="1"/>
  <c r="G11" i="32" s="1"/>
  <c r="H11" i="32" a="1"/>
  <c r="H11" i="32" s="1"/>
  <c r="I11" i="32" a="1"/>
  <c r="I11" i="32" s="1"/>
  <c r="J11" i="32" a="1"/>
  <c r="J11" i="32" s="1"/>
  <c r="K11" i="32" a="1"/>
  <c r="K11" i="32" s="1"/>
  <c r="L11" i="32" a="1"/>
  <c r="L11" i="32"/>
  <c r="M11" i="32" a="1"/>
  <c r="M11" i="32" s="1"/>
  <c r="N11" i="32" a="1"/>
  <c r="N11" i="32" s="1"/>
  <c r="O11" i="32" a="1"/>
  <c r="O11" i="32" s="1"/>
  <c r="P11" i="32" a="1"/>
  <c r="P11" i="32" s="1"/>
  <c r="Q11" i="32" a="1"/>
  <c r="Q11" i="32" s="1"/>
  <c r="R11" i="32" a="1"/>
  <c r="R11" i="32" s="1"/>
  <c r="S11" i="32" a="1"/>
  <c r="S11" i="32"/>
  <c r="T11" i="32" a="1"/>
  <c r="T11" i="32"/>
  <c r="U11" i="32" a="1"/>
  <c r="U11" i="32" s="1"/>
  <c r="V11" i="32" a="1"/>
  <c r="V11" i="32" s="1"/>
  <c r="W11" i="32" a="1"/>
  <c r="W11" i="32" s="1"/>
  <c r="X11" i="32" a="1"/>
  <c r="X11" i="32" s="1"/>
  <c r="Y11" i="32" a="1"/>
  <c r="Y11" i="32" s="1"/>
  <c r="Z11" i="32" a="1"/>
  <c r="Z11" i="32" s="1"/>
  <c r="AA11" i="32" a="1"/>
  <c r="AA11" i="32"/>
  <c r="AB11" i="32" a="1"/>
  <c r="AB11" i="32" s="1"/>
  <c r="AC11" i="32" a="1"/>
  <c r="AC11" i="32" s="1"/>
  <c r="D12" i="32" a="1"/>
  <c r="D12" i="32" s="1"/>
  <c r="E12" i="32" a="1"/>
  <c r="E12" i="32" s="1"/>
  <c r="F12" i="32" a="1"/>
  <c r="F12" i="32" s="1"/>
  <c r="G12" i="32" a="1"/>
  <c r="G12" i="32" s="1"/>
  <c r="H12" i="32" a="1"/>
  <c r="H12" i="32" s="1"/>
  <c r="I12" i="32" a="1"/>
  <c r="I12" i="32" s="1"/>
  <c r="J12" i="32" a="1"/>
  <c r="J12" i="32"/>
  <c r="K12" i="32" a="1"/>
  <c r="K12" i="32" s="1"/>
  <c r="L12" i="32" a="1"/>
  <c r="L12" i="32" s="1"/>
  <c r="M12" i="32" a="1"/>
  <c r="M12" i="32" s="1"/>
  <c r="N12" i="32" a="1"/>
  <c r="N12" i="32" s="1"/>
  <c r="O12" i="32" a="1"/>
  <c r="O12" i="32" s="1"/>
  <c r="P12" i="32" a="1"/>
  <c r="P12" i="32" s="1"/>
  <c r="Q12" i="32" a="1"/>
  <c r="Q12" i="32" s="1"/>
  <c r="R12" i="32" a="1"/>
  <c r="R12" i="32" s="1"/>
  <c r="S12" i="32" a="1"/>
  <c r="S12" i="32" s="1"/>
  <c r="T12" i="32" a="1"/>
  <c r="T12" i="32" s="1"/>
  <c r="U12" i="32" a="1"/>
  <c r="U12" i="32" s="1"/>
  <c r="V12" i="32" a="1"/>
  <c r="V12" i="32" s="1"/>
  <c r="W12" i="32" a="1"/>
  <c r="W12" i="32"/>
  <c r="X12" i="32" a="1"/>
  <c r="X12" i="32"/>
  <c r="Y12" i="32" a="1"/>
  <c r="Y12" i="32" s="1"/>
  <c r="Z12" i="32" a="1"/>
  <c r="Z12" i="32" s="1"/>
  <c r="AA12" i="32" a="1"/>
  <c r="AA12" i="32" s="1"/>
  <c r="AB12" i="32" a="1"/>
  <c r="AB12" i="32" s="1"/>
  <c r="AC12" i="32" a="1"/>
  <c r="AC12" i="32" s="1"/>
  <c r="D13" i="32" a="1"/>
  <c r="D13" i="32" s="1"/>
  <c r="E13" i="32" a="1"/>
  <c r="E13" i="32"/>
  <c r="F13" i="32" a="1"/>
  <c r="F13" i="32" s="1"/>
  <c r="G13" i="32" a="1"/>
  <c r="G13" i="32" s="1"/>
  <c r="H13" i="32" a="1"/>
  <c r="H13" i="32" s="1"/>
  <c r="I13" i="32" a="1"/>
  <c r="I13" i="32" s="1"/>
  <c r="J13" i="32" a="1"/>
  <c r="J13" i="32" s="1"/>
  <c r="K13" i="32" a="1"/>
  <c r="K13" i="32"/>
  <c r="L13" i="32" a="1"/>
  <c r="L13" i="32" s="1"/>
  <c r="M13" i="32" a="1"/>
  <c r="M13" i="32" s="1"/>
  <c r="N13" i="32" a="1"/>
  <c r="N13" i="32" s="1"/>
  <c r="O13" i="32" a="1"/>
  <c r="O13" i="32" s="1"/>
  <c r="P13" i="32" a="1"/>
  <c r="P13" i="32" s="1"/>
  <c r="Q13" i="32" a="1"/>
  <c r="Q13" i="32" s="1"/>
  <c r="R13" i="32" a="1"/>
  <c r="R13" i="32" s="1"/>
  <c r="S13" i="32" a="1"/>
  <c r="S13" i="32" s="1"/>
  <c r="T13" i="32" a="1"/>
  <c r="T13" i="32"/>
  <c r="U13" i="32" a="1"/>
  <c r="U13" i="32" s="1"/>
  <c r="V13" i="32" a="1"/>
  <c r="V13" i="32" s="1"/>
  <c r="W13" i="32" a="1"/>
  <c r="W13" i="32" s="1"/>
  <c r="X13" i="32" a="1"/>
  <c r="X13" i="32" s="1"/>
  <c r="Y13" i="32" a="1"/>
  <c r="Y13" i="32" s="1"/>
  <c r="Z13" i="32" a="1"/>
  <c r="Z13" i="32"/>
  <c r="AA13" i="32" a="1"/>
  <c r="AA13" i="32"/>
  <c r="AB13" i="32" a="1"/>
  <c r="AB13" i="32" s="1"/>
  <c r="AC13" i="32" a="1"/>
  <c r="AC13" i="32" s="1"/>
  <c r="D14" i="32" a="1"/>
  <c r="D14" i="32" s="1"/>
  <c r="E14" i="32" a="1"/>
  <c r="E14" i="32" s="1"/>
  <c r="F14" i="32" a="1"/>
  <c r="F14" i="32" s="1"/>
  <c r="G14" i="32" a="1"/>
  <c r="G14" i="32"/>
  <c r="H14" i="32" a="1"/>
  <c r="H14" i="32"/>
  <c r="I14" i="32" a="1"/>
  <c r="I14" i="32" s="1"/>
  <c r="J14" i="32" a="1"/>
  <c r="J14" i="32" s="1"/>
  <c r="K14" i="32" a="1"/>
  <c r="K14" i="32" s="1"/>
  <c r="L14" i="32" a="1"/>
  <c r="L14" i="32" s="1"/>
  <c r="M14" i="32" a="1"/>
  <c r="M14" i="32" s="1"/>
  <c r="N14" i="32" a="1"/>
  <c r="N14" i="32" s="1"/>
  <c r="O14" i="32" a="1"/>
  <c r="O14" i="32" s="1"/>
  <c r="P14" i="32" a="1"/>
  <c r="P14" i="32" s="1"/>
  <c r="Q14" i="32" a="1"/>
  <c r="Q14" i="32" s="1"/>
  <c r="R14" i="32" a="1"/>
  <c r="R14" i="32" s="1"/>
  <c r="S14" i="32" a="1"/>
  <c r="S14" i="32" s="1"/>
  <c r="T14" i="32" a="1"/>
  <c r="T14" i="32" s="1"/>
  <c r="U14" i="32" a="1"/>
  <c r="U14" i="32"/>
  <c r="V14" i="32" a="1"/>
  <c r="V14" i="32" s="1"/>
  <c r="W14" i="32" a="1"/>
  <c r="W14" i="32" s="1"/>
  <c r="X14" i="32" a="1"/>
  <c r="X14" i="32" s="1"/>
  <c r="Y14" i="32" a="1"/>
  <c r="Y14" i="32" s="1"/>
  <c r="Z14" i="32" a="1"/>
  <c r="Z14" i="32" s="1"/>
  <c r="AA14" i="32" a="1"/>
  <c r="AA14" i="32" s="1"/>
  <c r="AB14" i="32" a="1"/>
  <c r="AB14" i="32" s="1"/>
  <c r="AC14" i="32" a="1"/>
  <c r="AC14" i="32" s="1"/>
  <c r="D15" i="32" a="1"/>
  <c r="D15" i="32"/>
  <c r="E15" i="32" a="1"/>
  <c r="E15" i="32" s="1"/>
  <c r="F15" i="32" a="1"/>
  <c r="F15" i="32" s="1"/>
  <c r="G15" i="32" a="1"/>
  <c r="G15" i="32" s="1"/>
  <c r="H15" i="32" a="1"/>
  <c r="H15" i="32" s="1"/>
  <c r="I15" i="32" a="1"/>
  <c r="I15" i="32" s="1"/>
  <c r="J15" i="32" a="1"/>
  <c r="J15" i="32" s="1"/>
  <c r="K15" i="32" a="1"/>
  <c r="K15" i="32" s="1"/>
  <c r="L15" i="32" a="1"/>
  <c r="L15" i="32" s="1"/>
  <c r="M15" i="32" a="1"/>
  <c r="M15" i="32" s="1"/>
  <c r="N15" i="32" a="1"/>
  <c r="N15" i="32" s="1"/>
  <c r="O15" i="32" a="1"/>
  <c r="O15" i="32" s="1"/>
  <c r="P15" i="32" a="1"/>
  <c r="P15" i="32" s="1"/>
  <c r="Q15" i="32" a="1"/>
  <c r="Q15" i="32"/>
  <c r="R15" i="32" a="1"/>
  <c r="R15" i="32"/>
  <c r="S15" i="32" a="1"/>
  <c r="S15" i="32" s="1"/>
  <c r="T15" i="32" a="1"/>
  <c r="T15" i="32" s="1"/>
  <c r="U15" i="32" a="1"/>
  <c r="U15" i="32" s="1"/>
  <c r="V15" i="32" a="1"/>
  <c r="V15" i="32" s="1"/>
  <c r="W15" i="32" a="1"/>
  <c r="W15" i="32" s="1"/>
  <c r="X15" i="32" a="1"/>
  <c r="X15" i="32"/>
  <c r="Y15" i="32" a="1"/>
  <c r="Y15" i="32" s="1"/>
  <c r="Z15" i="32" a="1"/>
  <c r="Z15" i="32" s="1"/>
  <c r="AA15" i="32" a="1"/>
  <c r="AA15" i="32" s="1"/>
  <c r="AB15" i="32" a="1"/>
  <c r="AB15" i="32" s="1"/>
  <c r="AC15" i="32" a="1"/>
  <c r="AC15" i="32" s="1"/>
  <c r="C12" i="32" a="1"/>
  <c r="C12" i="32" s="1"/>
  <c r="C13" i="32" a="1"/>
  <c r="C13" i="32" s="1"/>
  <c r="C14" i="32" a="1"/>
  <c r="C14" i="32"/>
  <c r="C15" i="32" a="1"/>
  <c r="C15" i="32"/>
  <c r="C11" i="32" a="1"/>
  <c r="C11" i="32" s="1"/>
  <c r="D3" i="32" a="1"/>
  <c r="D3" i="32" s="1"/>
  <c r="E3" i="32" a="1"/>
  <c r="E3" i="32" s="1"/>
  <c r="D42" i="29" s="1"/>
  <c r="F3" i="32" a="1"/>
  <c r="F3" i="32" s="1"/>
  <c r="G3" i="32" a="1"/>
  <c r="G3" i="32" s="1"/>
  <c r="H3" i="32" a="1"/>
  <c r="H3" i="32"/>
  <c r="I3" i="32" a="1"/>
  <c r="I3" i="32"/>
  <c r="J3" i="32" a="1"/>
  <c r="J3" i="32" s="1"/>
  <c r="K3" i="32" a="1"/>
  <c r="K3" i="32"/>
  <c r="L3" i="32" a="1"/>
  <c r="L3" i="32"/>
  <c r="M3" i="32" a="1"/>
  <c r="M3" i="32"/>
  <c r="N3" i="32" a="1"/>
  <c r="N3" i="32"/>
  <c r="O3" i="32" a="1"/>
  <c r="O3" i="32"/>
  <c r="P3" i="32" a="1"/>
  <c r="P3" i="32" s="1"/>
  <c r="Q3" i="32" a="1"/>
  <c r="Q3" i="32" s="1"/>
  <c r="J42" i="29" s="1"/>
  <c r="R3" i="32" a="1"/>
  <c r="R3" i="32" s="1"/>
  <c r="S3" i="32" a="1"/>
  <c r="S3" i="32" s="1"/>
  <c r="T3" i="32" a="1"/>
  <c r="T3" i="32" s="1"/>
  <c r="U3" i="32" a="1"/>
  <c r="U3" i="32"/>
  <c r="V3" i="32" a="1"/>
  <c r="V3" i="32" s="1"/>
  <c r="K42" i="29" s="1"/>
  <c r="W3" i="32" a="1"/>
  <c r="W3" i="32"/>
  <c r="L42" i="29" s="1"/>
  <c r="X3" i="32" a="1"/>
  <c r="X3" i="32"/>
  <c r="N42" i="29" s="1"/>
  <c r="Y3" i="32" a="1"/>
  <c r="Y3" i="32"/>
  <c r="O42" i="29" s="1"/>
  <c r="Z3" i="32" a="1"/>
  <c r="Z3" i="32"/>
  <c r="P42" i="29" s="1"/>
  <c r="AA3" i="32" a="1"/>
  <c r="AA3" i="32"/>
  <c r="Q42" i="29" s="1"/>
  <c r="AB3" i="32" a="1"/>
  <c r="AB3" i="32" s="1"/>
  <c r="R42" i="29" s="1"/>
  <c r="AC3" i="32" a="1"/>
  <c r="AC3" i="32"/>
  <c r="S42" i="29" s="1"/>
  <c r="D4" i="32" a="1"/>
  <c r="D4" i="32" s="1"/>
  <c r="E4" i="32" a="1"/>
  <c r="E4" i="32" s="1"/>
  <c r="F4" i="32" a="1"/>
  <c r="F4" i="32" s="1"/>
  <c r="G4" i="32" a="1"/>
  <c r="G4" i="32" s="1"/>
  <c r="H4" i="32" a="1"/>
  <c r="H4" i="32" s="1"/>
  <c r="I4" i="32" a="1"/>
  <c r="I4" i="32"/>
  <c r="J4" i="32" a="1"/>
  <c r="J4" i="32"/>
  <c r="K4" i="32" a="1"/>
  <c r="K4" i="32"/>
  <c r="L4" i="32" a="1"/>
  <c r="L4" i="32"/>
  <c r="M4" i="32" a="1"/>
  <c r="M4" i="32"/>
  <c r="N4" i="32" a="1"/>
  <c r="N4" i="32" s="1"/>
  <c r="O4" i="32" a="1"/>
  <c r="O4" i="32"/>
  <c r="P4" i="32" a="1"/>
  <c r="P4" i="32"/>
  <c r="Q4" i="32" a="1"/>
  <c r="Q4" i="32" s="1"/>
  <c r="R4" i="32" a="1"/>
  <c r="R4" i="32" s="1"/>
  <c r="S4" i="32" a="1"/>
  <c r="S4" i="32" s="1"/>
  <c r="T4" i="32" a="1"/>
  <c r="T4" i="32" s="1"/>
  <c r="U4" i="32" a="1"/>
  <c r="U4" i="32"/>
  <c r="V4" i="32" a="1"/>
  <c r="V4" i="32"/>
  <c r="W4" i="32" a="1"/>
  <c r="W4" i="32"/>
  <c r="X4" i="32" a="1"/>
  <c r="X4" i="32"/>
  <c r="Y4" i="32" a="1"/>
  <c r="Y4" i="32"/>
  <c r="Z4" i="32" a="1"/>
  <c r="Z4" i="32" s="1"/>
  <c r="AA4" i="32" a="1"/>
  <c r="AA4" i="32" s="1"/>
  <c r="AB4" i="32" a="1"/>
  <c r="AB4" i="32"/>
  <c r="AC4" i="32" a="1"/>
  <c r="AC4" i="32"/>
  <c r="D5" i="32" a="1"/>
  <c r="D5" i="32" s="1"/>
  <c r="E5" i="32" a="1"/>
  <c r="E5" i="32" s="1"/>
  <c r="F5" i="32" a="1"/>
  <c r="F5" i="32" s="1"/>
  <c r="G5" i="32" a="1"/>
  <c r="G5" i="32"/>
  <c r="H5" i="32" a="1"/>
  <c r="H5" i="32"/>
  <c r="I5" i="32" a="1"/>
  <c r="I5" i="32"/>
  <c r="J5" i="32" a="1"/>
  <c r="J5" i="32"/>
  <c r="K5" i="32" a="1"/>
  <c r="K5" i="32"/>
  <c r="L5" i="32" a="1"/>
  <c r="L5" i="32" s="1"/>
  <c r="M5" i="32" a="1"/>
  <c r="M5" i="32" s="1"/>
  <c r="N5" i="32" a="1"/>
  <c r="N5" i="32" s="1"/>
  <c r="O5" i="32" a="1"/>
  <c r="O5" i="32"/>
  <c r="P5" i="32" a="1"/>
  <c r="P5" i="32"/>
  <c r="Q5" i="32" a="1"/>
  <c r="Q5" i="32" s="1"/>
  <c r="R5" i="32" a="1"/>
  <c r="R5" i="32" s="1"/>
  <c r="S5" i="32" a="1"/>
  <c r="S5" i="32"/>
  <c r="T5" i="32" a="1"/>
  <c r="T5" i="32"/>
  <c r="U5" i="32" a="1"/>
  <c r="U5" i="32"/>
  <c r="V5" i="32" a="1"/>
  <c r="V5" i="32"/>
  <c r="W5" i="32" a="1"/>
  <c r="W5" i="32"/>
  <c r="X5" i="32" a="1"/>
  <c r="X5" i="32" s="1"/>
  <c r="Y5" i="32" a="1"/>
  <c r="Y5" i="32" s="1"/>
  <c r="Z5" i="32" a="1"/>
  <c r="Z5" i="32" s="1"/>
  <c r="AA5" i="32" a="1"/>
  <c r="AA5" i="32" s="1"/>
  <c r="AB5" i="32" a="1"/>
  <c r="AB5" i="32"/>
  <c r="AC5" i="32" a="1"/>
  <c r="AC5" i="32"/>
  <c r="D6" i="32" a="1"/>
  <c r="D6" i="32" s="1"/>
  <c r="E6" i="32" a="1"/>
  <c r="E6" i="32"/>
  <c r="F6" i="32" a="1"/>
  <c r="F6" i="32"/>
  <c r="G6" i="32" a="1"/>
  <c r="G6" i="32"/>
  <c r="H6" i="32" a="1"/>
  <c r="H6" i="32"/>
  <c r="I6" i="32" a="1"/>
  <c r="I6" i="32"/>
  <c r="J6" i="32" a="1"/>
  <c r="J6" i="32" s="1"/>
  <c r="K6" i="32" a="1"/>
  <c r="K6" i="32" s="1"/>
  <c r="L6" i="32" a="1"/>
  <c r="L6" i="32" s="1"/>
  <c r="M6" i="32" a="1"/>
  <c r="M6" i="32" s="1"/>
  <c r="N6" i="32" a="1"/>
  <c r="N6" i="32" s="1"/>
  <c r="O6" i="32" a="1"/>
  <c r="O6" i="32"/>
  <c r="P6" i="32" a="1"/>
  <c r="P6" i="32" s="1"/>
  <c r="Q6" i="32" a="1"/>
  <c r="Q6" i="32"/>
  <c r="R6" i="32" a="1"/>
  <c r="R6" i="32"/>
  <c r="S6" i="32" a="1"/>
  <c r="S6" i="32"/>
  <c r="T6" i="32" a="1"/>
  <c r="T6" i="32"/>
  <c r="U6" i="32" a="1"/>
  <c r="U6" i="32"/>
  <c r="V6" i="32" a="1"/>
  <c r="V6" i="32" s="1"/>
  <c r="W6" i="32" a="1"/>
  <c r="W6" i="32"/>
  <c r="X6" i="32" a="1"/>
  <c r="X6" i="32" s="1"/>
  <c r="Y6" i="32" a="1"/>
  <c r="Y6" i="32" s="1"/>
  <c r="Z6" i="32" a="1"/>
  <c r="Z6" i="32" s="1"/>
  <c r="AA6" i="32" a="1"/>
  <c r="AA6" i="32" s="1"/>
  <c r="AB6" i="32" a="1"/>
  <c r="AB6" i="32" s="1"/>
  <c r="AC6" i="32" a="1"/>
  <c r="AC6" i="32"/>
  <c r="D7" i="32" a="1"/>
  <c r="D7" i="32"/>
  <c r="E7" i="32" a="1"/>
  <c r="E7" i="32"/>
  <c r="F7" i="32" a="1"/>
  <c r="F7" i="32"/>
  <c r="G7" i="32" a="1"/>
  <c r="G7" i="32"/>
  <c r="H7" i="32" a="1"/>
  <c r="H7" i="32" s="1"/>
  <c r="I7" i="32" a="1"/>
  <c r="I7" i="32"/>
  <c r="J7" i="32" a="1"/>
  <c r="J7" i="32"/>
  <c r="K7" i="32" a="1"/>
  <c r="K7" i="32" s="1"/>
  <c r="L7" i="32" a="1"/>
  <c r="L7" i="32" s="1"/>
  <c r="M7" i="32" a="1"/>
  <c r="M7" i="32" s="1"/>
  <c r="N7" i="32" a="1"/>
  <c r="N7" i="32" s="1"/>
  <c r="O7" i="32" a="1"/>
  <c r="O7" i="32"/>
  <c r="P7" i="32" a="1"/>
  <c r="P7" i="32"/>
  <c r="Q7" i="32" a="1"/>
  <c r="Q7" i="32"/>
  <c r="R7" i="32" a="1"/>
  <c r="R7" i="32"/>
  <c r="S7" i="32" a="1"/>
  <c r="S7" i="32"/>
  <c r="T7" i="32" a="1"/>
  <c r="T7" i="32" s="1"/>
  <c r="U7" i="32" a="1"/>
  <c r="U7" i="32" s="1"/>
  <c r="V7" i="32" a="1"/>
  <c r="V7" i="32"/>
  <c r="W7" i="32" a="1"/>
  <c r="W7" i="32"/>
  <c r="X7" i="32" a="1"/>
  <c r="X7" i="32" s="1"/>
  <c r="Y7" i="32" a="1"/>
  <c r="Y7" i="32" s="1"/>
  <c r="Z7" i="32" a="1"/>
  <c r="Z7" i="32" s="1"/>
  <c r="AA7" i="32" a="1"/>
  <c r="AA7" i="32"/>
  <c r="AB7" i="32" a="1"/>
  <c r="AB7" i="32"/>
  <c r="AC7" i="32" a="1"/>
  <c r="AC7" i="32"/>
  <c r="C4" i="32" a="1"/>
  <c r="C4" i="32" s="1"/>
  <c r="C5" i="32" a="1"/>
  <c r="C5" i="32" s="1"/>
  <c r="C6" i="32" a="1"/>
  <c r="C6" i="32" s="1"/>
  <c r="C7" i="32" a="1"/>
  <c r="C7" i="32" s="1"/>
  <c r="C3" i="32" a="1"/>
  <c r="C3" i="32" s="1"/>
  <c r="W10" i="32"/>
  <c r="X10" i="32"/>
  <c r="Y10" i="32"/>
  <c r="Z10" i="32"/>
  <c r="AA10" i="32"/>
  <c r="AB10" i="32"/>
  <c r="AC10" i="32"/>
  <c r="W18" i="32"/>
  <c r="X18" i="32"/>
  <c r="Y18" i="32"/>
  <c r="Z18" i="32"/>
  <c r="AA18" i="32"/>
  <c r="AB18" i="32"/>
  <c r="AC18" i="32"/>
  <c r="W26" i="32"/>
  <c r="X26" i="32"/>
  <c r="Y26" i="32"/>
  <c r="Z26" i="32"/>
  <c r="AA26" i="32"/>
  <c r="AB26" i="32"/>
  <c r="AC26" i="32"/>
  <c r="X76" i="32"/>
  <c r="Y76" i="32"/>
  <c r="Z76" i="32"/>
  <c r="AA76" i="32"/>
  <c r="AB76" i="32"/>
  <c r="AC76" i="32"/>
  <c r="X77" i="32"/>
  <c r="Z77" i="32"/>
  <c r="AA77" i="32"/>
  <c r="AB77" i="32"/>
  <c r="X78" i="32"/>
  <c r="Y78" i="32"/>
  <c r="Z78" i="32"/>
  <c r="AA78" i="32"/>
  <c r="AB78" i="32"/>
  <c r="X79" i="32"/>
  <c r="Z79" i="32"/>
  <c r="AA79" i="32"/>
  <c r="AB79" i="32"/>
  <c r="AC79" i="32"/>
  <c r="W34" i="32"/>
  <c r="X34" i="32"/>
  <c r="Y34" i="32"/>
  <c r="Z34" i="32"/>
  <c r="AA34" i="32"/>
  <c r="AB34" i="32"/>
  <c r="AC34" i="32"/>
  <c r="W42" i="32"/>
  <c r="X42" i="32"/>
  <c r="Y42" i="32"/>
  <c r="Z42" i="32"/>
  <c r="AA42" i="32"/>
  <c r="AB42" i="32"/>
  <c r="AC42" i="32"/>
  <c r="W50" i="32"/>
  <c r="X50" i="32"/>
  <c r="Y50" i="32"/>
  <c r="Z50" i="32"/>
  <c r="AA50" i="32"/>
  <c r="AB50" i="32"/>
  <c r="AC50" i="32"/>
  <c r="W58" i="32"/>
  <c r="X58" i="32"/>
  <c r="Y58" i="32"/>
  <c r="Z58" i="32"/>
  <c r="AA58" i="32"/>
  <c r="AB58" i="32"/>
  <c r="AC58" i="32"/>
  <c r="W66" i="32"/>
  <c r="X66" i="32"/>
  <c r="Y66" i="32"/>
  <c r="Z66" i="32"/>
  <c r="AA66" i="32"/>
  <c r="AB66" i="32"/>
  <c r="AC66" i="32"/>
  <c r="W74" i="32"/>
  <c r="X74" i="32"/>
  <c r="Y74" i="32"/>
  <c r="Z74" i="32"/>
  <c r="AA74" i="32"/>
  <c r="AB74" i="32"/>
  <c r="AC74" i="32"/>
  <c r="W76" i="32"/>
  <c r="W77" i="32"/>
  <c r="Y77" i="32"/>
  <c r="AC77" i="32"/>
  <c r="W78" i="32"/>
  <c r="AC78" i="32"/>
  <c r="W79" i="32"/>
  <c r="Y79" i="32"/>
  <c r="V80" i="32"/>
  <c r="T80" i="32"/>
  <c r="S80" i="32"/>
  <c r="O80" i="32"/>
  <c r="N80" i="32"/>
  <c r="M80" i="32"/>
  <c r="D80" i="32"/>
  <c r="V79" i="32"/>
  <c r="S79" i="32"/>
  <c r="P79" i="32"/>
  <c r="O79" i="32"/>
  <c r="J79" i="32"/>
  <c r="I79" i="32"/>
  <c r="G79" i="32"/>
  <c r="D79" i="32"/>
  <c r="C79" i="32"/>
  <c r="U78" i="32"/>
  <c r="S78" i="32"/>
  <c r="R78" i="32"/>
  <c r="O78" i="32"/>
  <c r="N78" i="32"/>
  <c r="M78" i="32"/>
  <c r="L78" i="32"/>
  <c r="I78" i="32"/>
  <c r="G78" i="32"/>
  <c r="C78" i="32"/>
  <c r="U77" i="32"/>
  <c r="T77" i="32"/>
  <c r="R77" i="32"/>
  <c r="Q77" i="32"/>
  <c r="O77" i="32"/>
  <c r="N77" i="32"/>
  <c r="L77" i="32"/>
  <c r="K77" i="32"/>
  <c r="I77" i="32"/>
  <c r="F77" i="32"/>
  <c r="E77" i="32"/>
  <c r="D77" i="32"/>
  <c r="C77" i="32"/>
  <c r="U76" i="32"/>
  <c r="T76" i="32"/>
  <c r="N76" i="32"/>
  <c r="M76" i="32"/>
  <c r="I76" i="32"/>
  <c r="G76" i="32"/>
  <c r="C76" i="32"/>
  <c r="F95" i="32"/>
  <c r="E95" i="32"/>
  <c r="B95" i="32"/>
  <c r="A84" i="32"/>
  <c r="B84" i="32" s="1"/>
  <c r="A83" i="32"/>
  <c r="B80" i="32"/>
  <c r="B79" i="32"/>
  <c r="B78" i="32"/>
  <c r="B77" i="32"/>
  <c r="B76" i="32"/>
  <c r="V74" i="32"/>
  <c r="U74" i="32"/>
  <c r="T74" i="32"/>
  <c r="S74" i="32"/>
  <c r="R74" i="32"/>
  <c r="Q74" i="32"/>
  <c r="P74" i="32"/>
  <c r="O74" i="32"/>
  <c r="N74" i="32"/>
  <c r="M74" i="32"/>
  <c r="L74" i="32"/>
  <c r="K74" i="32"/>
  <c r="J74" i="32"/>
  <c r="I74" i="32"/>
  <c r="H74" i="32"/>
  <c r="G74" i="32"/>
  <c r="F74" i="32"/>
  <c r="E74" i="32"/>
  <c r="D74" i="32"/>
  <c r="C74" i="32"/>
  <c r="B71" i="32"/>
  <c r="B70" i="32"/>
  <c r="B69" i="32"/>
  <c r="B68" i="32"/>
  <c r="B67" i="32"/>
  <c r="V66" i="32"/>
  <c r="U66" i="32"/>
  <c r="T66" i="32"/>
  <c r="S66" i="32"/>
  <c r="R66" i="32"/>
  <c r="Q66" i="32"/>
  <c r="P66" i="32"/>
  <c r="O66" i="32"/>
  <c r="N66" i="32"/>
  <c r="M66" i="32"/>
  <c r="L66" i="32"/>
  <c r="K66" i="32"/>
  <c r="J66" i="32"/>
  <c r="I66" i="32"/>
  <c r="H66" i="32"/>
  <c r="G66" i="32"/>
  <c r="F66" i="32"/>
  <c r="E66" i="32"/>
  <c r="D66" i="32"/>
  <c r="C66" i="32"/>
  <c r="B63" i="32"/>
  <c r="B62" i="32"/>
  <c r="B61" i="32"/>
  <c r="B60" i="32"/>
  <c r="B59" i="32"/>
  <c r="V58" i="32"/>
  <c r="U58" i="32"/>
  <c r="T58" i="32"/>
  <c r="S58" i="32"/>
  <c r="R58" i="32"/>
  <c r="Q58" i="32"/>
  <c r="P58" i="32"/>
  <c r="O58" i="32"/>
  <c r="N58" i="32"/>
  <c r="M58" i="32"/>
  <c r="L58" i="32"/>
  <c r="K58" i="32"/>
  <c r="J58" i="32"/>
  <c r="I58" i="32"/>
  <c r="H58" i="32"/>
  <c r="G58" i="32"/>
  <c r="F58" i="32"/>
  <c r="E58" i="32"/>
  <c r="D58" i="32"/>
  <c r="C58" i="32"/>
  <c r="B55" i="32"/>
  <c r="B54" i="32"/>
  <c r="B53" i="32"/>
  <c r="B52" i="32"/>
  <c r="B51" i="32"/>
  <c r="V50" i="32"/>
  <c r="U50" i="32"/>
  <c r="T50" i="32"/>
  <c r="S50" i="32"/>
  <c r="R50" i="32"/>
  <c r="Q50" i="32"/>
  <c r="P50" i="32"/>
  <c r="O50" i="32"/>
  <c r="N50" i="32"/>
  <c r="M50" i="32"/>
  <c r="L50" i="32"/>
  <c r="K50" i="32"/>
  <c r="J50" i="32"/>
  <c r="I50" i="32"/>
  <c r="H50" i="32"/>
  <c r="G50" i="32"/>
  <c r="F50" i="32"/>
  <c r="E50" i="32"/>
  <c r="D50" i="32"/>
  <c r="C50" i="32"/>
  <c r="B47" i="32"/>
  <c r="B46" i="32"/>
  <c r="B45" i="32"/>
  <c r="B44" i="32"/>
  <c r="B43" i="32"/>
  <c r="V42" i="32"/>
  <c r="U42" i="32"/>
  <c r="T42" i="32"/>
  <c r="S42" i="32"/>
  <c r="R42" i="32"/>
  <c r="Q42" i="32"/>
  <c r="P42" i="32"/>
  <c r="O42" i="32"/>
  <c r="N42" i="32"/>
  <c r="M42" i="32"/>
  <c r="L42" i="32"/>
  <c r="K42" i="32"/>
  <c r="J42" i="32"/>
  <c r="I42" i="32"/>
  <c r="H42" i="32"/>
  <c r="G42" i="32"/>
  <c r="F42" i="32"/>
  <c r="E42" i="32"/>
  <c r="D42" i="32"/>
  <c r="C42" i="32"/>
  <c r="B39" i="32"/>
  <c r="B38" i="32"/>
  <c r="B37" i="32"/>
  <c r="B36" i="32"/>
  <c r="B35" i="32"/>
  <c r="V34" i="32"/>
  <c r="U34" i="32"/>
  <c r="T34" i="32"/>
  <c r="S34" i="32"/>
  <c r="R34" i="32"/>
  <c r="Q34" i="32"/>
  <c r="P34" i="32"/>
  <c r="O34" i="32"/>
  <c r="N34" i="32"/>
  <c r="M34" i="32"/>
  <c r="L34" i="32"/>
  <c r="K34" i="32"/>
  <c r="J34" i="32"/>
  <c r="I34" i="32"/>
  <c r="H34" i="32"/>
  <c r="G34" i="32"/>
  <c r="F34" i="32"/>
  <c r="E34" i="32"/>
  <c r="D34" i="32"/>
  <c r="C34" i="32"/>
  <c r="P80" i="32"/>
  <c r="J80" i="32"/>
  <c r="I80" i="32"/>
  <c r="B31" i="32"/>
  <c r="R79" i="32"/>
  <c r="F79" i="32"/>
  <c r="B30" i="32"/>
  <c r="H78" i="32"/>
  <c r="F78" i="32"/>
  <c r="B29" i="32"/>
  <c r="H77" i="32"/>
  <c r="B28" i="32"/>
  <c r="R76" i="32"/>
  <c r="L76" i="32"/>
  <c r="K76" i="32"/>
  <c r="J76" i="32"/>
  <c r="F76" i="32"/>
  <c r="E76" i="32"/>
  <c r="B27" i="32"/>
  <c r="V26" i="32"/>
  <c r="U26" i="32"/>
  <c r="T26" i="32"/>
  <c r="S26" i="32"/>
  <c r="R26" i="32"/>
  <c r="Q26" i="32"/>
  <c r="P26" i="32"/>
  <c r="O26" i="32"/>
  <c r="N26" i="32"/>
  <c r="M26" i="32"/>
  <c r="L26" i="32"/>
  <c r="K26" i="32"/>
  <c r="J26" i="32"/>
  <c r="I26" i="32"/>
  <c r="H26" i="32"/>
  <c r="G26" i="32"/>
  <c r="F26" i="32"/>
  <c r="E26" i="32"/>
  <c r="D26" i="32"/>
  <c r="C26" i="32"/>
  <c r="B23" i="32"/>
  <c r="B22" i="32"/>
  <c r="B21" i="32"/>
  <c r="B20" i="32"/>
  <c r="B19" i="32"/>
  <c r="V18" i="32"/>
  <c r="U18" i="32"/>
  <c r="T18" i="32"/>
  <c r="S18" i="32"/>
  <c r="R18" i="32"/>
  <c r="Q18" i="32"/>
  <c r="P18" i="32"/>
  <c r="O18" i="32"/>
  <c r="N18" i="32"/>
  <c r="M18" i="32"/>
  <c r="L18" i="32"/>
  <c r="K18" i="32"/>
  <c r="J18" i="32"/>
  <c r="I18" i="32"/>
  <c r="H18" i="32"/>
  <c r="G18" i="32"/>
  <c r="F18" i="32"/>
  <c r="E18" i="32"/>
  <c r="D18" i="32"/>
  <c r="C18" i="32"/>
  <c r="B15" i="32"/>
  <c r="B14" i="32"/>
  <c r="B13" i="32"/>
  <c r="B12" i="32"/>
  <c r="B11" i="32"/>
  <c r="V10" i="32"/>
  <c r="U10" i="32"/>
  <c r="T10" i="32"/>
  <c r="S10" i="32"/>
  <c r="R10" i="32"/>
  <c r="Q10" i="32"/>
  <c r="P10" i="32"/>
  <c r="O10" i="32"/>
  <c r="N10" i="32"/>
  <c r="M10" i="32"/>
  <c r="L10" i="32"/>
  <c r="K10" i="32"/>
  <c r="J10" i="32"/>
  <c r="I10" i="32"/>
  <c r="H10" i="32"/>
  <c r="G10" i="32"/>
  <c r="F10" i="32"/>
  <c r="E10" i="32"/>
  <c r="D10" i="32"/>
  <c r="C10" i="32"/>
  <c r="D30" i="30"/>
  <c r="F30" i="30"/>
  <c r="G30" i="30"/>
  <c r="E30" i="30"/>
  <c r="E32" i="30" s="1"/>
  <c r="C32" i="30"/>
  <c r="D32" i="30"/>
  <c r="F32" i="30"/>
  <c r="G32" i="30"/>
  <c r="B32" i="30"/>
  <c r="C30" i="30"/>
  <c r="B30" i="30"/>
  <c r="G31" i="30"/>
  <c r="C33" i="30"/>
  <c r="D33" i="30"/>
  <c r="E33" i="30"/>
  <c r="F33" i="30"/>
  <c r="G33" i="30"/>
  <c r="D31" i="30"/>
  <c r="F31" i="30"/>
  <c r="E31" i="30"/>
  <c r="B33" i="30"/>
  <c r="C31" i="30"/>
  <c r="B31" i="30"/>
  <c r="X27" i="16" a="1"/>
  <c r="X27" i="16" s="1"/>
  <c r="U117" i="29"/>
  <c r="T117" i="29"/>
  <c r="S117" i="29"/>
  <c r="R117" i="29"/>
  <c r="Q117" i="29"/>
  <c r="P117" i="29"/>
  <c r="O117" i="29"/>
  <c r="N117" i="29"/>
  <c r="M117" i="29"/>
  <c r="L117" i="29"/>
  <c r="K117" i="29"/>
  <c r="J117" i="29"/>
  <c r="I117" i="29"/>
  <c r="H117" i="29"/>
  <c r="G117" i="29"/>
  <c r="F117" i="29"/>
  <c r="E117" i="29"/>
  <c r="D117" i="29"/>
  <c r="C117" i="29"/>
  <c r="B117" i="29"/>
  <c r="P115" i="29"/>
  <c r="O115" i="29"/>
  <c r="N115" i="29"/>
  <c r="M115" i="29"/>
  <c r="L115" i="29"/>
  <c r="J115" i="29"/>
  <c r="B115" i="29"/>
  <c r="U114" i="29"/>
  <c r="U116" i="29" s="1"/>
  <c r="T114" i="29"/>
  <c r="S114" i="29"/>
  <c r="R114" i="29"/>
  <c r="Q114" i="29"/>
  <c r="Q118" i="29" s="1"/>
  <c r="P114" i="29"/>
  <c r="P118" i="29" s="1"/>
  <c r="O114" i="29"/>
  <c r="O118" i="29" s="1"/>
  <c r="N114" i="29"/>
  <c r="N118" i="29" s="1"/>
  <c r="M114" i="29"/>
  <c r="M116" i="29" s="1"/>
  <c r="L114" i="29"/>
  <c r="L118" i="29" s="1"/>
  <c r="K114" i="29"/>
  <c r="K126" i="29" s="1"/>
  <c r="J114" i="29"/>
  <c r="J116" i="29" s="1"/>
  <c r="I114" i="29"/>
  <c r="I116" i="29" s="1"/>
  <c r="H114" i="29"/>
  <c r="H118" i="29" s="1"/>
  <c r="G114" i="29"/>
  <c r="F114" i="29"/>
  <c r="E114" i="29"/>
  <c r="E118" i="29" s="1"/>
  <c r="D114" i="29"/>
  <c r="C114" i="29"/>
  <c r="C118" i="29" s="1"/>
  <c r="B114" i="29"/>
  <c r="B116" i="29" s="1"/>
  <c r="U98" i="29"/>
  <c r="T98" i="29"/>
  <c r="S98" i="29"/>
  <c r="R98" i="29"/>
  <c r="Q98" i="29"/>
  <c r="P98" i="29"/>
  <c r="O98" i="29"/>
  <c r="N98" i="29"/>
  <c r="M98" i="29"/>
  <c r="L98" i="29"/>
  <c r="K98" i="29"/>
  <c r="J98" i="29"/>
  <c r="I98" i="29"/>
  <c r="H98" i="29"/>
  <c r="G98" i="29"/>
  <c r="F98" i="29"/>
  <c r="E98" i="29"/>
  <c r="D98" i="29"/>
  <c r="C98" i="29"/>
  <c r="B98" i="29"/>
  <c r="T96" i="29"/>
  <c r="S96" i="29"/>
  <c r="R96" i="29"/>
  <c r="L96" i="29"/>
  <c r="G96" i="29"/>
  <c r="F96" i="29"/>
  <c r="E96" i="29"/>
  <c r="D96" i="29"/>
  <c r="C96" i="29"/>
  <c r="B96" i="29"/>
  <c r="U95" i="29"/>
  <c r="U97" i="29" s="1"/>
  <c r="T95" i="29"/>
  <c r="T97" i="29" s="1"/>
  <c r="S95" i="29"/>
  <c r="S99" i="29" s="1"/>
  <c r="R95" i="29"/>
  <c r="R97" i="29" s="1"/>
  <c r="Q95" i="29"/>
  <c r="Q97" i="29" s="1"/>
  <c r="P95" i="29"/>
  <c r="P97" i="29" s="1"/>
  <c r="O95" i="29"/>
  <c r="O97" i="29" s="1"/>
  <c r="N95" i="29"/>
  <c r="N101" i="29" s="1"/>
  <c r="M95" i="29"/>
  <c r="M101" i="29" s="1"/>
  <c r="L95" i="29"/>
  <c r="L101" i="29" s="1"/>
  <c r="K95" i="29"/>
  <c r="K107" i="29" s="1"/>
  <c r="J95" i="29"/>
  <c r="J103" i="29" s="1"/>
  <c r="I95" i="29"/>
  <c r="I97" i="29" s="1"/>
  <c r="H95" i="29"/>
  <c r="H99" i="29" s="1"/>
  <c r="G95" i="29"/>
  <c r="G99" i="29" s="1"/>
  <c r="F95" i="29"/>
  <c r="F99" i="29" s="1"/>
  <c r="E95" i="29"/>
  <c r="E97" i="29" s="1"/>
  <c r="D95" i="29"/>
  <c r="D99" i="29" s="1"/>
  <c r="C95" i="29"/>
  <c r="C97" i="29" s="1"/>
  <c r="B95" i="29"/>
  <c r="B97" i="29" s="1"/>
  <c r="U79" i="29"/>
  <c r="T79" i="29"/>
  <c r="S79" i="29"/>
  <c r="R79" i="29"/>
  <c r="Q79" i="29"/>
  <c r="P79" i="29"/>
  <c r="O79" i="29"/>
  <c r="N79" i="29"/>
  <c r="M79" i="29"/>
  <c r="L79" i="29"/>
  <c r="K79" i="29"/>
  <c r="J79" i="29"/>
  <c r="I79" i="29"/>
  <c r="H79" i="29"/>
  <c r="G79" i="29"/>
  <c r="F79" i="29"/>
  <c r="E79" i="29"/>
  <c r="D79" i="29"/>
  <c r="C79" i="29"/>
  <c r="B79" i="29"/>
  <c r="T77" i="29"/>
  <c r="P77" i="29"/>
  <c r="M77" i="29"/>
  <c r="L77" i="29"/>
  <c r="K77" i="29"/>
  <c r="J77" i="29"/>
  <c r="I77" i="29"/>
  <c r="D77" i="29"/>
  <c r="U76" i="29"/>
  <c r="U78" i="29" s="1"/>
  <c r="T76" i="29"/>
  <c r="T88" i="29" s="1"/>
  <c r="S76" i="29"/>
  <c r="S88" i="29" s="1"/>
  <c r="R76" i="29"/>
  <c r="R88" i="29" s="1"/>
  <c r="Q76" i="29"/>
  <c r="Q78" i="29" s="1"/>
  <c r="P76" i="29"/>
  <c r="P84" i="29" s="1"/>
  <c r="O76" i="29"/>
  <c r="O82" i="29" s="1"/>
  <c r="N76" i="29"/>
  <c r="N86" i="29" s="1"/>
  <c r="M76" i="29"/>
  <c r="M86" i="29" s="1"/>
  <c r="L76" i="29"/>
  <c r="L80" i="29" s="1"/>
  <c r="K76" i="29"/>
  <c r="K86" i="29" s="1"/>
  <c r="J76" i="29"/>
  <c r="J80" i="29" s="1"/>
  <c r="I76" i="29"/>
  <c r="I84" i="29" s="1"/>
  <c r="H76" i="29"/>
  <c r="H80" i="29" s="1"/>
  <c r="G76" i="29"/>
  <c r="G88" i="29" s="1"/>
  <c r="F76" i="29"/>
  <c r="F88" i="29" s="1"/>
  <c r="E76" i="29"/>
  <c r="E80" i="29" s="1"/>
  <c r="D76" i="29"/>
  <c r="D80" i="29" s="1"/>
  <c r="C76" i="29"/>
  <c r="C86" i="29" s="1"/>
  <c r="B76" i="29"/>
  <c r="B78" i="29" s="1"/>
  <c r="U60" i="29"/>
  <c r="T60" i="29"/>
  <c r="S60" i="29"/>
  <c r="R60" i="29"/>
  <c r="Q60" i="29"/>
  <c r="P60" i="29"/>
  <c r="O60" i="29"/>
  <c r="N60" i="29"/>
  <c r="M60" i="29"/>
  <c r="L60" i="29"/>
  <c r="K60" i="29"/>
  <c r="J60" i="29"/>
  <c r="I60" i="29"/>
  <c r="H60" i="29"/>
  <c r="G60" i="29"/>
  <c r="F60" i="29"/>
  <c r="E60" i="29"/>
  <c r="D60" i="29"/>
  <c r="C60" i="29"/>
  <c r="B60" i="29"/>
  <c r="P58" i="29"/>
  <c r="M58" i="29"/>
  <c r="L58" i="29"/>
  <c r="J58" i="29"/>
  <c r="H58" i="29"/>
  <c r="E58" i="29"/>
  <c r="D58" i="29"/>
  <c r="U57" i="29"/>
  <c r="U61" i="29" s="1"/>
  <c r="T57" i="29"/>
  <c r="T59" i="29" s="1"/>
  <c r="S57" i="29"/>
  <c r="S61" i="29" s="1"/>
  <c r="R57" i="29"/>
  <c r="R61" i="29" s="1"/>
  <c r="Q57" i="29"/>
  <c r="Q59" i="29" s="1"/>
  <c r="P57" i="29"/>
  <c r="P59" i="29" s="1"/>
  <c r="O57" i="29"/>
  <c r="O59" i="29" s="1"/>
  <c r="N57" i="29"/>
  <c r="N59" i="29" s="1"/>
  <c r="M57" i="29"/>
  <c r="M69" i="29" s="1"/>
  <c r="L57" i="29"/>
  <c r="L69" i="29" s="1"/>
  <c r="K57" i="29"/>
  <c r="K59" i="29" s="1"/>
  <c r="J57" i="29"/>
  <c r="J59" i="29" s="1"/>
  <c r="I57" i="29"/>
  <c r="I61" i="29" s="1"/>
  <c r="H57" i="29"/>
  <c r="H59" i="29" s="1"/>
  <c r="G57" i="29"/>
  <c r="G61" i="29" s="1"/>
  <c r="F57" i="29"/>
  <c r="F61" i="29" s="1"/>
  <c r="E57" i="29"/>
  <c r="E61" i="29" s="1"/>
  <c r="D57" i="29"/>
  <c r="D59" i="29" s="1"/>
  <c r="C57" i="29"/>
  <c r="C59" i="29" s="1"/>
  <c r="B57" i="29"/>
  <c r="B59" i="29" s="1"/>
  <c r="U40" i="29"/>
  <c r="T40" i="29"/>
  <c r="S40" i="29"/>
  <c r="R40" i="29"/>
  <c r="Q40" i="29"/>
  <c r="P40" i="29"/>
  <c r="O40" i="29"/>
  <c r="N40" i="29"/>
  <c r="M40" i="29"/>
  <c r="L40" i="29"/>
  <c r="K40" i="29"/>
  <c r="J40" i="29"/>
  <c r="I40" i="29"/>
  <c r="H40" i="29"/>
  <c r="G40" i="29"/>
  <c r="F40" i="29"/>
  <c r="E40" i="29"/>
  <c r="D40" i="29"/>
  <c r="C40" i="29"/>
  <c r="B40" i="29"/>
  <c r="U38" i="29"/>
  <c r="S38" i="29"/>
  <c r="N38" i="29"/>
  <c r="I38" i="29"/>
  <c r="H38" i="29"/>
  <c r="G38" i="29"/>
  <c r="F38" i="29"/>
  <c r="E38" i="29"/>
  <c r="U37" i="29"/>
  <c r="U39" i="29" s="1"/>
  <c r="T37" i="29"/>
  <c r="T39" i="29" s="1"/>
  <c r="S37" i="29"/>
  <c r="S41" i="29" s="1"/>
  <c r="R37" i="29"/>
  <c r="R41" i="29" s="1"/>
  <c r="Q37" i="29"/>
  <c r="Q39" i="29" s="1"/>
  <c r="P37" i="29"/>
  <c r="P39" i="29" s="1"/>
  <c r="O37" i="29"/>
  <c r="O49" i="29" s="1"/>
  <c r="N37" i="29"/>
  <c r="N45" i="29" s="1"/>
  <c r="M37" i="29"/>
  <c r="M39" i="29" s="1"/>
  <c r="L37" i="29"/>
  <c r="L41" i="29" s="1"/>
  <c r="K37" i="29"/>
  <c r="K41" i="29" s="1"/>
  <c r="J37" i="29"/>
  <c r="J41" i="29" s="1"/>
  <c r="I37" i="29"/>
  <c r="I41" i="29" s="1"/>
  <c r="H37" i="29"/>
  <c r="H41" i="29" s="1"/>
  <c r="G37" i="29"/>
  <c r="G41" i="29" s="1"/>
  <c r="F37" i="29"/>
  <c r="F41" i="29" s="1"/>
  <c r="E37" i="29"/>
  <c r="E43" i="29" s="1"/>
  <c r="D37" i="29"/>
  <c r="D41" i="29" s="1"/>
  <c r="C37" i="29"/>
  <c r="C49" i="29" s="1"/>
  <c r="B37" i="29"/>
  <c r="B39" i="29" s="1"/>
  <c r="V75" i="21"/>
  <c r="U75" i="21"/>
  <c r="T75" i="21"/>
  <c r="S75" i="21"/>
  <c r="R75" i="21"/>
  <c r="Q75" i="21"/>
  <c r="P75" i="21"/>
  <c r="O75" i="21"/>
  <c r="N75" i="21"/>
  <c r="M75" i="21"/>
  <c r="L75" i="21"/>
  <c r="K75" i="21"/>
  <c r="J75" i="21"/>
  <c r="I75" i="21"/>
  <c r="H75" i="21"/>
  <c r="G75" i="21"/>
  <c r="F75" i="21"/>
  <c r="E75" i="21"/>
  <c r="D75" i="21"/>
  <c r="C75" i="21"/>
  <c r="V57" i="21"/>
  <c r="U57" i="21"/>
  <c r="T57" i="21"/>
  <c r="S57" i="21"/>
  <c r="R57" i="21"/>
  <c r="Q57" i="21"/>
  <c r="P57" i="21"/>
  <c r="O57" i="21"/>
  <c r="N57" i="21"/>
  <c r="M57" i="21"/>
  <c r="L57" i="21"/>
  <c r="K57" i="21"/>
  <c r="J57" i="21"/>
  <c r="I57" i="21"/>
  <c r="H57" i="21"/>
  <c r="G57" i="21"/>
  <c r="F57" i="21"/>
  <c r="E57" i="21"/>
  <c r="D57" i="21"/>
  <c r="C57" i="21"/>
  <c r="V48" i="21"/>
  <c r="U48" i="21"/>
  <c r="T48" i="21"/>
  <c r="S48" i="21"/>
  <c r="R48" i="21"/>
  <c r="Q48" i="21"/>
  <c r="P48" i="21"/>
  <c r="O48" i="21"/>
  <c r="N48" i="21"/>
  <c r="M48" i="21"/>
  <c r="L48" i="21"/>
  <c r="K48" i="21"/>
  <c r="J48" i="21"/>
  <c r="I48" i="21"/>
  <c r="H48" i="21"/>
  <c r="G48" i="21"/>
  <c r="F48" i="21"/>
  <c r="E48" i="21"/>
  <c r="D48" i="21"/>
  <c r="C48" i="21"/>
  <c r="V39" i="21"/>
  <c r="U39" i="21"/>
  <c r="T39" i="21"/>
  <c r="S39" i="21"/>
  <c r="R39" i="21"/>
  <c r="Q39" i="21"/>
  <c r="P39" i="21"/>
  <c r="O39" i="21"/>
  <c r="N39" i="21"/>
  <c r="M39" i="21"/>
  <c r="L39" i="21"/>
  <c r="K39" i="21"/>
  <c r="J39" i="21"/>
  <c r="I39" i="21"/>
  <c r="H39" i="21"/>
  <c r="G39" i="21"/>
  <c r="F39" i="21"/>
  <c r="E39" i="21"/>
  <c r="D39" i="21"/>
  <c r="C39" i="21"/>
  <c r="V30" i="21"/>
  <c r="U30" i="21"/>
  <c r="T30" i="21"/>
  <c r="S30" i="21"/>
  <c r="R30" i="21"/>
  <c r="Q30" i="21"/>
  <c r="P30" i="21"/>
  <c r="O30" i="21"/>
  <c r="N30" i="21"/>
  <c r="M30" i="21"/>
  <c r="L30" i="21"/>
  <c r="K30" i="21"/>
  <c r="J30" i="21"/>
  <c r="I30" i="21"/>
  <c r="H30" i="21"/>
  <c r="G30" i="21"/>
  <c r="F30" i="21"/>
  <c r="E30" i="21"/>
  <c r="D30" i="21"/>
  <c r="C30" i="21"/>
  <c r="V21" i="21"/>
  <c r="U21" i="21"/>
  <c r="T21" i="21"/>
  <c r="S21" i="21"/>
  <c r="R21" i="21"/>
  <c r="Q21" i="21"/>
  <c r="P21" i="21"/>
  <c r="O21" i="21"/>
  <c r="N21" i="21"/>
  <c r="M21" i="21"/>
  <c r="L21" i="21"/>
  <c r="K21" i="21"/>
  <c r="J21" i="21"/>
  <c r="I21" i="21"/>
  <c r="H21" i="21"/>
  <c r="G21" i="21"/>
  <c r="F21" i="21"/>
  <c r="E21" i="21"/>
  <c r="D21" i="21"/>
  <c r="C21" i="21"/>
  <c r="C12" i="21"/>
  <c r="D12" i="21"/>
  <c r="E12" i="21"/>
  <c r="F12" i="21"/>
  <c r="G12" i="21"/>
  <c r="H12" i="21"/>
  <c r="I12" i="21"/>
  <c r="J12" i="21"/>
  <c r="K12" i="21"/>
  <c r="L12" i="21"/>
  <c r="M12" i="21"/>
  <c r="N12" i="21"/>
  <c r="O12" i="21"/>
  <c r="P12" i="21"/>
  <c r="Q12" i="21"/>
  <c r="R12" i="21"/>
  <c r="S12" i="21"/>
  <c r="T12" i="21"/>
  <c r="U12" i="21"/>
  <c r="V12" i="21"/>
  <c r="J16" i="28"/>
  <c r="U16" i="28"/>
  <c r="V16" i="28"/>
  <c r="T10" i="28"/>
  <c r="U10" i="28"/>
  <c r="S10" i="28"/>
  <c r="V79" i="27" a="1"/>
  <c r="V79" i="27" s="1"/>
  <c r="U79" i="27" a="1"/>
  <c r="U79" i="27" s="1"/>
  <c r="T79" i="27" a="1"/>
  <c r="T79" i="27" s="1"/>
  <c r="S79" i="27" a="1"/>
  <c r="S79" i="27" s="1"/>
  <c r="R79" i="27" a="1"/>
  <c r="R79" i="27" s="1"/>
  <c r="Q79" i="27" a="1"/>
  <c r="Q79" i="27" s="1"/>
  <c r="P79" i="27" a="1"/>
  <c r="P79" i="27" s="1"/>
  <c r="O79" i="27" a="1"/>
  <c r="O79" i="27" s="1"/>
  <c r="N79" i="27" a="1"/>
  <c r="N79" i="27" s="1"/>
  <c r="M79" i="27" a="1"/>
  <c r="M79" i="27" s="1"/>
  <c r="L79" i="27" a="1"/>
  <c r="L79" i="27" s="1"/>
  <c r="K79" i="27" a="1"/>
  <c r="K79" i="27" s="1"/>
  <c r="J79" i="27" a="1"/>
  <c r="J79" i="27" s="1"/>
  <c r="I79" i="27" a="1"/>
  <c r="I79" i="27" s="1"/>
  <c r="H79" i="27" a="1"/>
  <c r="H79" i="27" s="1"/>
  <c r="G79" i="27" a="1"/>
  <c r="G79" i="27" s="1"/>
  <c r="F79" i="27" a="1"/>
  <c r="F79" i="27" s="1"/>
  <c r="E79" i="27" a="1"/>
  <c r="E79" i="27" s="1"/>
  <c r="D79" i="27" a="1"/>
  <c r="D79" i="27" s="1"/>
  <c r="C79" i="27" a="1"/>
  <c r="C79" i="27" s="1"/>
  <c r="V78" i="27" a="1"/>
  <c r="V78" i="27" s="1"/>
  <c r="U78" i="27" a="1"/>
  <c r="U78" i="27" s="1"/>
  <c r="T78" i="27" a="1"/>
  <c r="T78" i="27" s="1"/>
  <c r="S78" i="27" a="1"/>
  <c r="S78" i="27" s="1"/>
  <c r="R78" i="27" a="1"/>
  <c r="R78" i="27" s="1"/>
  <c r="Q78" i="27" a="1"/>
  <c r="Q78" i="27" s="1"/>
  <c r="P78" i="27" a="1"/>
  <c r="P78" i="27" s="1"/>
  <c r="O78" i="27" a="1"/>
  <c r="O78" i="27" s="1"/>
  <c r="N78" i="27" a="1"/>
  <c r="N78" i="27" s="1"/>
  <c r="M78" i="27" a="1"/>
  <c r="M78" i="27" s="1"/>
  <c r="L78" i="27" a="1"/>
  <c r="L78" i="27" s="1"/>
  <c r="K78" i="27" a="1"/>
  <c r="K78" i="27" s="1"/>
  <c r="J78" i="27" a="1"/>
  <c r="J78" i="27" s="1"/>
  <c r="I78" i="27" a="1"/>
  <c r="I78" i="27" s="1"/>
  <c r="H78" i="27" a="1"/>
  <c r="H78" i="27" s="1"/>
  <c r="G78" i="27" a="1"/>
  <c r="G78" i="27" s="1"/>
  <c r="F78" i="27" a="1"/>
  <c r="F78" i="27" s="1"/>
  <c r="E78" i="27" a="1"/>
  <c r="E78" i="27" s="1"/>
  <c r="D78" i="27" a="1"/>
  <c r="D78" i="27" s="1"/>
  <c r="C78" i="27" a="1"/>
  <c r="C78" i="27" s="1"/>
  <c r="V77" i="27" a="1"/>
  <c r="V77" i="27" s="1"/>
  <c r="U77" i="27" a="1"/>
  <c r="U77" i="27" s="1"/>
  <c r="T77" i="27" a="1"/>
  <c r="T77" i="27" s="1"/>
  <c r="S77" i="27" a="1"/>
  <c r="S77" i="27" s="1"/>
  <c r="R77" i="27" a="1"/>
  <c r="R77" i="27" s="1"/>
  <c r="Q77" i="27" a="1"/>
  <c r="Q77" i="27" s="1"/>
  <c r="P77" i="27" a="1"/>
  <c r="P77" i="27" s="1"/>
  <c r="O77" i="27" a="1"/>
  <c r="O77" i="27" s="1"/>
  <c r="N77" i="27" a="1"/>
  <c r="N77" i="27" s="1"/>
  <c r="M77" i="27" a="1"/>
  <c r="M77" i="27" s="1"/>
  <c r="L77" i="27" a="1"/>
  <c r="L77" i="27" s="1"/>
  <c r="K77" i="27" a="1"/>
  <c r="K77" i="27" s="1"/>
  <c r="J77" i="27" a="1"/>
  <c r="J77" i="27" s="1"/>
  <c r="I77" i="27" a="1"/>
  <c r="I77" i="27" s="1"/>
  <c r="H77" i="27" a="1"/>
  <c r="H77" i="27" s="1"/>
  <c r="G77" i="27" a="1"/>
  <c r="G77" i="27" s="1"/>
  <c r="F77" i="27" a="1"/>
  <c r="F77" i="27" s="1"/>
  <c r="E77" i="27" a="1"/>
  <c r="E77" i="27" s="1"/>
  <c r="D77" i="27" a="1"/>
  <c r="D77" i="27" s="1"/>
  <c r="C77" i="27" a="1"/>
  <c r="C77" i="27" s="1"/>
  <c r="V76" i="27" a="1"/>
  <c r="V76" i="27" s="1"/>
  <c r="U76" i="27" a="1"/>
  <c r="U76" i="27" s="1"/>
  <c r="T76" i="27" a="1"/>
  <c r="T76" i="27" s="1"/>
  <c r="S76" i="27" a="1"/>
  <c r="S76" i="27" s="1"/>
  <c r="R76" i="27" a="1"/>
  <c r="R76" i="27" s="1"/>
  <c r="Q76" i="27" a="1"/>
  <c r="Q76" i="27" s="1"/>
  <c r="P76" i="27" a="1"/>
  <c r="P76" i="27" s="1"/>
  <c r="O76" i="27" a="1"/>
  <c r="O76" i="27" s="1"/>
  <c r="N76" i="27" a="1"/>
  <c r="N76" i="27" s="1"/>
  <c r="M76" i="27" a="1"/>
  <c r="M76" i="27" s="1"/>
  <c r="L76" i="27" a="1"/>
  <c r="L76" i="27" s="1"/>
  <c r="K76" i="27" a="1"/>
  <c r="K76" i="27" s="1"/>
  <c r="J76" i="27" a="1"/>
  <c r="J76" i="27" s="1"/>
  <c r="I76" i="27" a="1"/>
  <c r="I76" i="27" s="1"/>
  <c r="H76" i="27" a="1"/>
  <c r="H76" i="27" s="1"/>
  <c r="G76" i="27" a="1"/>
  <c r="G76" i="27" s="1"/>
  <c r="F76" i="27" a="1"/>
  <c r="F76" i="27" s="1"/>
  <c r="E76" i="27" a="1"/>
  <c r="E76" i="27" s="1"/>
  <c r="D76" i="27" a="1"/>
  <c r="D76" i="27" s="1"/>
  <c r="C76" i="27" a="1"/>
  <c r="C76" i="27" s="1"/>
  <c r="V75" i="27" a="1"/>
  <c r="V75" i="27" s="1"/>
  <c r="U75" i="27" a="1"/>
  <c r="U75" i="27" s="1"/>
  <c r="T75" i="27" a="1"/>
  <c r="T75" i="27" s="1"/>
  <c r="S75" i="27" a="1"/>
  <c r="S75" i="27" s="1"/>
  <c r="R75" i="27" a="1"/>
  <c r="R75" i="27" s="1"/>
  <c r="Q75" i="27" a="1"/>
  <c r="Q75" i="27" s="1"/>
  <c r="P75" i="27" a="1"/>
  <c r="P75" i="27" s="1"/>
  <c r="O75" i="27" a="1"/>
  <c r="O75" i="27" s="1"/>
  <c r="N75" i="27" a="1"/>
  <c r="N75" i="27" s="1"/>
  <c r="M75" i="27" a="1"/>
  <c r="M75" i="27" s="1"/>
  <c r="L75" i="27" a="1"/>
  <c r="L75" i="27" s="1"/>
  <c r="K75" i="27" a="1"/>
  <c r="K75" i="27" s="1"/>
  <c r="J75" i="27" a="1"/>
  <c r="J75" i="27" s="1"/>
  <c r="I75" i="27" a="1"/>
  <c r="I75" i="27" s="1"/>
  <c r="H75" i="27" a="1"/>
  <c r="H75" i="27" s="1"/>
  <c r="G75" i="27" a="1"/>
  <c r="G75" i="27" s="1"/>
  <c r="F75" i="27" a="1"/>
  <c r="F75" i="27" s="1"/>
  <c r="E75" i="27" a="1"/>
  <c r="E75" i="27" s="1"/>
  <c r="D75" i="27" a="1"/>
  <c r="D75" i="27" s="1"/>
  <c r="C75" i="27" a="1"/>
  <c r="C75" i="27" s="1"/>
  <c r="V70" i="27"/>
  <c r="V70" i="27" a="1"/>
  <c r="U70" i="27"/>
  <c r="U70" i="27" a="1"/>
  <c r="T70" i="27"/>
  <c r="T70" i="27" a="1"/>
  <c r="S70" i="27"/>
  <c r="S70" i="27" a="1"/>
  <c r="R70" i="27"/>
  <c r="R70" i="27" a="1"/>
  <c r="Q70" i="27"/>
  <c r="Q70" i="27" a="1"/>
  <c r="P70" i="27"/>
  <c r="P70" i="27" a="1"/>
  <c r="O70" i="27"/>
  <c r="O70" i="27" a="1"/>
  <c r="N70" i="27"/>
  <c r="N70" i="27" a="1"/>
  <c r="M70" i="27"/>
  <c r="M70" i="27" a="1"/>
  <c r="L70" i="27"/>
  <c r="L70" i="27" a="1"/>
  <c r="K70" i="27"/>
  <c r="K70" i="27" a="1"/>
  <c r="J70" i="27"/>
  <c r="J70" i="27" a="1"/>
  <c r="I70" i="27"/>
  <c r="I70" i="27" a="1"/>
  <c r="H70" i="27"/>
  <c r="H70" i="27" a="1"/>
  <c r="G70" i="27"/>
  <c r="G70" i="27" a="1"/>
  <c r="F70" i="27"/>
  <c r="F70" i="27" a="1"/>
  <c r="E70" i="27"/>
  <c r="E70" i="27" a="1"/>
  <c r="D70" i="27"/>
  <c r="D70" i="27" a="1"/>
  <c r="C70" i="27"/>
  <c r="C70" i="27" a="1"/>
  <c r="V69" i="27"/>
  <c r="V69" i="27" a="1"/>
  <c r="U69" i="27"/>
  <c r="U69" i="27" a="1"/>
  <c r="T69" i="27"/>
  <c r="T69" i="27" a="1"/>
  <c r="S69" i="27"/>
  <c r="S69" i="27" a="1"/>
  <c r="R69" i="27"/>
  <c r="R69" i="27" a="1"/>
  <c r="Q69" i="27"/>
  <c r="Q69" i="27" a="1"/>
  <c r="P69" i="27"/>
  <c r="P69" i="27" a="1"/>
  <c r="O69" i="27"/>
  <c r="O69" i="27" a="1"/>
  <c r="N69" i="27"/>
  <c r="N69" i="27" a="1"/>
  <c r="M69" i="27"/>
  <c r="M69" i="27" a="1"/>
  <c r="L69" i="27"/>
  <c r="L69" i="27" a="1"/>
  <c r="K69" i="27"/>
  <c r="K69" i="27" a="1"/>
  <c r="J69" i="27"/>
  <c r="J69" i="27" a="1"/>
  <c r="I69" i="27"/>
  <c r="I69" i="27" a="1"/>
  <c r="H69" i="27"/>
  <c r="H69" i="27" a="1"/>
  <c r="G69" i="27"/>
  <c r="G69" i="27" a="1"/>
  <c r="F69" i="27"/>
  <c r="F69" i="27" a="1"/>
  <c r="E69" i="27"/>
  <c r="E69" i="27" a="1"/>
  <c r="D69" i="27"/>
  <c r="D69" i="27" a="1"/>
  <c r="C69" i="27"/>
  <c r="C69" i="27" a="1"/>
  <c r="V68" i="27"/>
  <c r="V68" i="27" a="1"/>
  <c r="U68" i="27"/>
  <c r="U68" i="27" a="1"/>
  <c r="T68" i="27"/>
  <c r="T68" i="27" a="1"/>
  <c r="S68" i="27"/>
  <c r="S68" i="27" a="1"/>
  <c r="R68" i="27"/>
  <c r="R68" i="27" a="1"/>
  <c r="Q68" i="27"/>
  <c r="Q68" i="27" a="1"/>
  <c r="P68" i="27"/>
  <c r="P68" i="27" a="1"/>
  <c r="O68" i="27"/>
  <c r="O68" i="27" a="1"/>
  <c r="N68" i="27"/>
  <c r="N68" i="27" a="1"/>
  <c r="M68" i="27"/>
  <c r="M68" i="27" a="1"/>
  <c r="L68" i="27"/>
  <c r="L68" i="27" a="1"/>
  <c r="K68" i="27"/>
  <c r="K68" i="27" a="1"/>
  <c r="J68" i="27"/>
  <c r="J68" i="27" a="1"/>
  <c r="I68" i="27"/>
  <c r="I68" i="27" a="1"/>
  <c r="H68" i="27"/>
  <c r="H68" i="27" a="1"/>
  <c r="G68" i="27"/>
  <c r="G68" i="27" a="1"/>
  <c r="F68" i="27"/>
  <c r="F68" i="27" a="1"/>
  <c r="E68" i="27"/>
  <c r="E68" i="27" a="1"/>
  <c r="D68" i="27"/>
  <c r="D68" i="27" a="1"/>
  <c r="C68" i="27"/>
  <c r="C68" i="27" a="1"/>
  <c r="V67" i="27"/>
  <c r="V67" i="27" a="1"/>
  <c r="U67" i="27"/>
  <c r="U67" i="27" a="1"/>
  <c r="T67" i="27"/>
  <c r="T67" i="27" a="1"/>
  <c r="S67" i="27"/>
  <c r="S67" i="27" a="1"/>
  <c r="R67" i="27"/>
  <c r="R67" i="27" a="1"/>
  <c r="Q67" i="27"/>
  <c r="Q67" i="27" a="1"/>
  <c r="P67" i="27"/>
  <c r="P67" i="27" a="1"/>
  <c r="O67" i="27"/>
  <c r="O67" i="27" a="1"/>
  <c r="N67" i="27"/>
  <c r="N67" i="27" a="1"/>
  <c r="M67" i="27"/>
  <c r="M67" i="27" a="1"/>
  <c r="L67" i="27"/>
  <c r="L67" i="27" a="1"/>
  <c r="K67" i="27"/>
  <c r="K67" i="27" a="1"/>
  <c r="J67" i="27"/>
  <c r="J67" i="27" a="1"/>
  <c r="I67" i="27"/>
  <c r="I67" i="27" a="1"/>
  <c r="H67" i="27"/>
  <c r="H67" i="27" a="1"/>
  <c r="G67" i="27"/>
  <c r="G67" i="27" a="1"/>
  <c r="F67" i="27"/>
  <c r="F67" i="27" a="1"/>
  <c r="E67" i="27"/>
  <c r="E67" i="27" a="1"/>
  <c r="D67" i="27"/>
  <c r="D67" i="27" a="1"/>
  <c r="C67" i="27"/>
  <c r="C67" i="27" a="1"/>
  <c r="V66" i="27"/>
  <c r="V66" i="27" a="1"/>
  <c r="U66" i="27"/>
  <c r="U66" i="27" a="1"/>
  <c r="T66" i="27"/>
  <c r="T66" i="27" a="1"/>
  <c r="S66" i="27"/>
  <c r="S66" i="27" a="1"/>
  <c r="R66" i="27"/>
  <c r="R66" i="27" a="1"/>
  <c r="Q66" i="27"/>
  <c r="Q66" i="27" a="1"/>
  <c r="P66" i="27"/>
  <c r="P66" i="27" a="1"/>
  <c r="O66" i="27"/>
  <c r="O66" i="27" a="1"/>
  <c r="N66" i="27"/>
  <c r="N66" i="27" a="1"/>
  <c r="M66" i="27"/>
  <c r="M66" i="27" a="1"/>
  <c r="L66" i="27"/>
  <c r="L66" i="27" a="1"/>
  <c r="K66" i="27"/>
  <c r="K66" i="27" a="1"/>
  <c r="J66" i="27"/>
  <c r="J66" i="27" a="1"/>
  <c r="I66" i="27"/>
  <c r="I66" i="27" a="1"/>
  <c r="H66" i="27"/>
  <c r="H66" i="27" a="1"/>
  <c r="G66" i="27"/>
  <c r="G66" i="27" a="1"/>
  <c r="F66" i="27"/>
  <c r="F66" i="27" a="1"/>
  <c r="E66" i="27"/>
  <c r="E66" i="27" a="1"/>
  <c r="D66" i="27"/>
  <c r="D66" i="27" a="1"/>
  <c r="C66" i="27"/>
  <c r="C66" i="27" a="1"/>
  <c r="V62" i="27" a="1"/>
  <c r="V62" i="27" s="1"/>
  <c r="U62" i="27" a="1"/>
  <c r="U62" i="27" s="1"/>
  <c r="T62" i="27" a="1"/>
  <c r="T62" i="27" s="1"/>
  <c r="S62" i="27" a="1"/>
  <c r="S62" i="27" s="1"/>
  <c r="R62" i="27" a="1"/>
  <c r="R62" i="27" s="1"/>
  <c r="Q62" i="27"/>
  <c r="Q62" i="27" a="1"/>
  <c r="P62" i="27" a="1"/>
  <c r="P62" i="27" s="1"/>
  <c r="O62" i="27" a="1"/>
  <c r="O62" i="27" s="1"/>
  <c r="N62" i="27" a="1"/>
  <c r="N62" i="27" s="1"/>
  <c r="M62" i="27" a="1"/>
  <c r="M62" i="27" s="1"/>
  <c r="L62" i="27" a="1"/>
  <c r="L62" i="27" s="1"/>
  <c r="K62" i="27"/>
  <c r="K62" i="27" a="1"/>
  <c r="J62" i="27" a="1"/>
  <c r="J62" i="27" s="1"/>
  <c r="I62" i="27" a="1"/>
  <c r="I62" i="27" s="1"/>
  <c r="H62" i="27" a="1"/>
  <c r="H62" i="27" s="1"/>
  <c r="G62" i="27" a="1"/>
  <c r="G62" i="27" s="1"/>
  <c r="F62" i="27" a="1"/>
  <c r="F62" i="27" s="1"/>
  <c r="E62" i="27"/>
  <c r="E62" i="27" a="1"/>
  <c r="D62" i="27" a="1"/>
  <c r="D62" i="27" s="1"/>
  <c r="C62" i="27" a="1"/>
  <c r="C62" i="27" s="1"/>
  <c r="V61" i="27" a="1"/>
  <c r="V61" i="27" s="1"/>
  <c r="U61" i="27" a="1"/>
  <c r="U61" i="27" s="1"/>
  <c r="T61" i="27" a="1"/>
  <c r="T61" i="27" s="1"/>
  <c r="S61" i="27"/>
  <c r="S61" i="27" a="1"/>
  <c r="R61" i="27" a="1"/>
  <c r="R61" i="27" s="1"/>
  <c r="Q61" i="27" a="1"/>
  <c r="Q61" i="27" s="1"/>
  <c r="P61" i="27" a="1"/>
  <c r="P61" i="27" s="1"/>
  <c r="O61" i="27" a="1"/>
  <c r="O61" i="27" s="1"/>
  <c r="N61" i="27" a="1"/>
  <c r="N61" i="27" s="1"/>
  <c r="M61" i="27"/>
  <c r="M61" i="27" a="1"/>
  <c r="L61" i="27" a="1"/>
  <c r="L61" i="27" s="1"/>
  <c r="K61" i="27" a="1"/>
  <c r="K61" i="27" s="1"/>
  <c r="J61" i="27" a="1"/>
  <c r="J61" i="27" s="1"/>
  <c r="I61" i="27" a="1"/>
  <c r="I61" i="27" s="1"/>
  <c r="H61" i="27" a="1"/>
  <c r="H61" i="27" s="1"/>
  <c r="G61" i="27"/>
  <c r="G61" i="27" a="1"/>
  <c r="F61" i="27" a="1"/>
  <c r="F61" i="27" s="1"/>
  <c r="E61" i="27" a="1"/>
  <c r="E61" i="27" s="1"/>
  <c r="D61" i="27" a="1"/>
  <c r="D61" i="27" s="1"/>
  <c r="C61" i="27" a="1"/>
  <c r="C61" i="27" s="1"/>
  <c r="V60" i="27" a="1"/>
  <c r="V60" i="27" s="1"/>
  <c r="U60" i="27"/>
  <c r="U60" i="27" a="1"/>
  <c r="T60" i="27" a="1"/>
  <c r="T60" i="27" s="1"/>
  <c r="S60" i="27" a="1"/>
  <c r="S60" i="27" s="1"/>
  <c r="R60" i="27" a="1"/>
  <c r="R60" i="27" s="1"/>
  <c r="Q60" i="27" a="1"/>
  <c r="Q60" i="27" s="1"/>
  <c r="P60" i="27" a="1"/>
  <c r="P60" i="27" s="1"/>
  <c r="O60" i="27"/>
  <c r="O60" i="27" a="1"/>
  <c r="N60" i="27" a="1"/>
  <c r="N60" i="27" s="1"/>
  <c r="M60" i="27" a="1"/>
  <c r="M60" i="27" s="1"/>
  <c r="L60" i="27" a="1"/>
  <c r="L60" i="27" s="1"/>
  <c r="K60" i="27" a="1"/>
  <c r="K60" i="27" s="1"/>
  <c r="J60" i="27" a="1"/>
  <c r="J60" i="27" s="1"/>
  <c r="I60" i="27"/>
  <c r="I60" i="27" a="1"/>
  <c r="H60" i="27" a="1"/>
  <c r="H60" i="27" s="1"/>
  <c r="G60" i="27" a="1"/>
  <c r="G60" i="27" s="1"/>
  <c r="F60" i="27" a="1"/>
  <c r="F60" i="27" s="1"/>
  <c r="E60" i="27" a="1"/>
  <c r="E60" i="27" s="1"/>
  <c r="D60" i="27" a="1"/>
  <c r="D60" i="27" s="1"/>
  <c r="C60" i="27"/>
  <c r="C60" i="27" a="1"/>
  <c r="V59" i="27" a="1"/>
  <c r="V59" i="27" s="1"/>
  <c r="U59" i="27" a="1"/>
  <c r="U59" i="27" s="1"/>
  <c r="T59" i="27" a="1"/>
  <c r="T59" i="27" s="1"/>
  <c r="S59" i="27" a="1"/>
  <c r="S59" i="27" s="1"/>
  <c r="R59" i="27" a="1"/>
  <c r="R59" i="27" s="1"/>
  <c r="Q59" i="27"/>
  <c r="Q59" i="27" a="1"/>
  <c r="P59" i="27" a="1"/>
  <c r="P59" i="27" s="1"/>
  <c r="O59" i="27" a="1"/>
  <c r="O59" i="27" s="1"/>
  <c r="N59" i="27" a="1"/>
  <c r="N59" i="27" s="1"/>
  <c r="M59" i="27" a="1"/>
  <c r="M59" i="27" s="1"/>
  <c r="L59" i="27" a="1"/>
  <c r="L59" i="27" s="1"/>
  <c r="K59" i="27"/>
  <c r="K59" i="27" a="1"/>
  <c r="J59" i="27" a="1"/>
  <c r="J59" i="27" s="1"/>
  <c r="I59" i="27" a="1"/>
  <c r="I59" i="27" s="1"/>
  <c r="H59" i="27" a="1"/>
  <c r="H59" i="27" s="1"/>
  <c r="G59" i="27" a="1"/>
  <c r="G59" i="27" s="1"/>
  <c r="F59" i="27" a="1"/>
  <c r="F59" i="27" s="1"/>
  <c r="E59" i="27"/>
  <c r="E59" i="27" a="1"/>
  <c r="D59" i="27" a="1"/>
  <c r="D59" i="27" s="1"/>
  <c r="C59" i="27" a="1"/>
  <c r="C59" i="27" s="1"/>
  <c r="V58" i="27" a="1"/>
  <c r="V58" i="27" s="1"/>
  <c r="U58" i="27" a="1"/>
  <c r="U58" i="27" s="1"/>
  <c r="T58" i="27" a="1"/>
  <c r="T58" i="27" s="1"/>
  <c r="S58" i="27"/>
  <c r="S58" i="27" a="1"/>
  <c r="R58" i="27" a="1"/>
  <c r="R58" i="27" s="1"/>
  <c r="Q58" i="27" a="1"/>
  <c r="Q58" i="27" s="1"/>
  <c r="P58" i="27" a="1"/>
  <c r="P58" i="27" s="1"/>
  <c r="O58" i="27" a="1"/>
  <c r="O58" i="27" s="1"/>
  <c r="N58" i="27" a="1"/>
  <c r="N58" i="27" s="1"/>
  <c r="M58" i="27"/>
  <c r="M58" i="27" a="1"/>
  <c r="L58" i="27" a="1"/>
  <c r="L58" i="27" s="1"/>
  <c r="K58" i="27" a="1"/>
  <c r="K58" i="27" s="1"/>
  <c r="J58" i="27" a="1"/>
  <c r="J58" i="27" s="1"/>
  <c r="I58" i="27" a="1"/>
  <c r="I58" i="27" s="1"/>
  <c r="H58" i="27" a="1"/>
  <c r="H58" i="27" s="1"/>
  <c r="G58" i="27"/>
  <c r="G58" i="27" a="1"/>
  <c r="F58" i="27" a="1"/>
  <c r="F58" i="27" s="1"/>
  <c r="E58" i="27" a="1"/>
  <c r="E58" i="27" s="1"/>
  <c r="D58" i="27" a="1"/>
  <c r="D58" i="27" s="1"/>
  <c r="C58" i="27" a="1"/>
  <c r="C58" i="27" s="1"/>
  <c r="V53" i="27" a="1"/>
  <c r="V53" i="27" s="1"/>
  <c r="U53" i="27"/>
  <c r="U53" i="27" a="1"/>
  <c r="T53" i="27" a="1"/>
  <c r="T53" i="27" s="1"/>
  <c r="S53" i="27" a="1"/>
  <c r="S53" i="27" s="1"/>
  <c r="R53" i="27" a="1"/>
  <c r="R53" i="27" s="1"/>
  <c r="Q53" i="27" a="1"/>
  <c r="Q53" i="27" s="1"/>
  <c r="P53" i="27" a="1"/>
  <c r="P53" i="27" s="1"/>
  <c r="O53" i="27"/>
  <c r="O53" i="27" a="1"/>
  <c r="N53" i="27" a="1"/>
  <c r="N53" i="27" s="1"/>
  <c r="M53" i="27" a="1"/>
  <c r="M53" i="27" s="1"/>
  <c r="L53" i="27" a="1"/>
  <c r="L53" i="27" s="1"/>
  <c r="K53" i="27" a="1"/>
  <c r="K53" i="27" s="1"/>
  <c r="J53" i="27" a="1"/>
  <c r="J53" i="27" s="1"/>
  <c r="I53" i="27"/>
  <c r="I53" i="27" a="1"/>
  <c r="H53" i="27" a="1"/>
  <c r="H53" i="27" s="1"/>
  <c r="G53" i="27" a="1"/>
  <c r="G53" i="27" s="1"/>
  <c r="F53" i="27" a="1"/>
  <c r="F53" i="27" s="1"/>
  <c r="E53" i="27" a="1"/>
  <c r="E53" i="27" s="1"/>
  <c r="D53" i="27" a="1"/>
  <c r="D53" i="27" s="1"/>
  <c r="C53" i="27" a="1"/>
  <c r="C53" i="27" s="1"/>
  <c r="V52" i="27" a="1"/>
  <c r="V52" i="27" s="1"/>
  <c r="U52" i="27" a="1"/>
  <c r="U52" i="27" s="1"/>
  <c r="T52" i="27" a="1"/>
  <c r="T52" i="27" s="1"/>
  <c r="S52" i="27" a="1"/>
  <c r="S52" i="27" s="1"/>
  <c r="R52" i="27" a="1"/>
  <c r="R52" i="27" s="1"/>
  <c r="Q52" i="27" a="1"/>
  <c r="Q52" i="27" s="1"/>
  <c r="P52" i="27" a="1"/>
  <c r="P52" i="27" s="1"/>
  <c r="O52" i="27" a="1"/>
  <c r="O52" i="27" s="1"/>
  <c r="N52" i="27" a="1"/>
  <c r="N52" i="27" s="1"/>
  <c r="M52" i="27" a="1"/>
  <c r="M52" i="27" s="1"/>
  <c r="L52" i="27" a="1"/>
  <c r="L52" i="27" s="1"/>
  <c r="K52" i="27" a="1"/>
  <c r="K52" i="27" s="1"/>
  <c r="J52" i="27" a="1"/>
  <c r="J52" i="27" s="1"/>
  <c r="I52" i="27" a="1"/>
  <c r="I52" i="27" s="1"/>
  <c r="H52" i="27" a="1"/>
  <c r="H52" i="27" s="1"/>
  <c r="G52" i="27" a="1"/>
  <c r="G52" i="27" s="1"/>
  <c r="F52" i="27" a="1"/>
  <c r="F52" i="27" s="1"/>
  <c r="E52" i="27" a="1"/>
  <c r="E52" i="27" s="1"/>
  <c r="D52" i="27" a="1"/>
  <c r="D52" i="27" s="1"/>
  <c r="C52" i="27" a="1"/>
  <c r="C52" i="27" s="1"/>
  <c r="V51" i="27" a="1"/>
  <c r="V51" i="27" s="1"/>
  <c r="U51" i="27" a="1"/>
  <c r="U51" i="27" s="1"/>
  <c r="T51" i="27" a="1"/>
  <c r="T51" i="27" s="1"/>
  <c r="S51" i="27" a="1"/>
  <c r="S51" i="27" s="1"/>
  <c r="R51" i="27" a="1"/>
  <c r="R51" i="27" s="1"/>
  <c r="Q51" i="27" a="1"/>
  <c r="Q51" i="27" s="1"/>
  <c r="P51" i="27" a="1"/>
  <c r="P51" i="27" s="1"/>
  <c r="O51" i="27" a="1"/>
  <c r="O51" i="27" s="1"/>
  <c r="N51" i="27" a="1"/>
  <c r="N51" i="27" s="1"/>
  <c r="M51" i="27" a="1"/>
  <c r="M51" i="27" s="1"/>
  <c r="L51" i="27" a="1"/>
  <c r="L51" i="27" s="1"/>
  <c r="K51" i="27" a="1"/>
  <c r="K51" i="27" s="1"/>
  <c r="J51" i="27" a="1"/>
  <c r="J51" i="27" s="1"/>
  <c r="I51" i="27" a="1"/>
  <c r="I51" i="27" s="1"/>
  <c r="H51" i="27" a="1"/>
  <c r="H51" i="27" s="1"/>
  <c r="G51" i="27" a="1"/>
  <c r="G51" i="27" s="1"/>
  <c r="F51" i="27" a="1"/>
  <c r="F51" i="27" s="1"/>
  <c r="E51" i="27" a="1"/>
  <c r="E51" i="27" s="1"/>
  <c r="D51" i="27" a="1"/>
  <c r="D51" i="27" s="1"/>
  <c r="C51" i="27" a="1"/>
  <c r="C51" i="27" s="1"/>
  <c r="V50" i="27" a="1"/>
  <c r="V50" i="27" s="1"/>
  <c r="U50" i="27" a="1"/>
  <c r="U50" i="27" s="1"/>
  <c r="T50" i="27" a="1"/>
  <c r="T50" i="27" s="1"/>
  <c r="S50" i="27" a="1"/>
  <c r="S50" i="27" s="1"/>
  <c r="R50" i="27" a="1"/>
  <c r="R50" i="27" s="1"/>
  <c r="Q50" i="27" a="1"/>
  <c r="Q50" i="27" s="1"/>
  <c r="P50" i="27" a="1"/>
  <c r="P50" i="27" s="1"/>
  <c r="O50" i="27" a="1"/>
  <c r="O50" i="27" s="1"/>
  <c r="N50" i="27" a="1"/>
  <c r="N50" i="27" s="1"/>
  <c r="M50" i="27" a="1"/>
  <c r="M50" i="27" s="1"/>
  <c r="L50" i="27" a="1"/>
  <c r="L50" i="27" s="1"/>
  <c r="K50" i="27" a="1"/>
  <c r="K50" i="27" s="1"/>
  <c r="J50" i="27" a="1"/>
  <c r="J50" i="27" s="1"/>
  <c r="I50" i="27" a="1"/>
  <c r="I50" i="27" s="1"/>
  <c r="H50" i="27" a="1"/>
  <c r="H50" i="27" s="1"/>
  <c r="G50" i="27" a="1"/>
  <c r="G50" i="27" s="1"/>
  <c r="F50" i="27" a="1"/>
  <c r="F50" i="27" s="1"/>
  <c r="E50" i="27" a="1"/>
  <c r="E50" i="27" s="1"/>
  <c r="D50" i="27" a="1"/>
  <c r="D50" i="27" s="1"/>
  <c r="C50" i="27" a="1"/>
  <c r="C50" i="27" s="1"/>
  <c r="V49" i="27" a="1"/>
  <c r="V49" i="27" s="1"/>
  <c r="U49" i="27" a="1"/>
  <c r="U49" i="27" s="1"/>
  <c r="T49" i="27" a="1"/>
  <c r="T49" i="27" s="1"/>
  <c r="S49" i="27" a="1"/>
  <c r="S49" i="27" s="1"/>
  <c r="R49" i="27" a="1"/>
  <c r="R49" i="27" s="1"/>
  <c r="Q49" i="27" a="1"/>
  <c r="Q49" i="27" s="1"/>
  <c r="P49" i="27" a="1"/>
  <c r="P49" i="27" s="1"/>
  <c r="O49" i="27" a="1"/>
  <c r="O49" i="27" s="1"/>
  <c r="N49" i="27" a="1"/>
  <c r="N49" i="27" s="1"/>
  <c r="M49" i="27" a="1"/>
  <c r="M49" i="27" s="1"/>
  <c r="L49" i="27" a="1"/>
  <c r="L49" i="27" s="1"/>
  <c r="K49" i="27" a="1"/>
  <c r="K49" i="27" s="1"/>
  <c r="J49" i="27" a="1"/>
  <c r="J49" i="27" s="1"/>
  <c r="I49" i="27" a="1"/>
  <c r="I49" i="27" s="1"/>
  <c r="H49" i="27" a="1"/>
  <c r="H49" i="27" s="1"/>
  <c r="G49" i="27" a="1"/>
  <c r="G49" i="27" s="1"/>
  <c r="F49" i="27" a="1"/>
  <c r="F49" i="27" s="1"/>
  <c r="E49" i="27" a="1"/>
  <c r="E49" i="27" s="1"/>
  <c r="D49" i="27" a="1"/>
  <c r="D49" i="27" s="1"/>
  <c r="C49" i="27" a="1"/>
  <c r="C49" i="27" s="1"/>
  <c r="V44" i="27" a="1"/>
  <c r="V44" i="27" s="1"/>
  <c r="U44" i="27" a="1"/>
  <c r="U44" i="27" s="1"/>
  <c r="T44" i="27" a="1"/>
  <c r="T44" i="27" s="1"/>
  <c r="S44" i="27" a="1"/>
  <c r="S44" i="27" s="1"/>
  <c r="R44" i="27" a="1"/>
  <c r="R44" i="27" s="1"/>
  <c r="Q44" i="27" a="1"/>
  <c r="Q44" i="27" s="1"/>
  <c r="P44" i="27" a="1"/>
  <c r="P44" i="27" s="1"/>
  <c r="O44" i="27" a="1"/>
  <c r="O44" i="27" s="1"/>
  <c r="N44" i="27" a="1"/>
  <c r="N44" i="27" s="1"/>
  <c r="M44" i="27" a="1"/>
  <c r="M44" i="27" s="1"/>
  <c r="L44" i="27" a="1"/>
  <c r="L44" i="27" s="1"/>
  <c r="K44" i="27" a="1"/>
  <c r="K44" i="27" s="1"/>
  <c r="J44" i="27" a="1"/>
  <c r="J44" i="27" s="1"/>
  <c r="I44" i="27" a="1"/>
  <c r="I44" i="27" s="1"/>
  <c r="H44" i="27" a="1"/>
  <c r="H44" i="27" s="1"/>
  <c r="G44" i="27" a="1"/>
  <c r="G44" i="27" s="1"/>
  <c r="F44" i="27" a="1"/>
  <c r="F44" i="27" s="1"/>
  <c r="E44" i="27" a="1"/>
  <c r="E44" i="27" s="1"/>
  <c r="D44" i="27" a="1"/>
  <c r="D44" i="27" s="1"/>
  <c r="C44" i="27" a="1"/>
  <c r="C44" i="27" s="1"/>
  <c r="V43" i="27" a="1"/>
  <c r="V43" i="27" s="1"/>
  <c r="U43" i="27" a="1"/>
  <c r="U43" i="27" s="1"/>
  <c r="T43" i="27" a="1"/>
  <c r="T43" i="27" s="1"/>
  <c r="S43" i="27" a="1"/>
  <c r="S43" i="27" s="1"/>
  <c r="R43" i="27" a="1"/>
  <c r="R43" i="27" s="1"/>
  <c r="Q43" i="27" a="1"/>
  <c r="Q43" i="27" s="1"/>
  <c r="P43" i="27" a="1"/>
  <c r="P43" i="27" s="1"/>
  <c r="O43" i="27" a="1"/>
  <c r="O43" i="27" s="1"/>
  <c r="N43" i="27" a="1"/>
  <c r="N43" i="27" s="1"/>
  <c r="M43" i="27" a="1"/>
  <c r="M43" i="27" s="1"/>
  <c r="L43" i="27" a="1"/>
  <c r="L43" i="27" s="1"/>
  <c r="K43" i="27" a="1"/>
  <c r="K43" i="27" s="1"/>
  <c r="J43" i="27" a="1"/>
  <c r="J43" i="27" s="1"/>
  <c r="I43" i="27" a="1"/>
  <c r="I43" i="27" s="1"/>
  <c r="H43" i="27" a="1"/>
  <c r="H43" i="27" s="1"/>
  <c r="G43" i="27" a="1"/>
  <c r="G43" i="27" s="1"/>
  <c r="F43" i="27" a="1"/>
  <c r="F43" i="27" s="1"/>
  <c r="E43" i="27" a="1"/>
  <c r="E43" i="27" s="1"/>
  <c r="D43" i="27" a="1"/>
  <c r="D43" i="27" s="1"/>
  <c r="C43" i="27" a="1"/>
  <c r="C43" i="27" s="1"/>
  <c r="V42" i="27" a="1"/>
  <c r="V42" i="27" s="1"/>
  <c r="U42" i="27" a="1"/>
  <c r="U42" i="27" s="1"/>
  <c r="T42" i="27" a="1"/>
  <c r="T42" i="27" s="1"/>
  <c r="S42" i="27" a="1"/>
  <c r="S42" i="27" s="1"/>
  <c r="R42" i="27" a="1"/>
  <c r="R42" i="27" s="1"/>
  <c r="Q42" i="27" a="1"/>
  <c r="Q42" i="27" s="1"/>
  <c r="P42" i="27" a="1"/>
  <c r="P42" i="27" s="1"/>
  <c r="O42" i="27" a="1"/>
  <c r="O42" i="27" s="1"/>
  <c r="N42" i="27" a="1"/>
  <c r="N42" i="27" s="1"/>
  <c r="M42" i="27" a="1"/>
  <c r="M42" i="27" s="1"/>
  <c r="L42" i="27" a="1"/>
  <c r="L42" i="27" s="1"/>
  <c r="K42" i="27" a="1"/>
  <c r="K42" i="27" s="1"/>
  <c r="J42" i="27" a="1"/>
  <c r="J42" i="27" s="1"/>
  <c r="I42" i="27" a="1"/>
  <c r="I42" i="27" s="1"/>
  <c r="H42" i="27" a="1"/>
  <c r="H42" i="27" s="1"/>
  <c r="G42" i="27" a="1"/>
  <c r="G42" i="27" s="1"/>
  <c r="F42" i="27" a="1"/>
  <c r="F42" i="27" s="1"/>
  <c r="E42" i="27" a="1"/>
  <c r="E42" i="27" s="1"/>
  <c r="D42" i="27" a="1"/>
  <c r="D42" i="27" s="1"/>
  <c r="C42" i="27" a="1"/>
  <c r="C42" i="27" s="1"/>
  <c r="V41" i="27" a="1"/>
  <c r="V41" i="27" s="1"/>
  <c r="U41" i="27" a="1"/>
  <c r="U41" i="27" s="1"/>
  <c r="T41" i="27" a="1"/>
  <c r="T41" i="27" s="1"/>
  <c r="S41" i="27" a="1"/>
  <c r="S41" i="27" s="1"/>
  <c r="R41" i="27" a="1"/>
  <c r="R41" i="27" s="1"/>
  <c r="Q41" i="27" a="1"/>
  <c r="Q41" i="27" s="1"/>
  <c r="P41" i="27" a="1"/>
  <c r="P41" i="27" s="1"/>
  <c r="O41" i="27" a="1"/>
  <c r="O41" i="27" s="1"/>
  <c r="N41" i="27" a="1"/>
  <c r="N41" i="27" s="1"/>
  <c r="M41" i="27" a="1"/>
  <c r="M41" i="27" s="1"/>
  <c r="L41" i="27" a="1"/>
  <c r="L41" i="27" s="1"/>
  <c r="K41" i="27" a="1"/>
  <c r="K41" i="27" s="1"/>
  <c r="J41" i="27" a="1"/>
  <c r="J41" i="27" s="1"/>
  <c r="I41" i="27" a="1"/>
  <c r="I41" i="27" s="1"/>
  <c r="H41" i="27" a="1"/>
  <c r="H41" i="27" s="1"/>
  <c r="G41" i="27" a="1"/>
  <c r="G41" i="27" s="1"/>
  <c r="F41" i="27" a="1"/>
  <c r="F41" i="27" s="1"/>
  <c r="E41" i="27" a="1"/>
  <c r="E41" i="27" s="1"/>
  <c r="D41" i="27" a="1"/>
  <c r="D41" i="27" s="1"/>
  <c r="C41" i="27" a="1"/>
  <c r="C41" i="27" s="1"/>
  <c r="V40" i="27" a="1"/>
  <c r="V40" i="27" s="1"/>
  <c r="U40" i="27" a="1"/>
  <c r="U40" i="27" s="1"/>
  <c r="T40" i="27" a="1"/>
  <c r="T40" i="27" s="1"/>
  <c r="S40" i="27" a="1"/>
  <c r="S40" i="27" s="1"/>
  <c r="R40" i="27" a="1"/>
  <c r="R40" i="27" s="1"/>
  <c r="Q40" i="27" a="1"/>
  <c r="Q40" i="27" s="1"/>
  <c r="P40" i="27" a="1"/>
  <c r="P40" i="27" s="1"/>
  <c r="O40" i="27" a="1"/>
  <c r="O40" i="27" s="1"/>
  <c r="N40" i="27" a="1"/>
  <c r="N40" i="27" s="1"/>
  <c r="M40" i="27" a="1"/>
  <c r="M40" i="27" s="1"/>
  <c r="L40" i="27" a="1"/>
  <c r="L40" i="27" s="1"/>
  <c r="K40" i="27" a="1"/>
  <c r="K40" i="27" s="1"/>
  <c r="J40" i="27" a="1"/>
  <c r="J40" i="27" s="1"/>
  <c r="I40" i="27" a="1"/>
  <c r="I40" i="27" s="1"/>
  <c r="H40" i="27" a="1"/>
  <c r="H40" i="27" s="1"/>
  <c r="G40" i="27" a="1"/>
  <c r="G40" i="27" s="1"/>
  <c r="F40" i="27" a="1"/>
  <c r="F40" i="27" s="1"/>
  <c r="E40" i="27" a="1"/>
  <c r="E40" i="27" s="1"/>
  <c r="D40" i="27" a="1"/>
  <c r="D40" i="27" s="1"/>
  <c r="C40" i="27" a="1"/>
  <c r="C40" i="27" s="1"/>
  <c r="V35" i="27"/>
  <c r="V35" i="27" a="1"/>
  <c r="U35" i="27" a="1"/>
  <c r="U35" i="27" s="1"/>
  <c r="U88" i="27" s="1"/>
  <c r="T35" i="27" a="1"/>
  <c r="T35" i="27" s="1"/>
  <c r="T88" i="27" s="1"/>
  <c r="S35" i="27" a="1"/>
  <c r="S35" i="27" s="1"/>
  <c r="S88" i="27" s="1"/>
  <c r="R35" i="27" a="1"/>
  <c r="R35" i="27" s="1"/>
  <c r="Q35" i="27" a="1"/>
  <c r="Q35" i="27" s="1"/>
  <c r="P35" i="27"/>
  <c r="P35" i="27" a="1"/>
  <c r="O35" i="27" a="1"/>
  <c r="O35" i="27" s="1"/>
  <c r="O88" i="27" s="1"/>
  <c r="N35" i="27" a="1"/>
  <c r="N35" i="27" s="1"/>
  <c r="M35" i="27" a="1"/>
  <c r="M35" i="27" s="1"/>
  <c r="M88" i="27" s="1"/>
  <c r="L35" i="27" a="1"/>
  <c r="L35" i="27" s="1"/>
  <c r="L88" i="27" s="1"/>
  <c r="K35" i="27"/>
  <c r="K35" i="27" a="1"/>
  <c r="J35" i="27" a="1"/>
  <c r="J35" i="27" s="1"/>
  <c r="I35" i="27" a="1"/>
  <c r="I35" i="27" s="1"/>
  <c r="I88" i="27" s="1"/>
  <c r="H35" i="27" a="1"/>
  <c r="H35" i="27" s="1"/>
  <c r="G35" i="27" a="1"/>
  <c r="G35" i="27" s="1"/>
  <c r="G88" i="27" s="1"/>
  <c r="F35" i="27" a="1"/>
  <c r="F35" i="27" s="1"/>
  <c r="F88" i="27" s="1"/>
  <c r="E35" i="27" a="1"/>
  <c r="E35" i="27" s="1"/>
  <c r="E88" i="27" s="1"/>
  <c r="D35" i="27" a="1"/>
  <c r="D35" i="27" s="1"/>
  <c r="D88" i="27" s="1"/>
  <c r="C35" i="27" a="1"/>
  <c r="C35" i="27" s="1"/>
  <c r="V34" i="27" a="1"/>
  <c r="V34" i="27" s="1"/>
  <c r="V87" i="27" s="1"/>
  <c r="U34" i="27" a="1"/>
  <c r="U34" i="27" s="1"/>
  <c r="U87" i="27" s="1"/>
  <c r="T34" i="27" a="1"/>
  <c r="T34" i="27" s="1"/>
  <c r="S34" i="27" a="1"/>
  <c r="S34" i="27" s="1"/>
  <c r="R34" i="27" a="1"/>
  <c r="R34" i="27" s="1"/>
  <c r="Q34" i="27" a="1"/>
  <c r="Q34" i="27" s="1"/>
  <c r="P34" i="27" a="1"/>
  <c r="P34" i="27" s="1"/>
  <c r="O34" i="27" a="1"/>
  <c r="O34" i="27" s="1"/>
  <c r="N34" i="27" a="1"/>
  <c r="N34" i="27" s="1"/>
  <c r="M34" i="27" a="1"/>
  <c r="M34" i="27" s="1"/>
  <c r="L34" i="27" a="1"/>
  <c r="L34" i="27" s="1"/>
  <c r="K34" i="27" a="1"/>
  <c r="K34" i="27" s="1"/>
  <c r="K87" i="27" s="1"/>
  <c r="J34" i="27" a="1"/>
  <c r="J34" i="27" s="1"/>
  <c r="I34" i="27" a="1"/>
  <c r="I34" i="27" s="1"/>
  <c r="H34" i="27" a="1"/>
  <c r="H34" i="27" s="1"/>
  <c r="G34" i="27" a="1"/>
  <c r="G34" i="27" s="1"/>
  <c r="F34" i="27" a="1"/>
  <c r="F34" i="27" s="1"/>
  <c r="F87" i="27" s="1"/>
  <c r="E34" i="27" a="1"/>
  <c r="E34" i="27" s="1"/>
  <c r="E87" i="27" s="1"/>
  <c r="D34" i="27" a="1"/>
  <c r="D34" i="27" s="1"/>
  <c r="C34" i="27" a="1"/>
  <c r="C34" i="27" s="1"/>
  <c r="C87" i="27" s="1"/>
  <c r="V33" i="27" a="1"/>
  <c r="V33" i="27" s="1"/>
  <c r="U33" i="27" a="1"/>
  <c r="U33" i="27" s="1"/>
  <c r="U86" i="27" s="1"/>
  <c r="T33" i="27" a="1"/>
  <c r="T33" i="27" s="1"/>
  <c r="T86" i="27" s="1"/>
  <c r="S33" i="27" a="1"/>
  <c r="S33" i="27" s="1"/>
  <c r="S86" i="27" s="1"/>
  <c r="R33" i="27" a="1"/>
  <c r="R33" i="27" s="1"/>
  <c r="R86" i="27" s="1"/>
  <c r="Q33" i="27" a="1"/>
  <c r="Q33" i="27" s="1"/>
  <c r="Q86" i="27" s="1"/>
  <c r="P33" i="27" a="1"/>
  <c r="P33" i="27" s="1"/>
  <c r="P86" i="27" s="1"/>
  <c r="O33" i="27" a="1"/>
  <c r="O33" i="27" s="1"/>
  <c r="N33" i="27" a="1"/>
  <c r="N33" i="27" s="1"/>
  <c r="N86" i="27" s="1"/>
  <c r="M33" i="27" a="1"/>
  <c r="M33" i="27" s="1"/>
  <c r="L33" i="27" a="1"/>
  <c r="L33" i="27" s="1"/>
  <c r="K33" i="27" a="1"/>
  <c r="K33" i="27" s="1"/>
  <c r="J33" i="27" a="1"/>
  <c r="J33" i="27" s="1"/>
  <c r="J86" i="27" s="1"/>
  <c r="I33" i="27"/>
  <c r="I33" i="27" a="1"/>
  <c r="H33" i="27" a="1"/>
  <c r="H33" i="27" s="1"/>
  <c r="H86" i="27" s="1"/>
  <c r="G33" i="27" a="1"/>
  <c r="G33" i="27" s="1"/>
  <c r="F33" i="27" a="1"/>
  <c r="F33" i="27" s="1"/>
  <c r="F86" i="27" s="1"/>
  <c r="E33" i="27" a="1"/>
  <c r="E33" i="27" s="1"/>
  <c r="D33" i="27" a="1"/>
  <c r="D33" i="27" s="1"/>
  <c r="C33" i="27" a="1"/>
  <c r="C33" i="27" s="1"/>
  <c r="V32" i="27" a="1"/>
  <c r="V32" i="27" s="1"/>
  <c r="U32" i="27" a="1"/>
  <c r="U32" i="27" s="1"/>
  <c r="U85" i="27" s="1"/>
  <c r="T32" i="27" a="1"/>
  <c r="T32" i="27" s="1"/>
  <c r="S32" i="27" a="1"/>
  <c r="S32" i="27" s="1"/>
  <c r="R32" i="27" a="1"/>
  <c r="R32" i="27" s="1"/>
  <c r="Q32" i="27"/>
  <c r="Q32" i="27" a="1"/>
  <c r="P32" i="27" a="1"/>
  <c r="P32" i="27" s="1"/>
  <c r="O32" i="27" a="1"/>
  <c r="O32" i="27" s="1"/>
  <c r="N32" i="27" a="1"/>
  <c r="N32" i="27" s="1"/>
  <c r="M32" i="27" a="1"/>
  <c r="M32" i="27" s="1"/>
  <c r="L32" i="27" a="1"/>
  <c r="L32" i="27" s="1"/>
  <c r="L85" i="27" s="1"/>
  <c r="K32" i="27" a="1"/>
  <c r="K32" i="27" s="1"/>
  <c r="J32" i="27" a="1"/>
  <c r="J32" i="27" s="1"/>
  <c r="I32" i="27" a="1"/>
  <c r="I32" i="27" s="1"/>
  <c r="I85" i="27" s="1"/>
  <c r="H32" i="27" a="1"/>
  <c r="H32" i="27" s="1"/>
  <c r="H85" i="27" s="1"/>
  <c r="G32" i="27" a="1"/>
  <c r="G32" i="27" s="1"/>
  <c r="F32" i="27" a="1"/>
  <c r="F32" i="27" s="1"/>
  <c r="F85" i="27" s="1"/>
  <c r="E32" i="27" a="1"/>
  <c r="E32" i="27" s="1"/>
  <c r="D32" i="27" a="1"/>
  <c r="D32" i="27" s="1"/>
  <c r="C32" i="27" a="1"/>
  <c r="C32" i="27" s="1"/>
  <c r="C85" i="27" s="1"/>
  <c r="V31" i="27" a="1"/>
  <c r="V31" i="27" s="1"/>
  <c r="U31" i="27" a="1"/>
  <c r="U31" i="27" s="1"/>
  <c r="T31" i="27" a="1"/>
  <c r="T31" i="27" s="1"/>
  <c r="S31" i="27" a="1"/>
  <c r="S31" i="27" s="1"/>
  <c r="R31" i="27" a="1"/>
  <c r="R31" i="27" s="1"/>
  <c r="Q31" i="27" a="1"/>
  <c r="Q31" i="27" s="1"/>
  <c r="P31" i="27" a="1"/>
  <c r="P31" i="27" s="1"/>
  <c r="O31" i="27" a="1"/>
  <c r="O31" i="27" s="1"/>
  <c r="N31" i="27" a="1"/>
  <c r="N31" i="27" s="1"/>
  <c r="M31" i="27" a="1"/>
  <c r="M31" i="27" s="1"/>
  <c r="M84" i="27" s="1"/>
  <c r="L31" i="27" a="1"/>
  <c r="L31" i="27" s="1"/>
  <c r="L84" i="27" s="1"/>
  <c r="K31" i="27" a="1"/>
  <c r="K31" i="27" s="1"/>
  <c r="K84" i="27" s="1"/>
  <c r="J31" i="27" a="1"/>
  <c r="J31" i="27" s="1"/>
  <c r="J84" i="27" s="1"/>
  <c r="I31" i="27" a="1"/>
  <c r="I31" i="27" s="1"/>
  <c r="I84" i="27" s="1"/>
  <c r="H31" i="27" a="1"/>
  <c r="H31" i="27" s="1"/>
  <c r="G31" i="27" a="1"/>
  <c r="G31" i="27" s="1"/>
  <c r="F31" i="27" a="1"/>
  <c r="F31" i="27" s="1"/>
  <c r="F84" i="27" s="1"/>
  <c r="E31" i="27" a="1"/>
  <c r="E31" i="27" s="1"/>
  <c r="D31" i="27" a="1"/>
  <c r="D31" i="27" s="1"/>
  <c r="C31" i="27" a="1"/>
  <c r="C31" i="27" s="1"/>
  <c r="V26" i="27" a="1"/>
  <c r="V26" i="27" s="1"/>
  <c r="U26" i="27" a="1"/>
  <c r="U26" i="27" s="1"/>
  <c r="T26" i="27" a="1"/>
  <c r="T26" i="27" s="1"/>
  <c r="S26" i="27" a="1"/>
  <c r="S26" i="27" s="1"/>
  <c r="R26" i="27" a="1"/>
  <c r="R26" i="27" s="1"/>
  <c r="Q26" i="27"/>
  <c r="Q26" i="27" a="1"/>
  <c r="P26" i="27" a="1"/>
  <c r="P26" i="27" s="1"/>
  <c r="O26" i="27" a="1"/>
  <c r="O26" i="27" s="1"/>
  <c r="N26" i="27" a="1"/>
  <c r="N26" i="27" s="1"/>
  <c r="M26" i="27" a="1"/>
  <c r="M26" i="27" s="1"/>
  <c r="L26" i="27" a="1"/>
  <c r="L26" i="27" s="1"/>
  <c r="K26" i="27"/>
  <c r="K26" i="27" a="1"/>
  <c r="J26" i="27" a="1"/>
  <c r="J26" i="27" s="1"/>
  <c r="I26" i="27" a="1"/>
  <c r="I26" i="27" s="1"/>
  <c r="H26" i="27" a="1"/>
  <c r="H26" i="27" s="1"/>
  <c r="G26" i="27" a="1"/>
  <c r="G26" i="27" s="1"/>
  <c r="F26" i="27" a="1"/>
  <c r="F26" i="27" s="1"/>
  <c r="E26" i="27"/>
  <c r="E26" i="27" a="1"/>
  <c r="D26" i="27" a="1"/>
  <c r="D26" i="27" s="1"/>
  <c r="C26" i="27" a="1"/>
  <c r="C26" i="27" s="1"/>
  <c r="V25" i="27" a="1"/>
  <c r="V25" i="27" s="1"/>
  <c r="U25" i="27" a="1"/>
  <c r="U25" i="27" s="1"/>
  <c r="T25" i="27" a="1"/>
  <c r="T25" i="27" s="1"/>
  <c r="S25" i="27"/>
  <c r="S25" i="27" a="1"/>
  <c r="R25" i="27" a="1"/>
  <c r="R25" i="27" s="1"/>
  <c r="Q25" i="27" a="1"/>
  <c r="Q25" i="27" s="1"/>
  <c r="P25" i="27" a="1"/>
  <c r="P25" i="27" s="1"/>
  <c r="O25" i="27" a="1"/>
  <c r="O25" i="27" s="1"/>
  <c r="N25" i="27" a="1"/>
  <c r="N25" i="27" s="1"/>
  <c r="M25" i="27"/>
  <c r="M25" i="27" a="1"/>
  <c r="L25" i="27" a="1"/>
  <c r="L25" i="27" s="1"/>
  <c r="K25" i="27" a="1"/>
  <c r="K25" i="27" s="1"/>
  <c r="J25" i="27" a="1"/>
  <c r="J25" i="27" s="1"/>
  <c r="I25" i="27" a="1"/>
  <c r="I25" i="27" s="1"/>
  <c r="H25" i="27" a="1"/>
  <c r="H25" i="27" s="1"/>
  <c r="G25" i="27"/>
  <c r="G25" i="27" a="1"/>
  <c r="F25" i="27" a="1"/>
  <c r="F25" i="27" s="1"/>
  <c r="E25" i="27" a="1"/>
  <c r="E25" i="27" s="1"/>
  <c r="D25" i="27" a="1"/>
  <c r="D25" i="27" s="1"/>
  <c r="C25" i="27" a="1"/>
  <c r="C25" i="27" s="1"/>
  <c r="V24" i="27" a="1"/>
  <c r="V24" i="27" s="1"/>
  <c r="U24" i="27"/>
  <c r="U24" i="27" a="1"/>
  <c r="T24" i="27" a="1"/>
  <c r="T24" i="27" s="1"/>
  <c r="S24" i="27" a="1"/>
  <c r="S24" i="27" s="1"/>
  <c r="R24" i="27" a="1"/>
  <c r="R24" i="27" s="1"/>
  <c r="Q24" i="27" a="1"/>
  <c r="Q24" i="27" s="1"/>
  <c r="P24" i="27" a="1"/>
  <c r="P24" i="27" s="1"/>
  <c r="O24" i="27"/>
  <c r="O24" i="27" a="1"/>
  <c r="N24" i="27" a="1"/>
  <c r="N24" i="27" s="1"/>
  <c r="M24" i="27" a="1"/>
  <c r="M24" i="27" s="1"/>
  <c r="L24" i="27" a="1"/>
  <c r="L24" i="27" s="1"/>
  <c r="K24" i="27" a="1"/>
  <c r="K24" i="27" s="1"/>
  <c r="J24" i="27" a="1"/>
  <c r="J24" i="27" s="1"/>
  <c r="I24" i="27"/>
  <c r="I24" i="27" a="1"/>
  <c r="H24" i="27" a="1"/>
  <c r="H24" i="27" s="1"/>
  <c r="G24" i="27" a="1"/>
  <c r="G24" i="27" s="1"/>
  <c r="F24" i="27" a="1"/>
  <c r="F24" i="27" s="1"/>
  <c r="E24" i="27" a="1"/>
  <c r="E24" i="27" s="1"/>
  <c r="D24" i="27" a="1"/>
  <c r="D24" i="27" s="1"/>
  <c r="C24" i="27"/>
  <c r="C24" i="27" a="1"/>
  <c r="V23" i="27" a="1"/>
  <c r="V23" i="27" s="1"/>
  <c r="U23" i="27" a="1"/>
  <c r="U23" i="27" s="1"/>
  <c r="T23" i="27" a="1"/>
  <c r="T23" i="27" s="1"/>
  <c r="S23" i="27" a="1"/>
  <c r="S23" i="27" s="1"/>
  <c r="R23" i="27" a="1"/>
  <c r="R23" i="27" s="1"/>
  <c r="Q23" i="27"/>
  <c r="Q23" i="27" a="1"/>
  <c r="P23" i="27" a="1"/>
  <c r="P23" i="27" s="1"/>
  <c r="O23" i="27" a="1"/>
  <c r="O23" i="27" s="1"/>
  <c r="N23" i="27" a="1"/>
  <c r="N23" i="27" s="1"/>
  <c r="M23" i="27" a="1"/>
  <c r="M23" i="27" s="1"/>
  <c r="L23" i="27" a="1"/>
  <c r="L23" i="27" s="1"/>
  <c r="K23" i="27"/>
  <c r="K23" i="27" a="1"/>
  <c r="J23" i="27" a="1"/>
  <c r="J23" i="27" s="1"/>
  <c r="I23" i="27" a="1"/>
  <c r="I23" i="27" s="1"/>
  <c r="H23" i="27" a="1"/>
  <c r="H23" i="27" s="1"/>
  <c r="G23" i="27" a="1"/>
  <c r="G23" i="27" s="1"/>
  <c r="F23" i="27" a="1"/>
  <c r="F23" i="27" s="1"/>
  <c r="E23" i="27"/>
  <c r="E23" i="27" a="1"/>
  <c r="D23" i="27" a="1"/>
  <c r="D23" i="27" s="1"/>
  <c r="C23" i="27" a="1"/>
  <c r="C23" i="27" s="1"/>
  <c r="V22" i="27" a="1"/>
  <c r="V22" i="27" s="1"/>
  <c r="U22" i="27" a="1"/>
  <c r="U22" i="27" s="1"/>
  <c r="T22" i="27" a="1"/>
  <c r="T22" i="27" s="1"/>
  <c r="S22" i="27"/>
  <c r="S22" i="27" a="1"/>
  <c r="R22" i="27" a="1"/>
  <c r="R22" i="27" s="1"/>
  <c r="Q22" i="27" a="1"/>
  <c r="Q22" i="27" s="1"/>
  <c r="P22" i="27" a="1"/>
  <c r="P22" i="27" s="1"/>
  <c r="O22" i="27" a="1"/>
  <c r="O22" i="27" s="1"/>
  <c r="N22" i="27" a="1"/>
  <c r="N22" i="27" s="1"/>
  <c r="M22" i="27"/>
  <c r="M22" i="27" a="1"/>
  <c r="L22" i="27" a="1"/>
  <c r="L22" i="27" s="1"/>
  <c r="K22" i="27" a="1"/>
  <c r="K22" i="27" s="1"/>
  <c r="J22" i="27" a="1"/>
  <c r="J22" i="27" s="1"/>
  <c r="I22" i="27" a="1"/>
  <c r="I22" i="27" s="1"/>
  <c r="H22" i="27" a="1"/>
  <c r="H22" i="27" s="1"/>
  <c r="G22" i="27"/>
  <c r="G22" i="27" a="1"/>
  <c r="F22" i="27" a="1"/>
  <c r="F22" i="27" s="1"/>
  <c r="E22" i="27" a="1"/>
  <c r="E22" i="27" s="1"/>
  <c r="D22" i="27" a="1"/>
  <c r="D22" i="27" s="1"/>
  <c r="C22" i="27" a="1"/>
  <c r="C22" i="27" s="1"/>
  <c r="V17" i="27" a="1"/>
  <c r="V17" i="27" s="1"/>
  <c r="U17" i="27" a="1"/>
  <c r="U17" i="27" s="1"/>
  <c r="T17" i="27" a="1"/>
  <c r="T17" i="27" s="1"/>
  <c r="S17" i="27" a="1"/>
  <c r="S17" i="27" s="1"/>
  <c r="R17" i="27" a="1"/>
  <c r="R17" i="27" s="1"/>
  <c r="Q17" i="27"/>
  <c r="Q17" i="27" a="1"/>
  <c r="P17" i="27" a="1"/>
  <c r="P17" i="27" s="1"/>
  <c r="O17" i="27" a="1"/>
  <c r="O17" i="27" s="1"/>
  <c r="N17" i="27" a="1"/>
  <c r="N17" i="27" s="1"/>
  <c r="M17" i="27" a="1"/>
  <c r="M17" i="27" s="1"/>
  <c r="L17" i="27" a="1"/>
  <c r="L17" i="27" s="1"/>
  <c r="K17" i="27"/>
  <c r="K17" i="27" a="1"/>
  <c r="J17" i="27" a="1"/>
  <c r="J17" i="27" s="1"/>
  <c r="I17" i="27" a="1"/>
  <c r="I17" i="27" s="1"/>
  <c r="H17" i="27" a="1"/>
  <c r="H17" i="27" s="1"/>
  <c r="G17" i="27" a="1"/>
  <c r="G17" i="27" s="1"/>
  <c r="F17" i="27" a="1"/>
  <c r="F17" i="27" s="1"/>
  <c r="E17" i="27"/>
  <c r="E17" i="27" a="1"/>
  <c r="D17" i="27" a="1"/>
  <c r="D17" i="27" s="1"/>
  <c r="C17" i="27" a="1"/>
  <c r="C17" i="27" s="1"/>
  <c r="V16" i="27" a="1"/>
  <c r="V16" i="27" s="1"/>
  <c r="U16" i="27" a="1"/>
  <c r="U16" i="27" s="1"/>
  <c r="T16" i="27" a="1"/>
  <c r="T16" i="27" s="1"/>
  <c r="S16" i="27"/>
  <c r="S16" i="27" a="1"/>
  <c r="R16" i="27" a="1"/>
  <c r="R16" i="27" s="1"/>
  <c r="Q16" i="27" a="1"/>
  <c r="Q16" i="27" s="1"/>
  <c r="P16" i="27" a="1"/>
  <c r="P16" i="27" s="1"/>
  <c r="O16" i="27" a="1"/>
  <c r="O16" i="27" s="1"/>
  <c r="N16" i="27" a="1"/>
  <c r="N16" i="27" s="1"/>
  <c r="M16" i="27"/>
  <c r="M16" i="27" a="1"/>
  <c r="L16" i="27" a="1"/>
  <c r="L16" i="27" s="1"/>
  <c r="K16" i="27" a="1"/>
  <c r="K16" i="27" s="1"/>
  <c r="J16" i="27" a="1"/>
  <c r="J16" i="27" s="1"/>
  <c r="I16" i="27" a="1"/>
  <c r="I16" i="27" s="1"/>
  <c r="H16" i="27" a="1"/>
  <c r="H16" i="27" s="1"/>
  <c r="G16" i="27"/>
  <c r="G16" i="27" a="1"/>
  <c r="F16" i="27" a="1"/>
  <c r="F16" i="27" s="1"/>
  <c r="E16" i="27" a="1"/>
  <c r="E16" i="27" s="1"/>
  <c r="D16" i="27" a="1"/>
  <c r="D16" i="27" s="1"/>
  <c r="C16" i="27" a="1"/>
  <c r="C16" i="27" s="1"/>
  <c r="V15" i="27" a="1"/>
  <c r="V15" i="27" s="1"/>
  <c r="U15" i="27"/>
  <c r="U15" i="27" a="1"/>
  <c r="T15" i="27" a="1"/>
  <c r="T15" i="27" s="1"/>
  <c r="S15" i="27" a="1"/>
  <c r="S15" i="27" s="1"/>
  <c r="R15" i="27" a="1"/>
  <c r="R15" i="27" s="1"/>
  <c r="Q15" i="27" a="1"/>
  <c r="Q15" i="27" s="1"/>
  <c r="P15" i="27" a="1"/>
  <c r="P15" i="27" s="1"/>
  <c r="O15" i="27"/>
  <c r="O15" i="27" a="1"/>
  <c r="N15" i="27" a="1"/>
  <c r="N15" i="27" s="1"/>
  <c r="M15" i="27" a="1"/>
  <c r="M15" i="27" s="1"/>
  <c r="L15" i="27" a="1"/>
  <c r="L15" i="27" s="1"/>
  <c r="K15" i="27" a="1"/>
  <c r="K15" i="27" s="1"/>
  <c r="J15" i="27" a="1"/>
  <c r="J15" i="27" s="1"/>
  <c r="I15" i="27"/>
  <c r="I15" i="27" a="1"/>
  <c r="H15" i="27" a="1"/>
  <c r="H15" i="27" s="1"/>
  <c r="G15" i="27" a="1"/>
  <c r="G15" i="27" s="1"/>
  <c r="F15" i="27" a="1"/>
  <c r="F15" i="27" s="1"/>
  <c r="E15" i="27" a="1"/>
  <c r="E15" i="27" s="1"/>
  <c r="D15" i="27" a="1"/>
  <c r="D15" i="27" s="1"/>
  <c r="C15" i="27"/>
  <c r="C15" i="27" a="1"/>
  <c r="V14" i="27" a="1"/>
  <c r="V14" i="27" s="1"/>
  <c r="U14" i="27" a="1"/>
  <c r="U14" i="27" s="1"/>
  <c r="T14" i="27" a="1"/>
  <c r="T14" i="27" s="1"/>
  <c r="S14" i="27" a="1"/>
  <c r="S14" i="27" s="1"/>
  <c r="R14" i="27" a="1"/>
  <c r="R14" i="27" s="1"/>
  <c r="Q14" i="27"/>
  <c r="Q14" i="27" a="1"/>
  <c r="P14" i="27" a="1"/>
  <c r="P14" i="27" s="1"/>
  <c r="O14" i="27" a="1"/>
  <c r="O14" i="27" s="1"/>
  <c r="N14" i="27" a="1"/>
  <c r="N14" i="27" s="1"/>
  <c r="M14" i="27" a="1"/>
  <c r="M14" i="27" s="1"/>
  <c r="L14" i="27" a="1"/>
  <c r="L14" i="27" s="1"/>
  <c r="K14" i="27"/>
  <c r="K14" i="27" a="1"/>
  <c r="J14" i="27" a="1"/>
  <c r="J14" i="27" s="1"/>
  <c r="I14" i="27" a="1"/>
  <c r="I14" i="27" s="1"/>
  <c r="H14" i="27" a="1"/>
  <c r="H14" i="27" s="1"/>
  <c r="G14" i="27" a="1"/>
  <c r="G14" i="27" s="1"/>
  <c r="F14" i="27" a="1"/>
  <c r="F14" i="27" s="1"/>
  <c r="E14" i="27"/>
  <c r="E14" i="27" a="1"/>
  <c r="D14" i="27" a="1"/>
  <c r="D14" i="27" s="1"/>
  <c r="C14" i="27" a="1"/>
  <c r="C14" i="27" s="1"/>
  <c r="V13" i="27" a="1"/>
  <c r="V13" i="27" s="1"/>
  <c r="U13" i="27" a="1"/>
  <c r="U13" i="27" s="1"/>
  <c r="T13" i="27" a="1"/>
  <c r="T13" i="27" s="1"/>
  <c r="S13" i="27"/>
  <c r="S13" i="27" a="1"/>
  <c r="R13" i="27" a="1"/>
  <c r="R13" i="27" s="1"/>
  <c r="Q13" i="27" a="1"/>
  <c r="Q13" i="27" s="1"/>
  <c r="P13" i="27" a="1"/>
  <c r="P13" i="27" s="1"/>
  <c r="O13" i="27" a="1"/>
  <c r="O13" i="27" s="1"/>
  <c r="N13" i="27" a="1"/>
  <c r="N13" i="27" s="1"/>
  <c r="M13" i="27"/>
  <c r="M13" i="27" a="1"/>
  <c r="L13" i="27" a="1"/>
  <c r="L13" i="27" s="1"/>
  <c r="K13" i="27" a="1"/>
  <c r="K13" i="27" s="1"/>
  <c r="J13" i="27" a="1"/>
  <c r="J13" i="27" s="1"/>
  <c r="I13" i="27" a="1"/>
  <c r="I13" i="27" s="1"/>
  <c r="H13" i="27" a="1"/>
  <c r="H13" i="27" s="1"/>
  <c r="G13" i="27"/>
  <c r="G13" i="27" a="1"/>
  <c r="F13" i="27" a="1"/>
  <c r="F13" i="27" s="1"/>
  <c r="E13" i="27" a="1"/>
  <c r="E13" i="27" s="1"/>
  <c r="D13" i="27" a="1"/>
  <c r="D13" i="27" s="1"/>
  <c r="C13" i="27" a="1"/>
  <c r="C13" i="27" s="1"/>
  <c r="V8" i="27" a="1"/>
  <c r="V8" i="27" s="1"/>
  <c r="U8" i="27" a="1"/>
  <c r="U8" i="27" s="1"/>
  <c r="T8" i="27" a="1"/>
  <c r="T8" i="27" s="1"/>
  <c r="S8" i="27" a="1"/>
  <c r="S8" i="27" s="1"/>
  <c r="R8" i="27"/>
  <c r="R8" i="27" a="1"/>
  <c r="Q8" i="27" a="1"/>
  <c r="Q8" i="27" s="1"/>
  <c r="P8" i="27" a="1"/>
  <c r="P8" i="27" s="1"/>
  <c r="O8" i="27" a="1"/>
  <c r="O8" i="27" s="1"/>
  <c r="N8" i="27" a="1"/>
  <c r="N8" i="27" s="1"/>
  <c r="M8" i="27" a="1"/>
  <c r="M8" i="27" s="1"/>
  <c r="L8" i="27"/>
  <c r="L8" i="27" a="1"/>
  <c r="K8" i="27" a="1"/>
  <c r="K8" i="27" s="1"/>
  <c r="J8" i="27" a="1"/>
  <c r="J8" i="27" s="1"/>
  <c r="I8" i="27" a="1"/>
  <c r="I8" i="27" s="1"/>
  <c r="H8" i="27" a="1"/>
  <c r="H8" i="27" s="1"/>
  <c r="G8" i="27" a="1"/>
  <c r="G8" i="27" s="1"/>
  <c r="F8" i="27"/>
  <c r="F8" i="27" a="1"/>
  <c r="E8" i="27" a="1"/>
  <c r="E8" i="27" s="1"/>
  <c r="D8" i="27" a="1"/>
  <c r="D8" i="27" s="1"/>
  <c r="C8" i="27" a="1"/>
  <c r="C8" i="27" s="1"/>
  <c r="V7" i="27" a="1"/>
  <c r="V7" i="27" s="1"/>
  <c r="U7" i="27" a="1"/>
  <c r="U7" i="27" s="1"/>
  <c r="T7" i="27"/>
  <c r="T7" i="27" a="1"/>
  <c r="S7" i="27" a="1"/>
  <c r="S7" i="27" s="1"/>
  <c r="R7" i="27" a="1"/>
  <c r="R7" i="27" s="1"/>
  <c r="Q7" i="27" a="1"/>
  <c r="Q7" i="27" s="1"/>
  <c r="P7" i="27" a="1"/>
  <c r="P7" i="27" s="1"/>
  <c r="O7" i="27" a="1"/>
  <c r="O7" i="27" s="1"/>
  <c r="N7" i="27"/>
  <c r="N7" i="27" a="1"/>
  <c r="M7" i="27" a="1"/>
  <c r="M7" i="27" s="1"/>
  <c r="L7" i="27" a="1"/>
  <c r="L7" i="27" s="1"/>
  <c r="K7" i="27" a="1"/>
  <c r="K7" i="27" s="1"/>
  <c r="J7" i="27" a="1"/>
  <c r="J7" i="27" s="1"/>
  <c r="I7" i="27" a="1"/>
  <c r="I7" i="27" s="1"/>
  <c r="H7" i="27"/>
  <c r="H7" i="27" a="1"/>
  <c r="G7" i="27" a="1"/>
  <c r="G7" i="27" s="1"/>
  <c r="F7" i="27" a="1"/>
  <c r="F7" i="27" s="1"/>
  <c r="E7" i="27" a="1"/>
  <c r="E7" i="27" s="1"/>
  <c r="D7" i="27" a="1"/>
  <c r="D7" i="27" s="1"/>
  <c r="C7" i="27" a="1"/>
  <c r="C7" i="27" s="1"/>
  <c r="V6" i="27"/>
  <c r="V6" i="27" a="1"/>
  <c r="U6" i="27" a="1"/>
  <c r="U6" i="27" s="1"/>
  <c r="T6" i="27" a="1"/>
  <c r="T6" i="27" s="1"/>
  <c r="S6" i="27" a="1"/>
  <c r="S6" i="27" s="1"/>
  <c r="R6" i="27" a="1"/>
  <c r="R6" i="27" s="1"/>
  <c r="Q6" i="27" a="1"/>
  <c r="Q6" i="27" s="1"/>
  <c r="P6" i="27"/>
  <c r="P6" i="27" a="1"/>
  <c r="O6" i="27" a="1"/>
  <c r="O6" i="27" s="1"/>
  <c r="N6" i="27" a="1"/>
  <c r="N6" i="27" s="1"/>
  <c r="M6" i="27" a="1"/>
  <c r="M6" i="27" s="1"/>
  <c r="L6" i="27" a="1"/>
  <c r="L6" i="27" s="1"/>
  <c r="K6" i="27" a="1"/>
  <c r="K6" i="27" s="1"/>
  <c r="J6" i="27"/>
  <c r="J6" i="27" a="1"/>
  <c r="I6" i="27" a="1"/>
  <c r="I6" i="27" s="1"/>
  <c r="H6" i="27" a="1"/>
  <c r="H6" i="27" s="1"/>
  <c r="G6" i="27" a="1"/>
  <c r="G6" i="27" s="1"/>
  <c r="F6" i="27" a="1"/>
  <c r="F6" i="27" s="1"/>
  <c r="E6" i="27" a="1"/>
  <c r="E6" i="27" s="1"/>
  <c r="D6" i="27"/>
  <c r="D6" i="27" a="1"/>
  <c r="C6" i="27" a="1"/>
  <c r="C6" i="27" s="1"/>
  <c r="V5" i="27" a="1"/>
  <c r="V5" i="27" s="1"/>
  <c r="U5" i="27" a="1"/>
  <c r="U5" i="27" s="1"/>
  <c r="T5" i="27" a="1"/>
  <c r="T5" i="27" s="1"/>
  <c r="S5" i="27" a="1"/>
  <c r="S5" i="27" s="1"/>
  <c r="R5" i="27"/>
  <c r="R5" i="27" a="1"/>
  <c r="Q5" i="27" a="1"/>
  <c r="Q5" i="27" s="1"/>
  <c r="P5" i="27" a="1"/>
  <c r="P5" i="27" s="1"/>
  <c r="O5" i="27" a="1"/>
  <c r="O5" i="27" s="1"/>
  <c r="N5" i="27" a="1"/>
  <c r="N5" i="27" s="1"/>
  <c r="M5" i="27" a="1"/>
  <c r="M5" i="27" s="1"/>
  <c r="L5" i="27"/>
  <c r="L5" i="27" a="1"/>
  <c r="K5" i="27" a="1"/>
  <c r="K5" i="27" s="1"/>
  <c r="J5" i="27" a="1"/>
  <c r="J5" i="27" s="1"/>
  <c r="I5" i="27" a="1"/>
  <c r="I5" i="27" s="1"/>
  <c r="H5" i="27" a="1"/>
  <c r="H5" i="27" s="1"/>
  <c r="G5" i="27" a="1"/>
  <c r="G5" i="27" s="1"/>
  <c r="F5" i="27"/>
  <c r="F5" i="27" a="1"/>
  <c r="E5" i="27" a="1"/>
  <c r="E5" i="27" s="1"/>
  <c r="D5" i="27" a="1"/>
  <c r="D5" i="27" s="1"/>
  <c r="C5" i="27" a="1"/>
  <c r="C5" i="27" s="1"/>
  <c r="V4" i="27" a="1"/>
  <c r="V4" i="27" s="1"/>
  <c r="U4" i="27" a="1"/>
  <c r="U4" i="27" s="1"/>
  <c r="T4" i="27"/>
  <c r="T4" i="27" a="1"/>
  <c r="S4" i="27" a="1"/>
  <c r="S4" i="27" s="1"/>
  <c r="R4" i="27" a="1"/>
  <c r="R4" i="27" s="1"/>
  <c r="Q4" i="27" a="1"/>
  <c r="Q4" i="27" s="1"/>
  <c r="P4" i="27" a="1"/>
  <c r="P4" i="27" s="1"/>
  <c r="O4" i="27" a="1"/>
  <c r="O4" i="27" s="1"/>
  <c r="N4" i="27"/>
  <c r="N4" i="27" a="1"/>
  <c r="M4" i="27" a="1"/>
  <c r="M4" i="27" s="1"/>
  <c r="L4" i="27" a="1"/>
  <c r="L4" i="27" s="1"/>
  <c r="K4" i="27" a="1"/>
  <c r="K4" i="27" s="1"/>
  <c r="J4" i="27" a="1"/>
  <c r="J4" i="27" s="1"/>
  <c r="I4" i="27" a="1"/>
  <c r="I4" i="27" s="1"/>
  <c r="H4" i="27"/>
  <c r="H4" i="27" a="1"/>
  <c r="G4" i="27" a="1"/>
  <c r="G4" i="27" s="1"/>
  <c r="F4" i="27" a="1"/>
  <c r="F4" i="27" s="1"/>
  <c r="E4" i="27" a="1"/>
  <c r="E4" i="27" s="1"/>
  <c r="D4" i="27" a="1"/>
  <c r="D4" i="27" s="1"/>
  <c r="C4" i="27" a="1"/>
  <c r="C4" i="27" s="1"/>
  <c r="T87" i="27"/>
  <c r="J87" i="27"/>
  <c r="Q84" i="27"/>
  <c r="O84" i="27"/>
  <c r="D86" i="27"/>
  <c r="N85" i="27"/>
  <c r="A92" i="27"/>
  <c r="B92" i="27" s="1"/>
  <c r="AB75" i="27" a="1"/>
  <c r="AB75" i="27"/>
  <c r="AB66" i="27" a="1"/>
  <c r="AB66" i="27"/>
  <c r="AB58" i="27" a="1"/>
  <c r="AB58" i="27"/>
  <c r="AB49" i="27" a="1"/>
  <c r="AB49" i="27" s="1"/>
  <c r="AB40" i="27" a="1"/>
  <c r="AB40" i="27"/>
  <c r="AB31" i="27" a="1"/>
  <c r="AB31" i="27" s="1"/>
  <c r="AB22" i="27" a="1"/>
  <c r="AB22" i="27" s="1"/>
  <c r="AB13" i="27" a="1"/>
  <c r="AB13" i="27"/>
  <c r="AB4" i="27" a="1"/>
  <c r="AB4" i="27" s="1"/>
  <c r="F103" i="27"/>
  <c r="E103" i="27"/>
  <c r="B103" i="27"/>
  <c r="A91" i="27"/>
  <c r="B91" i="27" s="1"/>
  <c r="B88" i="27"/>
  <c r="B87" i="27"/>
  <c r="B86" i="27"/>
  <c r="B85" i="27"/>
  <c r="B84" i="27"/>
  <c r="V82" i="27"/>
  <c r="U82" i="27"/>
  <c r="T82" i="27"/>
  <c r="S82" i="27"/>
  <c r="R82" i="27"/>
  <c r="Q82" i="27"/>
  <c r="P82" i="27"/>
  <c r="O82" i="27"/>
  <c r="N82" i="27"/>
  <c r="M82" i="27"/>
  <c r="L82" i="27"/>
  <c r="K82" i="27"/>
  <c r="J82" i="27"/>
  <c r="I82" i="27"/>
  <c r="H82" i="27"/>
  <c r="G82" i="27"/>
  <c r="F82" i="27"/>
  <c r="E82" i="27"/>
  <c r="D82" i="27"/>
  <c r="C82" i="27"/>
  <c r="B79" i="27"/>
  <c r="B78" i="27"/>
  <c r="B77" i="27"/>
  <c r="B76" i="27"/>
  <c r="B75" i="27"/>
  <c r="V73" i="27"/>
  <c r="U73" i="27"/>
  <c r="T73" i="27"/>
  <c r="S73" i="27"/>
  <c r="R73" i="27"/>
  <c r="Q73" i="27"/>
  <c r="P73" i="27"/>
  <c r="O73" i="27"/>
  <c r="N73" i="27"/>
  <c r="M73" i="27"/>
  <c r="L73" i="27"/>
  <c r="K73" i="27"/>
  <c r="J73" i="27"/>
  <c r="I73" i="27"/>
  <c r="H73" i="27"/>
  <c r="G73" i="27"/>
  <c r="F73" i="27"/>
  <c r="E73" i="27"/>
  <c r="D73" i="27"/>
  <c r="C73" i="27"/>
  <c r="B70" i="27"/>
  <c r="B69" i="27"/>
  <c r="B68" i="27"/>
  <c r="B67" i="27"/>
  <c r="B66" i="27"/>
  <c r="V65" i="27"/>
  <c r="U65" i="27"/>
  <c r="T65" i="27"/>
  <c r="S65" i="27"/>
  <c r="R65" i="27"/>
  <c r="Q65" i="27"/>
  <c r="P65" i="27"/>
  <c r="O65" i="27"/>
  <c r="N65" i="27"/>
  <c r="M65" i="27"/>
  <c r="L65" i="27"/>
  <c r="K65" i="27"/>
  <c r="J65" i="27"/>
  <c r="I65" i="27"/>
  <c r="H65" i="27"/>
  <c r="G65" i="27"/>
  <c r="F65" i="27"/>
  <c r="E65" i="27"/>
  <c r="D65" i="27"/>
  <c r="C65" i="27"/>
  <c r="B62" i="27"/>
  <c r="B61" i="27"/>
  <c r="B60" i="27"/>
  <c r="B59" i="27"/>
  <c r="B58" i="27"/>
  <c r="V57" i="27"/>
  <c r="U57" i="27"/>
  <c r="T57" i="27"/>
  <c r="S57" i="27"/>
  <c r="R57" i="27"/>
  <c r="Q57" i="27"/>
  <c r="P57" i="27"/>
  <c r="O57" i="27"/>
  <c r="N57" i="27"/>
  <c r="M57" i="27"/>
  <c r="L57" i="27"/>
  <c r="K57" i="27"/>
  <c r="J57" i="27"/>
  <c r="I57" i="27"/>
  <c r="H57" i="27"/>
  <c r="G57" i="27"/>
  <c r="F57" i="27"/>
  <c r="E57" i="27"/>
  <c r="D57" i="27"/>
  <c r="C57" i="27"/>
  <c r="B53" i="27"/>
  <c r="B52" i="27"/>
  <c r="B51" i="27"/>
  <c r="B50" i="27"/>
  <c r="B49" i="27"/>
  <c r="V48" i="27"/>
  <c r="U48" i="27"/>
  <c r="T48" i="27"/>
  <c r="S48" i="27"/>
  <c r="R48" i="27"/>
  <c r="Q48" i="27"/>
  <c r="P48" i="27"/>
  <c r="O48" i="27"/>
  <c r="N48" i="27"/>
  <c r="M48" i="27"/>
  <c r="L48" i="27"/>
  <c r="K48" i="27"/>
  <c r="J48" i="27"/>
  <c r="I48" i="27"/>
  <c r="H48" i="27"/>
  <c r="G48" i="27"/>
  <c r="F48" i="27"/>
  <c r="E48" i="27"/>
  <c r="D48" i="27"/>
  <c r="C48" i="27"/>
  <c r="B44" i="27"/>
  <c r="B43" i="27"/>
  <c r="B42" i="27"/>
  <c r="B41" i="27"/>
  <c r="B40" i="27"/>
  <c r="V39" i="27"/>
  <c r="U39" i="27"/>
  <c r="T39" i="27"/>
  <c r="S39" i="27"/>
  <c r="R39" i="27"/>
  <c r="Q39" i="27"/>
  <c r="P39" i="27"/>
  <c r="O39" i="27"/>
  <c r="N39" i="27"/>
  <c r="M39" i="27"/>
  <c r="L39" i="27"/>
  <c r="K39" i="27"/>
  <c r="J39" i="27"/>
  <c r="I39" i="27"/>
  <c r="H39" i="27"/>
  <c r="G39" i="27"/>
  <c r="F39" i="27"/>
  <c r="E39" i="27"/>
  <c r="D39" i="27"/>
  <c r="C39" i="27"/>
  <c r="B35" i="27"/>
  <c r="B34" i="27"/>
  <c r="B33" i="27"/>
  <c r="B32" i="27"/>
  <c r="B31" i="27"/>
  <c r="V29" i="27"/>
  <c r="U29" i="27"/>
  <c r="T29" i="27"/>
  <c r="S29" i="27"/>
  <c r="R29" i="27"/>
  <c r="Q29" i="27"/>
  <c r="P29" i="27"/>
  <c r="O29" i="27"/>
  <c r="N29" i="27"/>
  <c r="M29" i="27"/>
  <c r="L29" i="27"/>
  <c r="K29" i="27"/>
  <c r="J29" i="27"/>
  <c r="I29" i="27"/>
  <c r="H29" i="27"/>
  <c r="G29" i="27"/>
  <c r="F29" i="27"/>
  <c r="E29" i="27"/>
  <c r="D29" i="27"/>
  <c r="C29" i="27"/>
  <c r="B26" i="27"/>
  <c r="B25" i="27"/>
  <c r="B24" i="27"/>
  <c r="B23" i="27"/>
  <c r="B22" i="27"/>
  <c r="V20" i="27"/>
  <c r="U20" i="27"/>
  <c r="T20" i="27"/>
  <c r="S20" i="27"/>
  <c r="R20" i="27"/>
  <c r="Q20" i="27"/>
  <c r="P20" i="27"/>
  <c r="O20" i="27"/>
  <c r="N20" i="27"/>
  <c r="M20" i="27"/>
  <c r="L20" i="27"/>
  <c r="K20" i="27"/>
  <c r="J20" i="27"/>
  <c r="I20" i="27"/>
  <c r="H20" i="27"/>
  <c r="G20" i="27"/>
  <c r="F20" i="27"/>
  <c r="E20" i="27"/>
  <c r="D20" i="27"/>
  <c r="C20" i="27"/>
  <c r="B17" i="27"/>
  <c r="B16" i="27"/>
  <c r="B15" i="27"/>
  <c r="B14" i="27"/>
  <c r="B13" i="27"/>
  <c r="V12" i="27"/>
  <c r="U12" i="27"/>
  <c r="T12" i="27"/>
  <c r="S12" i="27"/>
  <c r="R12" i="27"/>
  <c r="Q12" i="27"/>
  <c r="P12" i="27"/>
  <c r="O12" i="27"/>
  <c r="N12" i="27"/>
  <c r="M12" i="27"/>
  <c r="L12" i="27"/>
  <c r="K12" i="27"/>
  <c r="J12" i="27"/>
  <c r="I12" i="27"/>
  <c r="H12" i="27"/>
  <c r="G12" i="27"/>
  <c r="F12" i="27"/>
  <c r="E12" i="27"/>
  <c r="D12" i="27"/>
  <c r="C12" i="27"/>
  <c r="V80" i="21" a="1"/>
  <c r="V80" i="21" s="1"/>
  <c r="U80" i="21" a="1"/>
  <c r="U80" i="21" s="1"/>
  <c r="T80" i="21" a="1"/>
  <c r="T80" i="21" s="1"/>
  <c r="S80" i="21" a="1"/>
  <c r="S80" i="21" s="1"/>
  <c r="R80" i="21" a="1"/>
  <c r="R80" i="21" s="1"/>
  <c r="Q80" i="21" a="1"/>
  <c r="Q80" i="21" s="1"/>
  <c r="P80" i="21" a="1"/>
  <c r="P80" i="21" s="1"/>
  <c r="O80" i="21" a="1"/>
  <c r="O80" i="21" s="1"/>
  <c r="N80" i="21" a="1"/>
  <c r="N80" i="21" s="1"/>
  <c r="M80" i="21" a="1"/>
  <c r="M80" i="21" s="1"/>
  <c r="L80" i="21" a="1"/>
  <c r="L80" i="21" s="1"/>
  <c r="K80" i="21" a="1"/>
  <c r="K80" i="21" s="1"/>
  <c r="J80" i="21" a="1"/>
  <c r="J80" i="21" s="1"/>
  <c r="I80" i="21" a="1"/>
  <c r="I80" i="21" s="1"/>
  <c r="H80" i="21" a="1"/>
  <c r="H80" i="21" s="1"/>
  <c r="G80" i="21" a="1"/>
  <c r="G80" i="21" s="1"/>
  <c r="F80" i="21" a="1"/>
  <c r="F80" i="21" s="1"/>
  <c r="E80" i="21" a="1"/>
  <c r="E80" i="21" s="1"/>
  <c r="D80" i="21" a="1"/>
  <c r="D80" i="21" s="1"/>
  <c r="C80" i="21" a="1"/>
  <c r="C80" i="21" s="1"/>
  <c r="V79" i="21" a="1"/>
  <c r="V79" i="21" s="1"/>
  <c r="U79" i="21" a="1"/>
  <c r="U79" i="21" s="1"/>
  <c r="T79" i="21" a="1"/>
  <c r="T79" i="21" s="1"/>
  <c r="S79" i="21" a="1"/>
  <c r="S79" i="21" s="1"/>
  <c r="R79" i="21" a="1"/>
  <c r="R79" i="21" s="1"/>
  <c r="Q79" i="21" a="1"/>
  <c r="Q79" i="21" s="1"/>
  <c r="P79" i="21" a="1"/>
  <c r="P79" i="21" s="1"/>
  <c r="O79" i="21" a="1"/>
  <c r="O79" i="21" s="1"/>
  <c r="N79" i="21" a="1"/>
  <c r="N79" i="21" s="1"/>
  <c r="M79" i="21" a="1"/>
  <c r="M79" i="21" s="1"/>
  <c r="L79" i="21" a="1"/>
  <c r="L79" i="21" s="1"/>
  <c r="K79" i="21" a="1"/>
  <c r="K79" i="21" s="1"/>
  <c r="J79" i="21" a="1"/>
  <c r="J79" i="21" s="1"/>
  <c r="I79" i="21" a="1"/>
  <c r="I79" i="21" s="1"/>
  <c r="H79" i="21" a="1"/>
  <c r="H79" i="21" s="1"/>
  <c r="G79" i="21" a="1"/>
  <c r="G79" i="21" s="1"/>
  <c r="F79" i="21" a="1"/>
  <c r="F79" i="21" s="1"/>
  <c r="E79" i="21" a="1"/>
  <c r="E79" i="21" s="1"/>
  <c r="D79" i="21" a="1"/>
  <c r="D79" i="21" s="1"/>
  <c r="C79" i="21" a="1"/>
  <c r="C79" i="21" s="1"/>
  <c r="V78" i="21" a="1"/>
  <c r="V78" i="21" s="1"/>
  <c r="U78" i="21" a="1"/>
  <c r="U78" i="21" s="1"/>
  <c r="T78" i="21" a="1"/>
  <c r="T78" i="21" s="1"/>
  <c r="S78" i="21" a="1"/>
  <c r="S78" i="21" s="1"/>
  <c r="R78" i="21" a="1"/>
  <c r="R78" i="21" s="1"/>
  <c r="Q78" i="21" a="1"/>
  <c r="Q78" i="21" s="1"/>
  <c r="P78" i="21" a="1"/>
  <c r="P78" i="21" s="1"/>
  <c r="O78" i="21" a="1"/>
  <c r="O78" i="21" s="1"/>
  <c r="N78" i="21" a="1"/>
  <c r="N78" i="21" s="1"/>
  <c r="M78" i="21" a="1"/>
  <c r="M78" i="21" s="1"/>
  <c r="L78" i="21" a="1"/>
  <c r="L78" i="21" s="1"/>
  <c r="K78" i="21" a="1"/>
  <c r="K78" i="21" s="1"/>
  <c r="J78" i="21" a="1"/>
  <c r="J78" i="21" s="1"/>
  <c r="I78" i="21" a="1"/>
  <c r="I78" i="21" s="1"/>
  <c r="H78" i="21" a="1"/>
  <c r="H78" i="21" s="1"/>
  <c r="G78" i="21" a="1"/>
  <c r="G78" i="21" s="1"/>
  <c r="F78" i="21" a="1"/>
  <c r="F78" i="21" s="1"/>
  <c r="E78" i="21" a="1"/>
  <c r="E78" i="21" s="1"/>
  <c r="D78" i="21" a="1"/>
  <c r="D78" i="21" s="1"/>
  <c r="C78" i="21" a="1"/>
  <c r="C78" i="21" s="1"/>
  <c r="V77" i="21" a="1"/>
  <c r="V77" i="21" s="1"/>
  <c r="U77" i="21" a="1"/>
  <c r="U77" i="21" s="1"/>
  <c r="T77" i="21" a="1"/>
  <c r="T77" i="21" s="1"/>
  <c r="S77" i="21" a="1"/>
  <c r="S77" i="21" s="1"/>
  <c r="R77" i="21" a="1"/>
  <c r="R77" i="21" s="1"/>
  <c r="Q77" i="21" a="1"/>
  <c r="Q77" i="21" s="1"/>
  <c r="P77" i="21" a="1"/>
  <c r="P77" i="21" s="1"/>
  <c r="O77" i="21" a="1"/>
  <c r="O77" i="21" s="1"/>
  <c r="N77" i="21" a="1"/>
  <c r="N77" i="21" s="1"/>
  <c r="M77" i="21" a="1"/>
  <c r="M77" i="21" s="1"/>
  <c r="L77" i="21" a="1"/>
  <c r="L77" i="21" s="1"/>
  <c r="K77" i="21" a="1"/>
  <c r="K77" i="21" s="1"/>
  <c r="J77" i="21" a="1"/>
  <c r="J77" i="21" s="1"/>
  <c r="I77" i="21" a="1"/>
  <c r="I77" i="21" s="1"/>
  <c r="H77" i="21" a="1"/>
  <c r="H77" i="21" s="1"/>
  <c r="G77" i="21" a="1"/>
  <c r="G77" i="21" s="1"/>
  <c r="F77" i="21" a="1"/>
  <c r="F77" i="21" s="1"/>
  <c r="E77" i="21" a="1"/>
  <c r="E77" i="21" s="1"/>
  <c r="D77" i="21" a="1"/>
  <c r="D77" i="21" s="1"/>
  <c r="C77" i="21" a="1"/>
  <c r="C77" i="21" s="1"/>
  <c r="V76" i="21" a="1"/>
  <c r="V76" i="21" s="1"/>
  <c r="U76" i="21" a="1"/>
  <c r="U76" i="21" s="1"/>
  <c r="T76" i="21" a="1"/>
  <c r="T76" i="21" s="1"/>
  <c r="S76" i="21" a="1"/>
  <c r="S76" i="21" s="1"/>
  <c r="R76" i="21" a="1"/>
  <c r="R76" i="21" s="1"/>
  <c r="Q76" i="21" a="1"/>
  <c r="Q76" i="21" s="1"/>
  <c r="P76" i="21" a="1"/>
  <c r="P76" i="21" s="1"/>
  <c r="O76" i="21" a="1"/>
  <c r="O76" i="21" s="1"/>
  <c r="N76" i="21" a="1"/>
  <c r="N76" i="21" s="1"/>
  <c r="M76" i="21" a="1"/>
  <c r="M76" i="21" s="1"/>
  <c r="L76" i="21" a="1"/>
  <c r="L76" i="21" s="1"/>
  <c r="K76" i="21" a="1"/>
  <c r="K76" i="21" s="1"/>
  <c r="J76" i="21" a="1"/>
  <c r="J76" i="21" s="1"/>
  <c r="I76" i="21" a="1"/>
  <c r="I76" i="21" s="1"/>
  <c r="H76" i="21" a="1"/>
  <c r="H76" i="21" s="1"/>
  <c r="G76" i="21" a="1"/>
  <c r="G76" i="21" s="1"/>
  <c r="F76" i="21" a="1"/>
  <c r="F76" i="21" s="1"/>
  <c r="E76" i="21" a="1"/>
  <c r="E76" i="21" s="1"/>
  <c r="D76" i="21" a="1"/>
  <c r="D76" i="21" s="1"/>
  <c r="C76" i="21" a="1"/>
  <c r="C76" i="21" s="1"/>
  <c r="V71" i="21" a="1"/>
  <c r="V71" i="21" s="1"/>
  <c r="U71" i="21" a="1"/>
  <c r="U71" i="21" s="1"/>
  <c r="T71" i="21" a="1"/>
  <c r="T71" i="21" s="1"/>
  <c r="S71" i="21" a="1"/>
  <c r="S71" i="21" s="1"/>
  <c r="R71" i="21" a="1"/>
  <c r="R71" i="21" s="1"/>
  <c r="Q71" i="21" a="1"/>
  <c r="Q71" i="21" s="1"/>
  <c r="P71" i="21" a="1"/>
  <c r="P71" i="21" s="1"/>
  <c r="O71" i="21" a="1"/>
  <c r="O71" i="21" s="1"/>
  <c r="N71" i="21" a="1"/>
  <c r="N71" i="21" s="1"/>
  <c r="M71" i="21" a="1"/>
  <c r="M71" i="21" s="1"/>
  <c r="L71" i="21" a="1"/>
  <c r="L71" i="21" s="1"/>
  <c r="K71" i="21" a="1"/>
  <c r="K71" i="21" s="1"/>
  <c r="J71" i="21" a="1"/>
  <c r="J71" i="21" s="1"/>
  <c r="I71" i="21" a="1"/>
  <c r="I71" i="21" s="1"/>
  <c r="H71" i="21" a="1"/>
  <c r="H71" i="21" s="1"/>
  <c r="G71" i="21" a="1"/>
  <c r="G71" i="21" s="1"/>
  <c r="F71" i="21" a="1"/>
  <c r="F71" i="21" s="1"/>
  <c r="E71" i="21" a="1"/>
  <c r="E71" i="21" s="1"/>
  <c r="D71" i="21" a="1"/>
  <c r="D71" i="21" s="1"/>
  <c r="C71" i="21" a="1"/>
  <c r="C71" i="21" s="1"/>
  <c r="V70" i="21" a="1"/>
  <c r="V70" i="21" s="1"/>
  <c r="U70" i="21" a="1"/>
  <c r="U70" i="21" s="1"/>
  <c r="T70" i="21" a="1"/>
  <c r="T70" i="21" s="1"/>
  <c r="S70" i="21" a="1"/>
  <c r="S70" i="21" s="1"/>
  <c r="R70" i="21" a="1"/>
  <c r="R70" i="21" s="1"/>
  <c r="Q70" i="21" a="1"/>
  <c r="Q70" i="21" s="1"/>
  <c r="P70" i="21" a="1"/>
  <c r="P70" i="21" s="1"/>
  <c r="O70" i="21" a="1"/>
  <c r="O70" i="21" s="1"/>
  <c r="N70" i="21" a="1"/>
  <c r="N70" i="21" s="1"/>
  <c r="M70" i="21" a="1"/>
  <c r="M70" i="21" s="1"/>
  <c r="L70" i="21" a="1"/>
  <c r="L70" i="21" s="1"/>
  <c r="K70" i="21" a="1"/>
  <c r="K70" i="21" s="1"/>
  <c r="J70" i="21" a="1"/>
  <c r="J70" i="21" s="1"/>
  <c r="I70" i="21" a="1"/>
  <c r="I70" i="21" s="1"/>
  <c r="H70" i="21" a="1"/>
  <c r="H70" i="21" s="1"/>
  <c r="G70" i="21" a="1"/>
  <c r="G70" i="21" s="1"/>
  <c r="F70" i="21" a="1"/>
  <c r="F70" i="21" s="1"/>
  <c r="E70" i="21" a="1"/>
  <c r="E70" i="21" s="1"/>
  <c r="D70" i="21" a="1"/>
  <c r="D70" i="21" s="1"/>
  <c r="C70" i="21" a="1"/>
  <c r="C70" i="21" s="1"/>
  <c r="V69" i="21" a="1"/>
  <c r="V69" i="21" s="1"/>
  <c r="U69" i="21" a="1"/>
  <c r="U69" i="21" s="1"/>
  <c r="T69" i="21" a="1"/>
  <c r="T69" i="21" s="1"/>
  <c r="S69" i="21" a="1"/>
  <c r="S69" i="21" s="1"/>
  <c r="R69" i="21" a="1"/>
  <c r="R69" i="21" s="1"/>
  <c r="Q69" i="21" a="1"/>
  <c r="Q69" i="21" s="1"/>
  <c r="P69" i="21" a="1"/>
  <c r="P69" i="21" s="1"/>
  <c r="O69" i="21" a="1"/>
  <c r="O69" i="21" s="1"/>
  <c r="N69" i="21" a="1"/>
  <c r="N69" i="21" s="1"/>
  <c r="M69" i="21" a="1"/>
  <c r="M69" i="21" s="1"/>
  <c r="L69" i="21" a="1"/>
  <c r="L69" i="21" s="1"/>
  <c r="K69" i="21" a="1"/>
  <c r="K69" i="21" s="1"/>
  <c r="J69" i="21" a="1"/>
  <c r="J69" i="21" s="1"/>
  <c r="I69" i="21" a="1"/>
  <c r="I69" i="21" s="1"/>
  <c r="H69" i="21" a="1"/>
  <c r="H69" i="21" s="1"/>
  <c r="G69" i="21" a="1"/>
  <c r="G69" i="21" s="1"/>
  <c r="F69" i="21" a="1"/>
  <c r="F69" i="21" s="1"/>
  <c r="E69" i="21" a="1"/>
  <c r="E69" i="21" s="1"/>
  <c r="D69" i="21" a="1"/>
  <c r="D69" i="21" s="1"/>
  <c r="C69" i="21" a="1"/>
  <c r="C69" i="21" s="1"/>
  <c r="V68" i="21" a="1"/>
  <c r="V68" i="21" s="1"/>
  <c r="U68" i="21" a="1"/>
  <c r="U68" i="21" s="1"/>
  <c r="T68" i="21" a="1"/>
  <c r="T68" i="21" s="1"/>
  <c r="S68" i="21" a="1"/>
  <c r="S68" i="21" s="1"/>
  <c r="R68" i="21" a="1"/>
  <c r="R68" i="21" s="1"/>
  <c r="Q68" i="21" a="1"/>
  <c r="Q68" i="21" s="1"/>
  <c r="P68" i="21" a="1"/>
  <c r="P68" i="21" s="1"/>
  <c r="O68" i="21" a="1"/>
  <c r="O68" i="21" s="1"/>
  <c r="N68" i="21" a="1"/>
  <c r="N68" i="21" s="1"/>
  <c r="M68" i="21" a="1"/>
  <c r="M68" i="21" s="1"/>
  <c r="L68" i="21" a="1"/>
  <c r="L68" i="21" s="1"/>
  <c r="K68" i="21" a="1"/>
  <c r="K68" i="21" s="1"/>
  <c r="J68" i="21" a="1"/>
  <c r="J68" i="21" s="1"/>
  <c r="I68" i="21" a="1"/>
  <c r="I68" i="21" s="1"/>
  <c r="H68" i="21" a="1"/>
  <c r="H68" i="21" s="1"/>
  <c r="G68" i="21" a="1"/>
  <c r="G68" i="21" s="1"/>
  <c r="F68" i="21" a="1"/>
  <c r="F68" i="21" s="1"/>
  <c r="E68" i="21" a="1"/>
  <c r="E68" i="21" s="1"/>
  <c r="D68" i="21" a="1"/>
  <c r="D68" i="21" s="1"/>
  <c r="C68" i="21" a="1"/>
  <c r="C68" i="21" s="1"/>
  <c r="V67" i="21" a="1"/>
  <c r="V67" i="21" s="1"/>
  <c r="U67" i="21" a="1"/>
  <c r="U67" i="21" s="1"/>
  <c r="T67" i="21" a="1"/>
  <c r="T67" i="21" s="1"/>
  <c r="S67" i="21" a="1"/>
  <c r="S67" i="21" s="1"/>
  <c r="R67" i="21" a="1"/>
  <c r="R67" i="21" s="1"/>
  <c r="Q67" i="21" a="1"/>
  <c r="Q67" i="21" s="1"/>
  <c r="P67" i="21" a="1"/>
  <c r="P67" i="21" s="1"/>
  <c r="O67" i="21" a="1"/>
  <c r="O67" i="21" s="1"/>
  <c r="N67" i="21" a="1"/>
  <c r="N67" i="21" s="1"/>
  <c r="M67" i="21" a="1"/>
  <c r="M67" i="21" s="1"/>
  <c r="L67" i="21" a="1"/>
  <c r="L67" i="21" s="1"/>
  <c r="K67" i="21" a="1"/>
  <c r="K67" i="21" s="1"/>
  <c r="J67" i="21" a="1"/>
  <c r="J67" i="21" s="1"/>
  <c r="I67" i="21" a="1"/>
  <c r="I67" i="21" s="1"/>
  <c r="H67" i="21" a="1"/>
  <c r="H67" i="21" s="1"/>
  <c r="G67" i="21" a="1"/>
  <c r="G67" i="21" s="1"/>
  <c r="F67" i="21" a="1"/>
  <c r="F67" i="21" s="1"/>
  <c r="E67" i="21" a="1"/>
  <c r="E67" i="21" s="1"/>
  <c r="D67" i="21" a="1"/>
  <c r="D67" i="21" s="1"/>
  <c r="C67" i="21" a="1"/>
  <c r="C67" i="21" s="1"/>
  <c r="V62" i="21" a="1"/>
  <c r="V62" i="21" s="1"/>
  <c r="U62" i="21" a="1"/>
  <c r="U62" i="21" s="1"/>
  <c r="T62" i="21" a="1"/>
  <c r="T62" i="21" s="1"/>
  <c r="S62" i="21" a="1"/>
  <c r="S62" i="21" s="1"/>
  <c r="R62" i="21" a="1"/>
  <c r="R62" i="21" s="1"/>
  <c r="Q62" i="21" a="1"/>
  <c r="Q62" i="21" s="1"/>
  <c r="P62" i="21" a="1"/>
  <c r="P62" i="21" s="1"/>
  <c r="O62" i="21" a="1"/>
  <c r="O62" i="21" s="1"/>
  <c r="N62" i="21" a="1"/>
  <c r="N62" i="21" s="1"/>
  <c r="M62" i="21" a="1"/>
  <c r="M62" i="21" s="1"/>
  <c r="L62" i="21" a="1"/>
  <c r="L62" i="21" s="1"/>
  <c r="K62" i="21" a="1"/>
  <c r="K62" i="21" s="1"/>
  <c r="J62" i="21" a="1"/>
  <c r="J62" i="21" s="1"/>
  <c r="I62" i="21" a="1"/>
  <c r="I62" i="21" s="1"/>
  <c r="H62" i="21" a="1"/>
  <c r="H62" i="21" s="1"/>
  <c r="G62" i="21" a="1"/>
  <c r="G62" i="21" s="1"/>
  <c r="F62" i="21" a="1"/>
  <c r="F62" i="21" s="1"/>
  <c r="E62" i="21" a="1"/>
  <c r="E62" i="21" s="1"/>
  <c r="D62" i="21" a="1"/>
  <c r="D62" i="21" s="1"/>
  <c r="C62" i="21" a="1"/>
  <c r="C62" i="21" s="1"/>
  <c r="V61" i="21" a="1"/>
  <c r="V61" i="21" s="1"/>
  <c r="U61" i="21" a="1"/>
  <c r="U61" i="21" s="1"/>
  <c r="T61" i="21" a="1"/>
  <c r="T61" i="21" s="1"/>
  <c r="S61" i="21" a="1"/>
  <c r="S61" i="21" s="1"/>
  <c r="R61" i="21" a="1"/>
  <c r="R61" i="21" s="1"/>
  <c r="Q61" i="21" a="1"/>
  <c r="Q61" i="21" s="1"/>
  <c r="P61" i="21" a="1"/>
  <c r="P61" i="21" s="1"/>
  <c r="O61" i="21" a="1"/>
  <c r="O61" i="21" s="1"/>
  <c r="N61" i="21" a="1"/>
  <c r="N61" i="21" s="1"/>
  <c r="M61" i="21" a="1"/>
  <c r="M61" i="21" s="1"/>
  <c r="L61" i="21" a="1"/>
  <c r="L61" i="21" s="1"/>
  <c r="K61" i="21" a="1"/>
  <c r="K61" i="21" s="1"/>
  <c r="J61" i="21" a="1"/>
  <c r="J61" i="21" s="1"/>
  <c r="I61" i="21" a="1"/>
  <c r="I61" i="21" s="1"/>
  <c r="H61" i="21" a="1"/>
  <c r="H61" i="21" s="1"/>
  <c r="G61" i="21" a="1"/>
  <c r="G61" i="21" s="1"/>
  <c r="F61" i="21" a="1"/>
  <c r="F61" i="21" s="1"/>
  <c r="E61" i="21" a="1"/>
  <c r="E61" i="21" s="1"/>
  <c r="D61" i="21" a="1"/>
  <c r="D61" i="21" s="1"/>
  <c r="C61" i="21" a="1"/>
  <c r="C61" i="21" s="1"/>
  <c r="V60" i="21" a="1"/>
  <c r="V60" i="21" s="1"/>
  <c r="U60" i="21" a="1"/>
  <c r="U60" i="21" s="1"/>
  <c r="T60" i="21" a="1"/>
  <c r="T60" i="21" s="1"/>
  <c r="S60" i="21" a="1"/>
  <c r="S60" i="21" s="1"/>
  <c r="R60" i="21" a="1"/>
  <c r="R60" i="21" s="1"/>
  <c r="Q60" i="21" a="1"/>
  <c r="Q60" i="21" s="1"/>
  <c r="P60" i="21" a="1"/>
  <c r="P60" i="21" s="1"/>
  <c r="O60" i="21" a="1"/>
  <c r="O60" i="21" s="1"/>
  <c r="N60" i="21" a="1"/>
  <c r="N60" i="21" s="1"/>
  <c r="M60" i="21" a="1"/>
  <c r="M60" i="21" s="1"/>
  <c r="L60" i="21" a="1"/>
  <c r="L60" i="21" s="1"/>
  <c r="K60" i="21" a="1"/>
  <c r="K60" i="21" s="1"/>
  <c r="J60" i="21" a="1"/>
  <c r="J60" i="21" s="1"/>
  <c r="I60" i="21" a="1"/>
  <c r="I60" i="21" s="1"/>
  <c r="H60" i="21" a="1"/>
  <c r="H60" i="21" s="1"/>
  <c r="G60" i="21" a="1"/>
  <c r="G60" i="21" s="1"/>
  <c r="F60" i="21" a="1"/>
  <c r="F60" i="21" s="1"/>
  <c r="E60" i="21" a="1"/>
  <c r="E60" i="21" s="1"/>
  <c r="D60" i="21" a="1"/>
  <c r="D60" i="21" s="1"/>
  <c r="C60" i="21" a="1"/>
  <c r="C60" i="21" s="1"/>
  <c r="V59" i="21" a="1"/>
  <c r="V59" i="21" s="1"/>
  <c r="U59" i="21" a="1"/>
  <c r="U59" i="21" s="1"/>
  <c r="T59" i="21" a="1"/>
  <c r="T59" i="21" s="1"/>
  <c r="S59" i="21" a="1"/>
  <c r="S59" i="21" s="1"/>
  <c r="R59" i="21" a="1"/>
  <c r="R59" i="21" s="1"/>
  <c r="Q59" i="21" a="1"/>
  <c r="Q59" i="21" s="1"/>
  <c r="P59" i="21" a="1"/>
  <c r="P59" i="21" s="1"/>
  <c r="O59" i="21" a="1"/>
  <c r="O59" i="21" s="1"/>
  <c r="N59" i="21" a="1"/>
  <c r="N59" i="21" s="1"/>
  <c r="M59" i="21" a="1"/>
  <c r="M59" i="21" s="1"/>
  <c r="L59" i="21" a="1"/>
  <c r="L59" i="21" s="1"/>
  <c r="K59" i="21" a="1"/>
  <c r="K59" i="21" s="1"/>
  <c r="J59" i="21" a="1"/>
  <c r="J59" i="21" s="1"/>
  <c r="I59" i="21" a="1"/>
  <c r="I59" i="21" s="1"/>
  <c r="H59" i="21" a="1"/>
  <c r="H59" i="21" s="1"/>
  <c r="G59" i="21" a="1"/>
  <c r="G59" i="21" s="1"/>
  <c r="F59" i="21" a="1"/>
  <c r="F59" i="21" s="1"/>
  <c r="E59" i="21" a="1"/>
  <c r="E59" i="21" s="1"/>
  <c r="D59" i="21" a="1"/>
  <c r="D59" i="21" s="1"/>
  <c r="C59" i="21" a="1"/>
  <c r="C59" i="21" s="1"/>
  <c r="V58" i="21" a="1"/>
  <c r="V58" i="21" s="1"/>
  <c r="U58" i="21" a="1"/>
  <c r="U58" i="21" s="1"/>
  <c r="T58" i="21" a="1"/>
  <c r="T58" i="21" s="1"/>
  <c r="S58" i="21" a="1"/>
  <c r="S58" i="21" s="1"/>
  <c r="R58" i="21" a="1"/>
  <c r="R58" i="21" s="1"/>
  <c r="Q58" i="21" a="1"/>
  <c r="Q58" i="21" s="1"/>
  <c r="P58" i="21" a="1"/>
  <c r="P58" i="21" s="1"/>
  <c r="O58" i="21" a="1"/>
  <c r="O58" i="21" s="1"/>
  <c r="N58" i="21" a="1"/>
  <c r="N58" i="21" s="1"/>
  <c r="M58" i="21" a="1"/>
  <c r="M58" i="21" s="1"/>
  <c r="L58" i="21" a="1"/>
  <c r="L58" i="21" s="1"/>
  <c r="K58" i="21" a="1"/>
  <c r="K58" i="21" s="1"/>
  <c r="J58" i="21" a="1"/>
  <c r="J58" i="21" s="1"/>
  <c r="I58" i="21" a="1"/>
  <c r="I58" i="21" s="1"/>
  <c r="H58" i="21" a="1"/>
  <c r="H58" i="21" s="1"/>
  <c r="G58" i="21" a="1"/>
  <c r="G58" i="21" s="1"/>
  <c r="F58" i="21" a="1"/>
  <c r="F58" i="21" s="1"/>
  <c r="E58" i="21" a="1"/>
  <c r="E58" i="21" s="1"/>
  <c r="D58" i="21" a="1"/>
  <c r="D58" i="21" s="1"/>
  <c r="C58" i="21" a="1"/>
  <c r="C58" i="21" s="1"/>
  <c r="V53" i="21" a="1"/>
  <c r="V53" i="21" s="1"/>
  <c r="U53" i="21" a="1"/>
  <c r="U53" i="21" s="1"/>
  <c r="T53" i="21" a="1"/>
  <c r="T53" i="21" s="1"/>
  <c r="S53" i="21" a="1"/>
  <c r="S53" i="21" s="1"/>
  <c r="R53" i="21" a="1"/>
  <c r="R53" i="21" s="1"/>
  <c r="Q53" i="21" a="1"/>
  <c r="Q53" i="21" s="1"/>
  <c r="P53" i="21" a="1"/>
  <c r="P53" i="21" s="1"/>
  <c r="O53" i="21" a="1"/>
  <c r="O53" i="21" s="1"/>
  <c r="N53" i="21" a="1"/>
  <c r="N53" i="21" s="1"/>
  <c r="M53" i="21" a="1"/>
  <c r="M53" i="21" s="1"/>
  <c r="L53" i="21" a="1"/>
  <c r="L53" i="21" s="1"/>
  <c r="K53" i="21" a="1"/>
  <c r="K53" i="21" s="1"/>
  <c r="J53" i="21" a="1"/>
  <c r="J53" i="21" s="1"/>
  <c r="I53" i="21" a="1"/>
  <c r="I53" i="21" s="1"/>
  <c r="H53" i="21" a="1"/>
  <c r="H53" i="21" s="1"/>
  <c r="G53" i="21" a="1"/>
  <c r="G53" i="21" s="1"/>
  <c r="F53" i="21" a="1"/>
  <c r="F53" i="21" s="1"/>
  <c r="E53" i="21" a="1"/>
  <c r="E53" i="21" s="1"/>
  <c r="D53" i="21" a="1"/>
  <c r="D53" i="21" s="1"/>
  <c r="C53" i="21" a="1"/>
  <c r="C53" i="21" s="1"/>
  <c r="V52" i="21" a="1"/>
  <c r="V52" i="21" s="1"/>
  <c r="U52" i="21" a="1"/>
  <c r="U52" i="21" s="1"/>
  <c r="T52" i="21" a="1"/>
  <c r="T52" i="21" s="1"/>
  <c r="S52" i="21" a="1"/>
  <c r="S52" i="21" s="1"/>
  <c r="R52" i="21" a="1"/>
  <c r="R52" i="21" s="1"/>
  <c r="Q52" i="21" a="1"/>
  <c r="Q52" i="21" s="1"/>
  <c r="P52" i="21" a="1"/>
  <c r="P52" i="21" s="1"/>
  <c r="O52" i="21" a="1"/>
  <c r="O52" i="21" s="1"/>
  <c r="N52" i="21" a="1"/>
  <c r="N52" i="21" s="1"/>
  <c r="M52" i="21" a="1"/>
  <c r="M52" i="21" s="1"/>
  <c r="L52" i="21" a="1"/>
  <c r="L52" i="21" s="1"/>
  <c r="K52" i="21" a="1"/>
  <c r="K52" i="21" s="1"/>
  <c r="J52" i="21" a="1"/>
  <c r="J52" i="21" s="1"/>
  <c r="I52" i="21" a="1"/>
  <c r="I52" i="21" s="1"/>
  <c r="H52" i="21" a="1"/>
  <c r="H52" i="21" s="1"/>
  <c r="G52" i="21" a="1"/>
  <c r="G52" i="21" s="1"/>
  <c r="F52" i="21" a="1"/>
  <c r="F52" i="21" s="1"/>
  <c r="E52" i="21" a="1"/>
  <c r="E52" i="21" s="1"/>
  <c r="D52" i="21" a="1"/>
  <c r="D52" i="21" s="1"/>
  <c r="C52" i="21" a="1"/>
  <c r="C52" i="21" s="1"/>
  <c r="V51" i="21" a="1"/>
  <c r="V51" i="21" s="1"/>
  <c r="U51" i="21" a="1"/>
  <c r="U51" i="21" s="1"/>
  <c r="T51" i="21" a="1"/>
  <c r="T51" i="21" s="1"/>
  <c r="S51" i="21" a="1"/>
  <c r="S51" i="21" s="1"/>
  <c r="R51" i="21" a="1"/>
  <c r="R51" i="21" s="1"/>
  <c r="Q51" i="21" a="1"/>
  <c r="Q51" i="21" s="1"/>
  <c r="P51" i="21" a="1"/>
  <c r="P51" i="21" s="1"/>
  <c r="O51" i="21" a="1"/>
  <c r="O51" i="21" s="1"/>
  <c r="N51" i="21" a="1"/>
  <c r="N51" i="21" s="1"/>
  <c r="M51" i="21" a="1"/>
  <c r="M51" i="21" s="1"/>
  <c r="L51" i="21" a="1"/>
  <c r="L51" i="21" s="1"/>
  <c r="K51" i="21" a="1"/>
  <c r="K51" i="21" s="1"/>
  <c r="J51" i="21" a="1"/>
  <c r="J51" i="21" s="1"/>
  <c r="I51" i="21" a="1"/>
  <c r="I51" i="21" s="1"/>
  <c r="H51" i="21" a="1"/>
  <c r="H51" i="21" s="1"/>
  <c r="G51" i="21" a="1"/>
  <c r="G51" i="21" s="1"/>
  <c r="F51" i="21" a="1"/>
  <c r="F51" i="21" s="1"/>
  <c r="E51" i="21" a="1"/>
  <c r="E51" i="21" s="1"/>
  <c r="D51" i="21" a="1"/>
  <c r="D51" i="21" s="1"/>
  <c r="C51" i="21" a="1"/>
  <c r="C51" i="21" s="1"/>
  <c r="V50" i="21" a="1"/>
  <c r="V50" i="21" s="1"/>
  <c r="U50" i="21" a="1"/>
  <c r="U50" i="21" s="1"/>
  <c r="T50" i="21" a="1"/>
  <c r="T50" i="21" s="1"/>
  <c r="S50" i="21" a="1"/>
  <c r="S50" i="21" s="1"/>
  <c r="R50" i="21" a="1"/>
  <c r="R50" i="21" s="1"/>
  <c r="Q50" i="21" a="1"/>
  <c r="Q50" i="21" s="1"/>
  <c r="P50" i="21" a="1"/>
  <c r="P50" i="21" s="1"/>
  <c r="O50" i="21" a="1"/>
  <c r="O50" i="21" s="1"/>
  <c r="N50" i="21" a="1"/>
  <c r="N50" i="21" s="1"/>
  <c r="M50" i="21" a="1"/>
  <c r="M50" i="21" s="1"/>
  <c r="L50" i="21" a="1"/>
  <c r="L50" i="21" s="1"/>
  <c r="K50" i="21" a="1"/>
  <c r="K50" i="21" s="1"/>
  <c r="J50" i="21" a="1"/>
  <c r="J50" i="21" s="1"/>
  <c r="I50" i="21" a="1"/>
  <c r="I50" i="21" s="1"/>
  <c r="H50" i="21" a="1"/>
  <c r="H50" i="21" s="1"/>
  <c r="G50" i="21" a="1"/>
  <c r="G50" i="21" s="1"/>
  <c r="F50" i="21" a="1"/>
  <c r="F50" i="21" s="1"/>
  <c r="E50" i="21" a="1"/>
  <c r="E50" i="21" s="1"/>
  <c r="D50" i="21" a="1"/>
  <c r="D50" i="21" s="1"/>
  <c r="C50" i="21" a="1"/>
  <c r="C50" i="21" s="1"/>
  <c r="V49" i="21" a="1"/>
  <c r="V49" i="21" s="1"/>
  <c r="U49" i="21" a="1"/>
  <c r="U49" i="21" s="1"/>
  <c r="T49" i="21" a="1"/>
  <c r="T49" i="21" s="1"/>
  <c r="S49" i="21" a="1"/>
  <c r="S49" i="21" s="1"/>
  <c r="R49" i="21" a="1"/>
  <c r="R49" i="21" s="1"/>
  <c r="Q49" i="21" a="1"/>
  <c r="Q49" i="21" s="1"/>
  <c r="P49" i="21" a="1"/>
  <c r="P49" i="21" s="1"/>
  <c r="O49" i="21" a="1"/>
  <c r="O49" i="21" s="1"/>
  <c r="N49" i="21" a="1"/>
  <c r="N49" i="21" s="1"/>
  <c r="M49" i="21" a="1"/>
  <c r="M49" i="21" s="1"/>
  <c r="L49" i="21" a="1"/>
  <c r="L49" i="21" s="1"/>
  <c r="K49" i="21" a="1"/>
  <c r="K49" i="21" s="1"/>
  <c r="J49" i="21" a="1"/>
  <c r="J49" i="21" s="1"/>
  <c r="I49" i="21" a="1"/>
  <c r="I49" i="21" s="1"/>
  <c r="H49" i="21" a="1"/>
  <c r="H49" i="21" s="1"/>
  <c r="G49" i="21" a="1"/>
  <c r="G49" i="21" s="1"/>
  <c r="F49" i="21" a="1"/>
  <c r="F49" i="21" s="1"/>
  <c r="E49" i="21" a="1"/>
  <c r="E49" i="21" s="1"/>
  <c r="D49" i="21" a="1"/>
  <c r="D49" i="21" s="1"/>
  <c r="C49" i="21" a="1"/>
  <c r="C49" i="21" s="1"/>
  <c r="V44" i="21" a="1"/>
  <c r="V44" i="21" s="1"/>
  <c r="U44" i="21" a="1"/>
  <c r="U44" i="21" s="1"/>
  <c r="T44" i="21" a="1"/>
  <c r="T44" i="21" s="1"/>
  <c r="S44" i="21" a="1"/>
  <c r="S44" i="21" s="1"/>
  <c r="R44" i="21" a="1"/>
  <c r="R44" i="21" s="1"/>
  <c r="Q44" i="21" a="1"/>
  <c r="Q44" i="21" s="1"/>
  <c r="P44" i="21" a="1"/>
  <c r="P44" i="21" s="1"/>
  <c r="O44" i="21" a="1"/>
  <c r="O44" i="21" s="1"/>
  <c r="N44" i="21" a="1"/>
  <c r="N44" i="21" s="1"/>
  <c r="M44" i="21" a="1"/>
  <c r="M44" i="21" s="1"/>
  <c r="L44" i="21" a="1"/>
  <c r="L44" i="21" s="1"/>
  <c r="K44" i="21" a="1"/>
  <c r="K44" i="21" s="1"/>
  <c r="J44" i="21" a="1"/>
  <c r="J44" i="21" s="1"/>
  <c r="I44" i="21" a="1"/>
  <c r="I44" i="21" s="1"/>
  <c r="H44" i="21" a="1"/>
  <c r="H44" i="21" s="1"/>
  <c r="G44" i="21" a="1"/>
  <c r="G44" i="21" s="1"/>
  <c r="F44" i="21" a="1"/>
  <c r="F44" i="21" s="1"/>
  <c r="E44" i="21" a="1"/>
  <c r="E44" i="21" s="1"/>
  <c r="D44" i="21" a="1"/>
  <c r="D44" i="21" s="1"/>
  <c r="C44" i="21" a="1"/>
  <c r="C44" i="21" s="1"/>
  <c r="V43" i="21" a="1"/>
  <c r="V43" i="21" s="1"/>
  <c r="U43" i="21" a="1"/>
  <c r="U43" i="21" s="1"/>
  <c r="T43" i="21" a="1"/>
  <c r="T43" i="21" s="1"/>
  <c r="S43" i="21" a="1"/>
  <c r="S43" i="21" s="1"/>
  <c r="R43" i="21" a="1"/>
  <c r="R43" i="21" s="1"/>
  <c r="Q43" i="21" a="1"/>
  <c r="Q43" i="21" s="1"/>
  <c r="P43" i="21" a="1"/>
  <c r="P43" i="21" s="1"/>
  <c r="O43" i="21" a="1"/>
  <c r="O43" i="21" s="1"/>
  <c r="N43" i="21" a="1"/>
  <c r="N43" i="21" s="1"/>
  <c r="M43" i="21" a="1"/>
  <c r="M43" i="21" s="1"/>
  <c r="L43" i="21" a="1"/>
  <c r="L43" i="21" s="1"/>
  <c r="K43" i="21" a="1"/>
  <c r="K43" i="21" s="1"/>
  <c r="J43" i="21" a="1"/>
  <c r="J43" i="21" s="1"/>
  <c r="I43" i="21" a="1"/>
  <c r="I43" i="21" s="1"/>
  <c r="H43" i="21" a="1"/>
  <c r="H43" i="21" s="1"/>
  <c r="G43" i="21" a="1"/>
  <c r="G43" i="21" s="1"/>
  <c r="F43" i="21" a="1"/>
  <c r="F43" i="21" s="1"/>
  <c r="E43" i="21" a="1"/>
  <c r="E43" i="21" s="1"/>
  <c r="D43" i="21" a="1"/>
  <c r="D43" i="21" s="1"/>
  <c r="C43" i="21" a="1"/>
  <c r="C43" i="21" s="1"/>
  <c r="V42" i="21" a="1"/>
  <c r="V42" i="21" s="1"/>
  <c r="U42" i="21" a="1"/>
  <c r="U42" i="21" s="1"/>
  <c r="T42" i="21" a="1"/>
  <c r="T42" i="21" s="1"/>
  <c r="S42" i="21" a="1"/>
  <c r="S42" i="21" s="1"/>
  <c r="R42" i="21" a="1"/>
  <c r="R42" i="21" s="1"/>
  <c r="Q42" i="21" a="1"/>
  <c r="Q42" i="21" s="1"/>
  <c r="P42" i="21" a="1"/>
  <c r="P42" i="21" s="1"/>
  <c r="O42" i="21" a="1"/>
  <c r="O42" i="21" s="1"/>
  <c r="N42" i="21" a="1"/>
  <c r="N42" i="21" s="1"/>
  <c r="M42" i="21" a="1"/>
  <c r="M42" i="21" s="1"/>
  <c r="L42" i="21" a="1"/>
  <c r="L42" i="21" s="1"/>
  <c r="K42" i="21" a="1"/>
  <c r="K42" i="21" s="1"/>
  <c r="J42" i="21" a="1"/>
  <c r="J42" i="21" s="1"/>
  <c r="I42" i="21" a="1"/>
  <c r="I42" i="21" s="1"/>
  <c r="H42" i="21" a="1"/>
  <c r="H42" i="21" s="1"/>
  <c r="G42" i="21" a="1"/>
  <c r="G42" i="21" s="1"/>
  <c r="F42" i="21" a="1"/>
  <c r="F42" i="21" s="1"/>
  <c r="E42" i="21" a="1"/>
  <c r="E42" i="21" s="1"/>
  <c r="D42" i="21" a="1"/>
  <c r="D42" i="21" s="1"/>
  <c r="C42" i="21" a="1"/>
  <c r="C42" i="21" s="1"/>
  <c r="V41" i="21" a="1"/>
  <c r="V41" i="21" s="1"/>
  <c r="U41" i="21" a="1"/>
  <c r="U41" i="21" s="1"/>
  <c r="T41" i="21" a="1"/>
  <c r="T41" i="21" s="1"/>
  <c r="S41" i="21" a="1"/>
  <c r="S41" i="21" s="1"/>
  <c r="R41" i="21" a="1"/>
  <c r="R41" i="21" s="1"/>
  <c r="Q41" i="21" a="1"/>
  <c r="Q41" i="21" s="1"/>
  <c r="P41" i="21" a="1"/>
  <c r="P41" i="21" s="1"/>
  <c r="O41" i="21" a="1"/>
  <c r="O41" i="21" s="1"/>
  <c r="N41" i="21" a="1"/>
  <c r="N41" i="21" s="1"/>
  <c r="M41" i="21" a="1"/>
  <c r="M41" i="21" s="1"/>
  <c r="L41" i="21" a="1"/>
  <c r="L41" i="21" s="1"/>
  <c r="K41" i="21" a="1"/>
  <c r="K41" i="21" s="1"/>
  <c r="J41" i="21" a="1"/>
  <c r="J41" i="21" s="1"/>
  <c r="I41" i="21" a="1"/>
  <c r="I41" i="21" s="1"/>
  <c r="H41" i="21" a="1"/>
  <c r="H41" i="21" s="1"/>
  <c r="G41" i="21" a="1"/>
  <c r="G41" i="21" s="1"/>
  <c r="F41" i="21" a="1"/>
  <c r="F41" i="21" s="1"/>
  <c r="E41" i="21" a="1"/>
  <c r="E41" i="21" s="1"/>
  <c r="D41" i="21" a="1"/>
  <c r="D41" i="21" s="1"/>
  <c r="C41" i="21" a="1"/>
  <c r="C41" i="21" s="1"/>
  <c r="V40" i="21" a="1"/>
  <c r="V40" i="21" s="1"/>
  <c r="U40" i="21" a="1"/>
  <c r="U40" i="21" s="1"/>
  <c r="T40" i="21" a="1"/>
  <c r="T40" i="21" s="1"/>
  <c r="S40" i="21" a="1"/>
  <c r="S40" i="21" s="1"/>
  <c r="R40" i="21" a="1"/>
  <c r="R40" i="21" s="1"/>
  <c r="Q40" i="21" a="1"/>
  <c r="Q40" i="21" s="1"/>
  <c r="P40" i="21" a="1"/>
  <c r="P40" i="21" s="1"/>
  <c r="O40" i="21" a="1"/>
  <c r="O40" i="21" s="1"/>
  <c r="N40" i="21" a="1"/>
  <c r="N40" i="21" s="1"/>
  <c r="M40" i="21" a="1"/>
  <c r="M40" i="21" s="1"/>
  <c r="L40" i="21" a="1"/>
  <c r="L40" i="21" s="1"/>
  <c r="K40" i="21" a="1"/>
  <c r="K40" i="21" s="1"/>
  <c r="J40" i="21" a="1"/>
  <c r="J40" i="21" s="1"/>
  <c r="I40" i="21" a="1"/>
  <c r="I40" i="21" s="1"/>
  <c r="H40" i="21" a="1"/>
  <c r="H40" i="21" s="1"/>
  <c r="G40" i="21" a="1"/>
  <c r="G40" i="21" s="1"/>
  <c r="F40" i="21" a="1"/>
  <c r="F40" i="21" s="1"/>
  <c r="E40" i="21" a="1"/>
  <c r="E40" i="21" s="1"/>
  <c r="D40" i="21" a="1"/>
  <c r="D40" i="21" s="1"/>
  <c r="C40" i="21" a="1"/>
  <c r="C40" i="21" s="1"/>
  <c r="V35" i="21" a="1"/>
  <c r="V35" i="21" s="1"/>
  <c r="U35" i="21" a="1"/>
  <c r="U35" i="21" s="1"/>
  <c r="T35" i="21" a="1"/>
  <c r="T35" i="21" s="1"/>
  <c r="S35" i="21" a="1"/>
  <c r="S35" i="21" s="1"/>
  <c r="R35" i="21" a="1"/>
  <c r="R35" i="21" s="1"/>
  <c r="Q35" i="21" a="1"/>
  <c r="Q35" i="21" s="1"/>
  <c r="P35" i="21" a="1"/>
  <c r="P35" i="21" s="1"/>
  <c r="O35" i="21" a="1"/>
  <c r="O35" i="21" s="1"/>
  <c r="N35" i="21" a="1"/>
  <c r="N35" i="21" s="1"/>
  <c r="M35" i="21" a="1"/>
  <c r="M35" i="21" s="1"/>
  <c r="L35" i="21" a="1"/>
  <c r="L35" i="21" s="1"/>
  <c r="K35" i="21" a="1"/>
  <c r="K35" i="21" s="1"/>
  <c r="J35" i="21" a="1"/>
  <c r="J35" i="21" s="1"/>
  <c r="I35" i="21" a="1"/>
  <c r="I35" i="21" s="1"/>
  <c r="H35" i="21" a="1"/>
  <c r="H35" i="21" s="1"/>
  <c r="J18" i="28" s="1"/>
  <c r="G35" i="21" a="1"/>
  <c r="G35" i="21" s="1"/>
  <c r="F35" i="21" a="1"/>
  <c r="F35" i="21" s="1"/>
  <c r="E35" i="21" a="1"/>
  <c r="E35" i="21" s="1"/>
  <c r="D35" i="21" a="1"/>
  <c r="D35" i="21" s="1"/>
  <c r="C35" i="21" a="1"/>
  <c r="C35" i="21" s="1"/>
  <c r="V34" i="21" a="1"/>
  <c r="V34" i="21" s="1"/>
  <c r="U34" i="21" a="1"/>
  <c r="U34" i="21" s="1"/>
  <c r="T34" i="21" a="1"/>
  <c r="T34" i="21" s="1"/>
  <c r="S34" i="21" a="1"/>
  <c r="S34" i="21" s="1"/>
  <c r="R34" i="21" a="1"/>
  <c r="R34" i="21" s="1"/>
  <c r="Q34" i="21" a="1"/>
  <c r="Q34" i="21" s="1"/>
  <c r="P34" i="21" a="1"/>
  <c r="P34" i="21" s="1"/>
  <c r="O34" i="21" a="1"/>
  <c r="O34" i="21" s="1"/>
  <c r="N34" i="21" a="1"/>
  <c r="N34" i="21" s="1"/>
  <c r="M34" i="21" a="1"/>
  <c r="M34" i="21" s="1"/>
  <c r="L34" i="21" a="1"/>
  <c r="L34" i="21" s="1"/>
  <c r="K34" i="21" a="1"/>
  <c r="K34" i="21" s="1"/>
  <c r="J34" i="21" a="1"/>
  <c r="J34" i="21" s="1"/>
  <c r="I34" i="21" a="1"/>
  <c r="I34" i="21" s="1"/>
  <c r="H34" i="21" a="1"/>
  <c r="H34" i="21" s="1"/>
  <c r="I18" i="28" s="1"/>
  <c r="G34" i="21" a="1"/>
  <c r="G34" i="21" s="1"/>
  <c r="F34" i="21" a="1"/>
  <c r="F34" i="21" s="1"/>
  <c r="E34" i="21" a="1"/>
  <c r="E34" i="21" s="1"/>
  <c r="D34" i="21" a="1"/>
  <c r="D34" i="21" s="1"/>
  <c r="C34" i="21" a="1"/>
  <c r="C34" i="21" s="1"/>
  <c r="V33" i="21" a="1"/>
  <c r="V33" i="21" s="1"/>
  <c r="U33" i="21" a="1"/>
  <c r="U33" i="21" s="1"/>
  <c r="T33" i="21" a="1"/>
  <c r="T33" i="21" s="1"/>
  <c r="S33" i="21" a="1"/>
  <c r="S33" i="21" s="1"/>
  <c r="R33" i="21" a="1"/>
  <c r="R33" i="21" s="1"/>
  <c r="Q33" i="21" a="1"/>
  <c r="Q33" i="21" s="1"/>
  <c r="P33" i="21" a="1"/>
  <c r="P33" i="21" s="1"/>
  <c r="O33" i="21" a="1"/>
  <c r="O33" i="21" s="1"/>
  <c r="N33" i="21" a="1"/>
  <c r="N33" i="21" s="1"/>
  <c r="M33" i="21" a="1"/>
  <c r="M33" i="21" s="1"/>
  <c r="L33" i="21" a="1"/>
  <c r="L33" i="21" s="1"/>
  <c r="K33" i="21" a="1"/>
  <c r="K33" i="21" s="1"/>
  <c r="J33" i="21" a="1"/>
  <c r="J33" i="21" s="1"/>
  <c r="I33" i="21" a="1"/>
  <c r="I33" i="21" s="1"/>
  <c r="H33" i="21" a="1"/>
  <c r="H33" i="21" s="1"/>
  <c r="H18" i="28" s="1"/>
  <c r="G33" i="21" a="1"/>
  <c r="G33" i="21" s="1"/>
  <c r="F33" i="21" a="1"/>
  <c r="F33" i="21" s="1"/>
  <c r="E33" i="21" a="1"/>
  <c r="E33" i="21" s="1"/>
  <c r="D33" i="21" a="1"/>
  <c r="D33" i="21" s="1"/>
  <c r="C33" i="21" a="1"/>
  <c r="C33" i="21" s="1"/>
  <c r="V32" i="21" a="1"/>
  <c r="V32" i="21" s="1"/>
  <c r="U32" i="21" a="1"/>
  <c r="U32" i="21" s="1"/>
  <c r="T32" i="21" a="1"/>
  <c r="T32" i="21" s="1"/>
  <c r="S32" i="21" a="1"/>
  <c r="S32" i="21" s="1"/>
  <c r="R32" i="21" a="1"/>
  <c r="R32" i="21" s="1"/>
  <c r="Q32" i="21" a="1"/>
  <c r="Q32" i="21" s="1"/>
  <c r="P32" i="21" a="1"/>
  <c r="P32" i="21" s="1"/>
  <c r="O32" i="21" a="1"/>
  <c r="O32" i="21" s="1"/>
  <c r="N32" i="21" a="1"/>
  <c r="N32" i="21" s="1"/>
  <c r="M32" i="21" a="1"/>
  <c r="M32" i="21" s="1"/>
  <c r="L32" i="21" a="1"/>
  <c r="L32" i="21" s="1"/>
  <c r="K32" i="21" a="1"/>
  <c r="K32" i="21" s="1"/>
  <c r="J32" i="21" a="1"/>
  <c r="J32" i="21" s="1"/>
  <c r="I32" i="21" a="1"/>
  <c r="I32" i="21" s="1"/>
  <c r="H32" i="21" a="1"/>
  <c r="H32" i="21" s="1"/>
  <c r="G18" i="28" s="1"/>
  <c r="G32" i="21" a="1"/>
  <c r="G32" i="21" s="1"/>
  <c r="F32" i="21" a="1"/>
  <c r="F32" i="21" s="1"/>
  <c r="E32" i="21" a="1"/>
  <c r="E32" i="21" s="1"/>
  <c r="D32" i="21" a="1"/>
  <c r="D32" i="21" s="1"/>
  <c r="C32" i="21" a="1"/>
  <c r="C32" i="21" s="1"/>
  <c r="V31" i="21" a="1"/>
  <c r="V31" i="21" s="1"/>
  <c r="U31" i="21" a="1"/>
  <c r="U31" i="21" s="1"/>
  <c r="T31" i="21" a="1"/>
  <c r="T31" i="21" s="1"/>
  <c r="S31" i="21" a="1"/>
  <c r="S31" i="21" s="1"/>
  <c r="R31" i="21" a="1"/>
  <c r="R31" i="21" s="1"/>
  <c r="Q31" i="21" a="1"/>
  <c r="Q31" i="21" s="1"/>
  <c r="P31" i="21" a="1"/>
  <c r="P31" i="21" s="1"/>
  <c r="O31" i="21" a="1"/>
  <c r="O31" i="21" s="1"/>
  <c r="N31" i="21" a="1"/>
  <c r="N31" i="21" s="1"/>
  <c r="M31" i="21" a="1"/>
  <c r="M31" i="21" s="1"/>
  <c r="L31" i="21" a="1"/>
  <c r="L31" i="21" s="1"/>
  <c r="K31" i="21" a="1"/>
  <c r="K31" i="21" s="1"/>
  <c r="J31" i="21" a="1"/>
  <c r="J31" i="21" s="1"/>
  <c r="I31" i="21" a="1"/>
  <c r="I31" i="21" s="1"/>
  <c r="H31" i="21" a="1"/>
  <c r="H31" i="21" s="1"/>
  <c r="G31" i="21" a="1"/>
  <c r="G31" i="21" s="1"/>
  <c r="F31" i="21" a="1"/>
  <c r="F31" i="21" s="1"/>
  <c r="E31" i="21" a="1"/>
  <c r="E31" i="21" s="1"/>
  <c r="D31" i="21" a="1"/>
  <c r="D31" i="21" s="1"/>
  <c r="C31" i="21" a="1"/>
  <c r="C31" i="21" s="1"/>
  <c r="V26" i="21" a="1"/>
  <c r="V26" i="21" s="1"/>
  <c r="U26" i="21" a="1"/>
  <c r="U26" i="21" s="1"/>
  <c r="T26" i="21" a="1"/>
  <c r="T26" i="21" s="1"/>
  <c r="S26" i="21" a="1"/>
  <c r="S26" i="21" s="1"/>
  <c r="R26" i="21" a="1"/>
  <c r="R26" i="21" s="1"/>
  <c r="Q26" i="21" a="1"/>
  <c r="Q26" i="21" s="1"/>
  <c r="P26" i="21" a="1"/>
  <c r="P26" i="21" s="1"/>
  <c r="O26" i="21" a="1"/>
  <c r="O26" i="21" s="1"/>
  <c r="N26" i="21" a="1"/>
  <c r="N26" i="21" s="1"/>
  <c r="M26" i="21" a="1"/>
  <c r="M26" i="21" s="1"/>
  <c r="L26" i="21" a="1"/>
  <c r="L26" i="21" s="1"/>
  <c r="K26" i="21" a="1"/>
  <c r="K26" i="21" s="1"/>
  <c r="J26" i="21" a="1"/>
  <c r="J26" i="21" s="1"/>
  <c r="I26" i="21" a="1"/>
  <c r="I26" i="21" s="1"/>
  <c r="H26" i="21" a="1"/>
  <c r="H26" i="21" s="1"/>
  <c r="G26" i="21" a="1"/>
  <c r="G26" i="21" s="1"/>
  <c r="F26" i="21" a="1"/>
  <c r="F26" i="21" s="1"/>
  <c r="E26" i="21" a="1"/>
  <c r="E26" i="21" s="1"/>
  <c r="D26" i="21" a="1"/>
  <c r="D26" i="21" s="1"/>
  <c r="C26" i="21" a="1"/>
  <c r="C26" i="21" s="1"/>
  <c r="V25" i="21" a="1"/>
  <c r="V25" i="21" s="1"/>
  <c r="U25" i="21" a="1"/>
  <c r="U25" i="21" s="1"/>
  <c r="T25" i="21" a="1"/>
  <c r="T25" i="21" s="1"/>
  <c r="S25" i="21" a="1"/>
  <c r="S25" i="21" s="1"/>
  <c r="R25" i="21" a="1"/>
  <c r="R25" i="21" s="1"/>
  <c r="Q25" i="21" a="1"/>
  <c r="Q25" i="21" s="1"/>
  <c r="P25" i="21" a="1"/>
  <c r="P25" i="21" s="1"/>
  <c r="O25" i="21" a="1"/>
  <c r="O25" i="21" s="1"/>
  <c r="N25" i="21" a="1"/>
  <c r="N25" i="21" s="1"/>
  <c r="M25" i="21" a="1"/>
  <c r="M25" i="21" s="1"/>
  <c r="L25" i="21" a="1"/>
  <c r="L25" i="21" s="1"/>
  <c r="K25" i="21" a="1"/>
  <c r="K25" i="21" s="1"/>
  <c r="J25" i="21" a="1"/>
  <c r="J25" i="21" s="1"/>
  <c r="I25" i="21" a="1"/>
  <c r="I25" i="21" s="1"/>
  <c r="H25" i="21" a="1"/>
  <c r="H25" i="21" s="1"/>
  <c r="G25" i="21" a="1"/>
  <c r="G25" i="21" s="1"/>
  <c r="F25" i="21" a="1"/>
  <c r="F25" i="21" s="1"/>
  <c r="E25" i="21" a="1"/>
  <c r="E25" i="21" s="1"/>
  <c r="D25" i="21" a="1"/>
  <c r="D25" i="21" s="1"/>
  <c r="C25" i="21" a="1"/>
  <c r="C25" i="21" s="1"/>
  <c r="V24" i="21" a="1"/>
  <c r="V24" i="21" s="1"/>
  <c r="U24" i="21" a="1"/>
  <c r="U24" i="21" s="1"/>
  <c r="T24" i="21" a="1"/>
  <c r="T24" i="21" s="1"/>
  <c r="S24" i="21" a="1"/>
  <c r="S24" i="21" s="1"/>
  <c r="R24" i="21" a="1"/>
  <c r="R24" i="21" s="1"/>
  <c r="Q24" i="21" a="1"/>
  <c r="Q24" i="21" s="1"/>
  <c r="P24" i="21" a="1"/>
  <c r="P24" i="21" s="1"/>
  <c r="O24" i="21" a="1"/>
  <c r="O24" i="21" s="1"/>
  <c r="N24" i="21" a="1"/>
  <c r="N24" i="21" s="1"/>
  <c r="M24" i="21" a="1"/>
  <c r="M24" i="21" s="1"/>
  <c r="L24" i="21" a="1"/>
  <c r="L24" i="21" s="1"/>
  <c r="K24" i="21" a="1"/>
  <c r="K24" i="21" s="1"/>
  <c r="J24" i="21" a="1"/>
  <c r="J24" i="21" s="1"/>
  <c r="I24" i="21" a="1"/>
  <c r="I24" i="21" s="1"/>
  <c r="H24" i="21" a="1"/>
  <c r="H24" i="21" s="1"/>
  <c r="G24" i="21" a="1"/>
  <c r="G24" i="21" s="1"/>
  <c r="F24" i="21" a="1"/>
  <c r="F24" i="21" s="1"/>
  <c r="E24" i="21" a="1"/>
  <c r="E24" i="21" s="1"/>
  <c r="D24" i="21" a="1"/>
  <c r="D24" i="21" s="1"/>
  <c r="C24" i="21" a="1"/>
  <c r="C24" i="21" s="1"/>
  <c r="V23" i="21" a="1"/>
  <c r="V23" i="21" s="1"/>
  <c r="U23" i="21" a="1"/>
  <c r="U23" i="21" s="1"/>
  <c r="T23" i="21" a="1"/>
  <c r="T23" i="21" s="1"/>
  <c r="S23" i="21" a="1"/>
  <c r="S23" i="21" s="1"/>
  <c r="R23" i="21" a="1"/>
  <c r="R23" i="21" s="1"/>
  <c r="Q23" i="21" a="1"/>
  <c r="Q23" i="21" s="1"/>
  <c r="P23" i="21" a="1"/>
  <c r="P23" i="21" s="1"/>
  <c r="O23" i="21" a="1"/>
  <c r="O23" i="21" s="1"/>
  <c r="N23" i="21" a="1"/>
  <c r="N23" i="21" s="1"/>
  <c r="M23" i="21" a="1"/>
  <c r="M23" i="21" s="1"/>
  <c r="L23" i="21" a="1"/>
  <c r="L23" i="21" s="1"/>
  <c r="K23" i="21" a="1"/>
  <c r="K23" i="21" s="1"/>
  <c r="J23" i="21" a="1"/>
  <c r="J23" i="21" s="1"/>
  <c r="I23" i="21" a="1"/>
  <c r="I23" i="21" s="1"/>
  <c r="H23" i="21" a="1"/>
  <c r="H23" i="21" s="1"/>
  <c r="G23" i="21" a="1"/>
  <c r="G23" i="21" s="1"/>
  <c r="F23" i="21" a="1"/>
  <c r="F23" i="21" s="1"/>
  <c r="E23" i="21" a="1"/>
  <c r="E23" i="21" s="1"/>
  <c r="D23" i="21" a="1"/>
  <c r="D23" i="21" s="1"/>
  <c r="C23" i="21" a="1"/>
  <c r="C23" i="21" s="1"/>
  <c r="V22" i="21" a="1"/>
  <c r="V22" i="21" s="1"/>
  <c r="U22" i="21" a="1"/>
  <c r="U22" i="21" s="1"/>
  <c r="T22" i="21" a="1"/>
  <c r="T22" i="21" s="1"/>
  <c r="S22" i="21" a="1"/>
  <c r="S22" i="21" s="1"/>
  <c r="R22" i="21" a="1"/>
  <c r="R22" i="21" s="1"/>
  <c r="Q22" i="21" a="1"/>
  <c r="Q22" i="21" s="1"/>
  <c r="P22" i="21" a="1"/>
  <c r="P22" i="21" s="1"/>
  <c r="O22" i="21" a="1"/>
  <c r="O22" i="21" s="1"/>
  <c r="N22" i="21" a="1"/>
  <c r="N22" i="21" s="1"/>
  <c r="M22" i="21" a="1"/>
  <c r="M22" i="21" s="1"/>
  <c r="L22" i="21" a="1"/>
  <c r="L22" i="21" s="1"/>
  <c r="K22" i="21" a="1"/>
  <c r="K22" i="21" s="1"/>
  <c r="J22" i="21" a="1"/>
  <c r="J22" i="21" s="1"/>
  <c r="I22" i="21" a="1"/>
  <c r="I22" i="21" s="1"/>
  <c r="H22" i="21" a="1"/>
  <c r="H22" i="21" s="1"/>
  <c r="G22" i="21" a="1"/>
  <c r="G22" i="21" s="1"/>
  <c r="F22" i="21" a="1"/>
  <c r="F22" i="21" s="1"/>
  <c r="E22" i="21" a="1"/>
  <c r="E22" i="21" s="1"/>
  <c r="D22" i="21" a="1"/>
  <c r="D22" i="21" s="1"/>
  <c r="C22" i="21" a="1"/>
  <c r="C22" i="21" s="1"/>
  <c r="V17" i="21" a="1"/>
  <c r="V17" i="21" s="1"/>
  <c r="U17" i="21" a="1"/>
  <c r="U17" i="21" s="1"/>
  <c r="T17" i="21" a="1"/>
  <c r="T17" i="21" s="1"/>
  <c r="S17" i="21" a="1"/>
  <c r="S17" i="21" s="1"/>
  <c r="R17" i="21" a="1"/>
  <c r="R17" i="21" s="1"/>
  <c r="Q17" i="21" a="1"/>
  <c r="Q17" i="21" s="1"/>
  <c r="P17" i="21" a="1"/>
  <c r="P17" i="21" s="1"/>
  <c r="O17" i="21" a="1"/>
  <c r="O17" i="21" s="1"/>
  <c r="N17" i="21" a="1"/>
  <c r="N17" i="21" s="1"/>
  <c r="M17" i="21" a="1"/>
  <c r="M17" i="21" s="1"/>
  <c r="L17" i="21" a="1"/>
  <c r="L17" i="21" s="1"/>
  <c r="K17" i="21" a="1"/>
  <c r="K17" i="21" s="1"/>
  <c r="J17" i="21" a="1"/>
  <c r="J17" i="21" s="1"/>
  <c r="I17" i="21" a="1"/>
  <c r="I17" i="21" s="1"/>
  <c r="H17" i="21" a="1"/>
  <c r="H17" i="21" s="1"/>
  <c r="G17" i="21" a="1"/>
  <c r="G17" i="21" s="1"/>
  <c r="F17" i="21" a="1"/>
  <c r="F17" i="21" s="1"/>
  <c r="E17" i="21" a="1"/>
  <c r="E17" i="21" s="1"/>
  <c r="D17" i="21" a="1"/>
  <c r="D17" i="21" s="1"/>
  <c r="C17" i="21" a="1"/>
  <c r="C17" i="21" s="1"/>
  <c r="V16" i="21" a="1"/>
  <c r="V16" i="21" s="1"/>
  <c r="U16" i="21" a="1"/>
  <c r="U16" i="21" s="1"/>
  <c r="T16" i="21" a="1"/>
  <c r="T16" i="21" s="1"/>
  <c r="S16" i="21" a="1"/>
  <c r="S16" i="21" s="1"/>
  <c r="R16" i="21" a="1"/>
  <c r="R16" i="21" s="1"/>
  <c r="Q16" i="21" a="1"/>
  <c r="Q16" i="21" s="1"/>
  <c r="P16" i="21" a="1"/>
  <c r="P16" i="21" s="1"/>
  <c r="O16" i="21" a="1"/>
  <c r="O16" i="21" s="1"/>
  <c r="N16" i="21" a="1"/>
  <c r="N16" i="21" s="1"/>
  <c r="M16" i="21" a="1"/>
  <c r="M16" i="21" s="1"/>
  <c r="L16" i="21" a="1"/>
  <c r="L16" i="21" s="1"/>
  <c r="K16" i="21" a="1"/>
  <c r="K16" i="21" s="1"/>
  <c r="J16" i="21" a="1"/>
  <c r="J16" i="21" s="1"/>
  <c r="I16" i="21" a="1"/>
  <c r="I16" i="21" s="1"/>
  <c r="H16" i="21" a="1"/>
  <c r="H16" i="21" s="1"/>
  <c r="G16" i="21" a="1"/>
  <c r="G16" i="21" s="1"/>
  <c r="F16" i="21" a="1"/>
  <c r="F16" i="21" s="1"/>
  <c r="E16" i="21" a="1"/>
  <c r="E16" i="21" s="1"/>
  <c r="D16" i="21" a="1"/>
  <c r="D16" i="21" s="1"/>
  <c r="C16" i="21" a="1"/>
  <c r="C16" i="21" s="1"/>
  <c r="V15" i="21" a="1"/>
  <c r="V15" i="21" s="1"/>
  <c r="U15" i="21" a="1"/>
  <c r="U15" i="21" s="1"/>
  <c r="T15" i="21" a="1"/>
  <c r="T15" i="21" s="1"/>
  <c r="S15" i="21" a="1"/>
  <c r="S15" i="21" s="1"/>
  <c r="R15" i="21" a="1"/>
  <c r="R15" i="21" s="1"/>
  <c r="Q15" i="21" a="1"/>
  <c r="Q15" i="21" s="1"/>
  <c r="P15" i="21" a="1"/>
  <c r="P15" i="21" s="1"/>
  <c r="O15" i="21" a="1"/>
  <c r="O15" i="21" s="1"/>
  <c r="N15" i="21" a="1"/>
  <c r="N15" i="21" s="1"/>
  <c r="M15" i="21" a="1"/>
  <c r="M15" i="21" s="1"/>
  <c r="L15" i="21" a="1"/>
  <c r="L15" i="21" s="1"/>
  <c r="K15" i="21" a="1"/>
  <c r="K15" i="21" s="1"/>
  <c r="J15" i="21" a="1"/>
  <c r="J15" i="21" s="1"/>
  <c r="I15" i="21" a="1"/>
  <c r="I15" i="21" s="1"/>
  <c r="H15" i="21" a="1"/>
  <c r="H15" i="21" s="1"/>
  <c r="G15" i="21" a="1"/>
  <c r="G15" i="21" s="1"/>
  <c r="F15" i="21" a="1"/>
  <c r="F15" i="21" s="1"/>
  <c r="E15" i="21" a="1"/>
  <c r="E15" i="21" s="1"/>
  <c r="D15" i="21" a="1"/>
  <c r="D15" i="21" s="1"/>
  <c r="C15" i="21" a="1"/>
  <c r="C15" i="21" s="1"/>
  <c r="V14" i="21" a="1"/>
  <c r="V14" i="21" s="1"/>
  <c r="U14" i="21" a="1"/>
  <c r="U14" i="21" s="1"/>
  <c r="T14" i="21" a="1"/>
  <c r="T14" i="21" s="1"/>
  <c r="S14" i="21" a="1"/>
  <c r="S14" i="21" s="1"/>
  <c r="R14" i="21" a="1"/>
  <c r="R14" i="21" s="1"/>
  <c r="Q14" i="21" a="1"/>
  <c r="Q14" i="21" s="1"/>
  <c r="P14" i="21" a="1"/>
  <c r="P14" i="21" s="1"/>
  <c r="O14" i="21" a="1"/>
  <c r="O14" i="21" s="1"/>
  <c r="N14" i="21" a="1"/>
  <c r="N14" i="21" s="1"/>
  <c r="M14" i="21" a="1"/>
  <c r="M14" i="21" s="1"/>
  <c r="L14" i="21" a="1"/>
  <c r="L14" i="21" s="1"/>
  <c r="K14" i="21" a="1"/>
  <c r="K14" i="21" s="1"/>
  <c r="J14" i="21" a="1"/>
  <c r="J14" i="21" s="1"/>
  <c r="I14" i="21" a="1"/>
  <c r="I14" i="21" s="1"/>
  <c r="H14" i="21" a="1"/>
  <c r="H14" i="21" s="1"/>
  <c r="G14" i="21" a="1"/>
  <c r="G14" i="21" s="1"/>
  <c r="F14" i="21" a="1"/>
  <c r="F14" i="21" s="1"/>
  <c r="E14" i="21" a="1"/>
  <c r="E14" i="21" s="1"/>
  <c r="D14" i="21" a="1"/>
  <c r="D14" i="21" s="1"/>
  <c r="C14" i="21" a="1"/>
  <c r="C14" i="21" s="1"/>
  <c r="V13" i="21" a="1"/>
  <c r="V13" i="21" s="1"/>
  <c r="U13" i="21" a="1"/>
  <c r="U13" i="21" s="1"/>
  <c r="T13" i="21" a="1"/>
  <c r="T13" i="21" s="1"/>
  <c r="S13" i="21" a="1"/>
  <c r="S13" i="21" s="1"/>
  <c r="R13" i="21" a="1"/>
  <c r="R13" i="21" s="1"/>
  <c r="Q13" i="21" a="1"/>
  <c r="Q13" i="21" s="1"/>
  <c r="P13" i="21" a="1"/>
  <c r="P13" i="21" s="1"/>
  <c r="O13" i="21" a="1"/>
  <c r="O13" i="21" s="1"/>
  <c r="N13" i="21" a="1"/>
  <c r="N13" i="21" s="1"/>
  <c r="M13" i="21" a="1"/>
  <c r="M13" i="21" s="1"/>
  <c r="L13" i="21" a="1"/>
  <c r="L13" i="21" s="1"/>
  <c r="K13" i="21" a="1"/>
  <c r="K13" i="21" s="1"/>
  <c r="J13" i="21" a="1"/>
  <c r="J13" i="21" s="1"/>
  <c r="I13" i="21" a="1"/>
  <c r="I13" i="21" s="1"/>
  <c r="H13" i="21" a="1"/>
  <c r="H13" i="21" s="1"/>
  <c r="G13" i="21" a="1"/>
  <c r="G13" i="21" s="1"/>
  <c r="F13" i="21" a="1"/>
  <c r="F13" i="21" s="1"/>
  <c r="E13" i="21" a="1"/>
  <c r="E13" i="21" s="1"/>
  <c r="D13" i="21" a="1"/>
  <c r="D13" i="21" s="1"/>
  <c r="C13" i="21" a="1"/>
  <c r="C13" i="21" s="1"/>
  <c r="V8" i="21" a="1"/>
  <c r="V8" i="21" s="1"/>
  <c r="U8" i="21" a="1"/>
  <c r="U8" i="21" s="1"/>
  <c r="T8" i="21" a="1"/>
  <c r="T8" i="21" s="1"/>
  <c r="S8" i="21" a="1"/>
  <c r="S8" i="21" s="1"/>
  <c r="R8" i="21" a="1"/>
  <c r="R8" i="21" s="1"/>
  <c r="Q8" i="21" a="1"/>
  <c r="Q8" i="21" s="1"/>
  <c r="P8" i="21" a="1"/>
  <c r="P8" i="21" s="1"/>
  <c r="O8" i="21" a="1"/>
  <c r="O8" i="21" s="1"/>
  <c r="N8" i="21" a="1"/>
  <c r="N8" i="21" s="1"/>
  <c r="M8" i="21" a="1"/>
  <c r="M8" i="21" s="1"/>
  <c r="L8" i="21" a="1"/>
  <c r="L8" i="21" s="1"/>
  <c r="K8" i="21" a="1"/>
  <c r="K8" i="21" s="1"/>
  <c r="J8" i="21" a="1"/>
  <c r="J8" i="21" s="1"/>
  <c r="I8" i="21" a="1"/>
  <c r="I8" i="21" s="1"/>
  <c r="H8" i="21" a="1"/>
  <c r="H8" i="21" s="1"/>
  <c r="V18" i="28" s="1"/>
  <c r="G8" i="21" a="1"/>
  <c r="G8" i="21" s="1"/>
  <c r="F8" i="21" a="1"/>
  <c r="F8" i="21" s="1"/>
  <c r="E8" i="21" a="1"/>
  <c r="E8" i="21" s="1"/>
  <c r="D8" i="21" a="1"/>
  <c r="D8" i="21" s="1"/>
  <c r="C8" i="21" a="1"/>
  <c r="C8" i="21" s="1"/>
  <c r="V7" i="21" a="1"/>
  <c r="V7" i="21" s="1"/>
  <c r="U7" i="21" a="1"/>
  <c r="U7" i="21" s="1"/>
  <c r="T7" i="21" a="1"/>
  <c r="T7" i="21" s="1"/>
  <c r="S7" i="21" a="1"/>
  <c r="S7" i="21" s="1"/>
  <c r="R7" i="21" a="1"/>
  <c r="R7" i="21" s="1"/>
  <c r="Q7" i="21" a="1"/>
  <c r="Q7" i="21" s="1"/>
  <c r="P7" i="21" a="1"/>
  <c r="P7" i="21" s="1"/>
  <c r="O7" i="21" a="1"/>
  <c r="O7" i="21" s="1"/>
  <c r="N7" i="21" a="1"/>
  <c r="N7" i="21" s="1"/>
  <c r="M7" i="21" a="1"/>
  <c r="M7" i="21" s="1"/>
  <c r="L7" i="21" a="1"/>
  <c r="L7" i="21" s="1"/>
  <c r="K7" i="21" a="1"/>
  <c r="K7" i="21" s="1"/>
  <c r="J7" i="21" a="1"/>
  <c r="J7" i="21" s="1"/>
  <c r="I7" i="21" a="1"/>
  <c r="I7" i="21" s="1"/>
  <c r="H7" i="21" a="1"/>
  <c r="H7" i="21" s="1"/>
  <c r="U18" i="28" s="1"/>
  <c r="G7" i="21" a="1"/>
  <c r="G7" i="21" s="1"/>
  <c r="F7" i="21" a="1"/>
  <c r="F7" i="21" s="1"/>
  <c r="E7" i="21" a="1"/>
  <c r="E7" i="21" s="1"/>
  <c r="D7" i="21" a="1"/>
  <c r="D7" i="21" s="1"/>
  <c r="C7" i="21" a="1"/>
  <c r="C7" i="21" s="1"/>
  <c r="V6" i="21" a="1"/>
  <c r="V6" i="21" s="1"/>
  <c r="U6" i="21" a="1"/>
  <c r="U6" i="21" s="1"/>
  <c r="T6" i="21" a="1"/>
  <c r="T6" i="21" s="1"/>
  <c r="S6" i="21" a="1"/>
  <c r="S6" i="21" s="1"/>
  <c r="R6" i="21" a="1"/>
  <c r="R6" i="21" s="1"/>
  <c r="Q6" i="21" a="1"/>
  <c r="Q6" i="21" s="1"/>
  <c r="P6" i="21" a="1"/>
  <c r="P6" i="21" s="1"/>
  <c r="O6" i="21" a="1"/>
  <c r="O6" i="21" s="1"/>
  <c r="N6" i="21" a="1"/>
  <c r="N6" i="21" s="1"/>
  <c r="M6" i="21" a="1"/>
  <c r="M6" i="21" s="1"/>
  <c r="L6" i="21" a="1"/>
  <c r="L6" i="21" s="1"/>
  <c r="K6" i="21" a="1"/>
  <c r="K6" i="21" s="1"/>
  <c r="J6" i="21" a="1"/>
  <c r="J6" i="21" s="1"/>
  <c r="I6" i="21" a="1"/>
  <c r="I6" i="21" s="1"/>
  <c r="H6" i="21" a="1"/>
  <c r="H6" i="21" s="1"/>
  <c r="T18" i="28" s="1"/>
  <c r="G6" i="21" a="1"/>
  <c r="G6" i="21" s="1"/>
  <c r="F6" i="21" a="1"/>
  <c r="F6" i="21" s="1"/>
  <c r="E6" i="21" a="1"/>
  <c r="E6" i="21" s="1"/>
  <c r="D6" i="21" a="1"/>
  <c r="D6" i="21" s="1"/>
  <c r="C6" i="21" a="1"/>
  <c r="C6" i="21" s="1"/>
  <c r="V5" i="21" a="1"/>
  <c r="V5" i="21" s="1"/>
  <c r="U5" i="21" a="1"/>
  <c r="U5" i="21" s="1"/>
  <c r="T5" i="21" a="1"/>
  <c r="T5" i="21" s="1"/>
  <c r="S5" i="21" a="1"/>
  <c r="S5" i="21" s="1"/>
  <c r="R5" i="21" a="1"/>
  <c r="R5" i="21" s="1"/>
  <c r="Q5" i="21" a="1"/>
  <c r="Q5" i="21" s="1"/>
  <c r="P5" i="21" a="1"/>
  <c r="P5" i="21" s="1"/>
  <c r="O5" i="21" a="1"/>
  <c r="O5" i="21" s="1"/>
  <c r="N5" i="21" a="1"/>
  <c r="N5" i="21" s="1"/>
  <c r="M5" i="21" a="1"/>
  <c r="M5" i="21" s="1"/>
  <c r="L5" i="21" a="1"/>
  <c r="L5" i="21" s="1"/>
  <c r="K5" i="21" a="1"/>
  <c r="K5" i="21" s="1"/>
  <c r="J5" i="21" a="1"/>
  <c r="J5" i="21" s="1"/>
  <c r="I5" i="21" a="1"/>
  <c r="I5" i="21" s="1"/>
  <c r="H5" i="21" a="1"/>
  <c r="H5" i="21" s="1"/>
  <c r="S18" i="28" s="1"/>
  <c r="G5" i="21" a="1"/>
  <c r="G5" i="21" s="1"/>
  <c r="F5" i="21" a="1"/>
  <c r="F5" i="21" s="1"/>
  <c r="E5" i="21" a="1"/>
  <c r="E5" i="21" s="1"/>
  <c r="D5" i="21" a="1"/>
  <c r="D5" i="21" s="1"/>
  <c r="C5" i="21" a="1"/>
  <c r="C5" i="21" s="1"/>
  <c r="V4" i="21" a="1"/>
  <c r="V4" i="21" s="1"/>
  <c r="U4" i="21" a="1"/>
  <c r="U4" i="21" s="1"/>
  <c r="T4" i="21" a="1"/>
  <c r="T4" i="21" s="1"/>
  <c r="S4" i="21" a="1"/>
  <c r="S4" i="21" s="1"/>
  <c r="R4" i="21" a="1"/>
  <c r="R4" i="21" s="1"/>
  <c r="Q4" i="21" a="1"/>
  <c r="Q4" i="21" s="1"/>
  <c r="P4" i="21" a="1"/>
  <c r="P4" i="21" s="1"/>
  <c r="O4" i="21" a="1"/>
  <c r="O4" i="21" s="1"/>
  <c r="N4" i="21" a="1"/>
  <c r="N4" i="21" s="1"/>
  <c r="M4" i="21" a="1"/>
  <c r="M4" i="21" s="1"/>
  <c r="L4" i="21" a="1"/>
  <c r="L4" i="21" s="1"/>
  <c r="K4" i="21" a="1"/>
  <c r="K4" i="21" s="1"/>
  <c r="J4" i="21" a="1"/>
  <c r="J4" i="21" s="1"/>
  <c r="I4" i="21" a="1"/>
  <c r="I4" i="21" s="1"/>
  <c r="H4" i="21" a="1"/>
  <c r="H4" i="21" s="1"/>
  <c r="G4" i="21" a="1"/>
  <c r="G4" i="21" s="1"/>
  <c r="F4" i="21" a="1"/>
  <c r="F4" i="21" s="1"/>
  <c r="E4" i="21" a="1"/>
  <c r="E4" i="21" s="1"/>
  <c r="D4" i="21" a="1"/>
  <c r="D4" i="21" s="1"/>
  <c r="C4" i="21" a="1"/>
  <c r="C4" i="21" s="1"/>
  <c r="AB76" i="21" a="1"/>
  <c r="AB76" i="21" s="1"/>
  <c r="AB67" i="21" a="1"/>
  <c r="AB67" i="21" s="1"/>
  <c r="AB58" i="21" a="1"/>
  <c r="AB58" i="21" s="1"/>
  <c r="AB49" i="21" a="1"/>
  <c r="AB49" i="21" s="1"/>
  <c r="AB40" i="21" a="1"/>
  <c r="AB40" i="21" s="1"/>
  <c r="AB22" i="21" a="1"/>
  <c r="AB22" i="21" s="1"/>
  <c r="AB13" i="21" a="1"/>
  <c r="AB13" i="21" s="1"/>
  <c r="AB4" i="21" a="1"/>
  <c r="AB4" i="21" s="1"/>
  <c r="Z4" i="14"/>
  <c r="Z5" i="14"/>
  <c r="Z6" i="14"/>
  <c r="Z7" i="14"/>
  <c r="Z8" i="14"/>
  <c r="Z3" i="14"/>
  <c r="X11" i="14"/>
  <c r="Y11" i="14"/>
  <c r="Y5" i="14"/>
  <c r="Y6" i="14"/>
  <c r="Y7" i="14"/>
  <c r="Y8" i="14"/>
  <c r="Y9" i="14"/>
  <c r="Y10" i="14"/>
  <c r="Y4" i="14"/>
  <c r="X6" i="14"/>
  <c r="X7" i="14"/>
  <c r="X8" i="14"/>
  <c r="X9" i="14"/>
  <c r="X10" i="14"/>
  <c r="X12" i="14"/>
  <c r="X5" i="14"/>
  <c r="R83" i="21"/>
  <c r="S83" i="21"/>
  <c r="T83" i="21"/>
  <c r="U83" i="21"/>
  <c r="V83" i="21"/>
  <c r="R66" i="21"/>
  <c r="S66" i="21"/>
  <c r="T66" i="21"/>
  <c r="U66" i="21"/>
  <c r="V66" i="21"/>
  <c r="F104" i="21"/>
  <c r="E104" i="21"/>
  <c r="B104" i="21"/>
  <c r="A93" i="21"/>
  <c r="A92" i="21"/>
  <c r="B89" i="21"/>
  <c r="B88" i="21"/>
  <c r="B87" i="21"/>
  <c r="B86" i="21"/>
  <c r="B85" i="21"/>
  <c r="Q83" i="21"/>
  <c r="P83" i="21"/>
  <c r="O83" i="21"/>
  <c r="N83" i="21"/>
  <c r="M83" i="21"/>
  <c r="L83" i="21"/>
  <c r="K83" i="21"/>
  <c r="J83" i="21"/>
  <c r="I83" i="21"/>
  <c r="H83" i="21"/>
  <c r="G83" i="21"/>
  <c r="F83" i="21"/>
  <c r="E83" i="21"/>
  <c r="D83" i="21"/>
  <c r="C83" i="21"/>
  <c r="B80" i="21"/>
  <c r="B79" i="21"/>
  <c r="B78" i="21"/>
  <c r="B77" i="21"/>
  <c r="B76" i="21"/>
  <c r="B71" i="21"/>
  <c r="B70" i="21"/>
  <c r="B69" i="21"/>
  <c r="B68" i="21"/>
  <c r="B67" i="21"/>
  <c r="Q66" i="21"/>
  <c r="P66" i="21"/>
  <c r="O66" i="21"/>
  <c r="N66" i="21"/>
  <c r="M66" i="21"/>
  <c r="L66" i="21"/>
  <c r="K66" i="21"/>
  <c r="J66" i="21"/>
  <c r="I66" i="21"/>
  <c r="H66" i="21"/>
  <c r="G66" i="21"/>
  <c r="F66" i="21"/>
  <c r="E66" i="21"/>
  <c r="D66" i="21"/>
  <c r="C66" i="21"/>
  <c r="B62" i="21"/>
  <c r="B61" i="21"/>
  <c r="B60" i="21"/>
  <c r="B59" i="21"/>
  <c r="B58" i="21"/>
  <c r="B53" i="21"/>
  <c r="B52" i="21"/>
  <c r="B51" i="21"/>
  <c r="B50" i="21"/>
  <c r="B49" i="21"/>
  <c r="B44" i="21"/>
  <c r="B43" i="21"/>
  <c r="B42" i="21"/>
  <c r="B41" i="21"/>
  <c r="B40" i="21"/>
  <c r="B35" i="21"/>
  <c r="B34" i="21"/>
  <c r="B33" i="21"/>
  <c r="B32" i="21"/>
  <c r="B31" i="21"/>
  <c r="B26" i="21"/>
  <c r="B25" i="21"/>
  <c r="B24" i="21"/>
  <c r="B23" i="21"/>
  <c r="B22" i="21"/>
  <c r="B17" i="21"/>
  <c r="B16" i="21"/>
  <c r="B15" i="21"/>
  <c r="B14" i="21"/>
  <c r="B13" i="21"/>
  <c r="C70" i="16" a="1"/>
  <c r="C70" i="16" s="1"/>
  <c r="C43" i="8"/>
  <c r="C67" i="16" a="1"/>
  <c r="C67" i="16" s="1"/>
  <c r="H60" i="16" a="1"/>
  <c r="H60" i="16" s="1"/>
  <c r="L60" i="16" a="1"/>
  <c r="L60" i="16" s="1"/>
  <c r="F61" i="16" a="1"/>
  <c r="F61" i="16" s="1"/>
  <c r="G61" i="16" a="1"/>
  <c r="G61" i="16" s="1"/>
  <c r="C61" i="16" a="1"/>
  <c r="C61" i="16" s="1"/>
  <c r="F54" i="16" a="1"/>
  <c r="F54" i="16" s="1"/>
  <c r="C52" i="16" a="1"/>
  <c r="C52" i="16" s="1"/>
  <c r="C53" i="16" a="1"/>
  <c r="C53" i="16" s="1"/>
  <c r="C54" i="16" a="1"/>
  <c r="C54" i="16" s="1"/>
  <c r="C51" i="16" a="1"/>
  <c r="C51" i="16" s="1"/>
  <c r="C45" i="16" a="1"/>
  <c r="C45" i="16"/>
  <c r="C46" i="16" a="1"/>
  <c r="C46" i="16" s="1"/>
  <c r="F39" i="16" a="1"/>
  <c r="F39" i="16" s="1"/>
  <c r="C37" i="16" a="1"/>
  <c r="C37" i="16"/>
  <c r="C38" i="16" a="1"/>
  <c r="C38" i="16" s="1"/>
  <c r="C39" i="16" a="1"/>
  <c r="C39" i="16" s="1"/>
  <c r="C35" i="16" a="1"/>
  <c r="C35" i="16" s="1"/>
  <c r="J31" i="16" a="1"/>
  <c r="J31" i="16" s="1"/>
  <c r="C28" i="16" a="1"/>
  <c r="C28" i="16" s="1"/>
  <c r="C76" i="16" s="1"/>
  <c r="C29" i="16" a="1"/>
  <c r="C29" i="16" s="1"/>
  <c r="C77" i="16" s="1"/>
  <c r="C30" i="16" a="1"/>
  <c r="C30" i="16" s="1"/>
  <c r="C31" i="16" a="1"/>
  <c r="C31" i="16" s="1"/>
  <c r="C27" i="16" a="1"/>
  <c r="C27" i="16" s="1"/>
  <c r="C75" i="16" s="1"/>
  <c r="G20" i="16" a="1"/>
  <c r="G20" i="16" s="1"/>
  <c r="C21" i="16" a="1"/>
  <c r="C21" i="16" s="1"/>
  <c r="B76" i="16"/>
  <c r="B77" i="16"/>
  <c r="B78" i="16"/>
  <c r="B79" i="16"/>
  <c r="B75" i="16"/>
  <c r="B68" i="16"/>
  <c r="C68" i="16" s="1" a="1"/>
  <c r="C68" i="16" s="1"/>
  <c r="B69" i="16"/>
  <c r="B70" i="16"/>
  <c r="B71" i="16"/>
  <c r="B67" i="16"/>
  <c r="B60" i="16"/>
  <c r="B61" i="16"/>
  <c r="B62" i="16"/>
  <c r="B63" i="16"/>
  <c r="B59" i="16"/>
  <c r="B52" i="16"/>
  <c r="B53" i="16"/>
  <c r="B54" i="16"/>
  <c r="B55" i="16"/>
  <c r="F55" i="16" s="1" a="1"/>
  <c r="F55" i="16" s="1"/>
  <c r="B51" i="16"/>
  <c r="B44" i="16"/>
  <c r="B45" i="16"/>
  <c r="B46" i="16"/>
  <c r="B47" i="16"/>
  <c r="B43" i="16"/>
  <c r="B36" i="16"/>
  <c r="F36" i="16" s="1" a="1"/>
  <c r="F36" i="16" s="1"/>
  <c r="B37" i="16"/>
  <c r="B38" i="16"/>
  <c r="B39" i="16"/>
  <c r="B35" i="16"/>
  <c r="B28" i="16"/>
  <c r="B29" i="16"/>
  <c r="B30" i="16"/>
  <c r="B31" i="16"/>
  <c r="B27" i="16"/>
  <c r="B20" i="16"/>
  <c r="B21" i="16"/>
  <c r="B22" i="16"/>
  <c r="B23" i="16"/>
  <c r="B19" i="16"/>
  <c r="B12" i="16"/>
  <c r="B13" i="16"/>
  <c r="B14" i="16"/>
  <c r="B15" i="16"/>
  <c r="B11" i="16"/>
  <c r="X74" i="16"/>
  <c r="W74" i="16"/>
  <c r="V74" i="16"/>
  <c r="U74" i="16"/>
  <c r="T74" i="16"/>
  <c r="S74" i="16"/>
  <c r="R74" i="16"/>
  <c r="Q74" i="16"/>
  <c r="P74" i="16"/>
  <c r="O74" i="16"/>
  <c r="N74" i="16"/>
  <c r="M74" i="16"/>
  <c r="L74" i="16"/>
  <c r="K74" i="16"/>
  <c r="J74" i="16"/>
  <c r="I74" i="16"/>
  <c r="H74" i="16"/>
  <c r="G74" i="16"/>
  <c r="F74" i="16"/>
  <c r="E74" i="16"/>
  <c r="D74" i="16"/>
  <c r="C74" i="16"/>
  <c r="X66" i="16"/>
  <c r="W66" i="16"/>
  <c r="W69" i="16" s="1" a="1"/>
  <c r="W69" i="16" s="1"/>
  <c r="V66" i="16"/>
  <c r="U66" i="16"/>
  <c r="U67" i="16" s="1" a="1"/>
  <c r="U67" i="16" s="1"/>
  <c r="T66" i="16"/>
  <c r="S66" i="16"/>
  <c r="R66" i="16"/>
  <c r="Q66" i="16"/>
  <c r="Q67" i="16" s="1" a="1"/>
  <c r="Q67" i="16" s="1"/>
  <c r="P66" i="16"/>
  <c r="O66" i="16"/>
  <c r="N66" i="16"/>
  <c r="M66" i="16"/>
  <c r="L66" i="16"/>
  <c r="K66" i="16"/>
  <c r="K68" i="16" s="1" a="1"/>
  <c r="K68" i="16" s="1"/>
  <c r="J66" i="16"/>
  <c r="I66" i="16"/>
  <c r="H66" i="16"/>
  <c r="G66" i="16"/>
  <c r="F66" i="16"/>
  <c r="E66" i="16"/>
  <c r="D66" i="16"/>
  <c r="C66" i="16"/>
  <c r="C71" i="16" s="1" a="1"/>
  <c r="C71" i="16" s="1"/>
  <c r="X58" i="16"/>
  <c r="W58" i="16"/>
  <c r="V58" i="16"/>
  <c r="U58" i="16"/>
  <c r="U61" i="16" s="1" a="1"/>
  <c r="U61" i="16" s="1"/>
  <c r="T58" i="16"/>
  <c r="S58" i="16"/>
  <c r="R58" i="16"/>
  <c r="Q58" i="16"/>
  <c r="Q62" i="16" s="1" a="1"/>
  <c r="Q62" i="16" s="1"/>
  <c r="P58" i="16"/>
  <c r="O58" i="16"/>
  <c r="O61" i="16" s="1" a="1"/>
  <c r="O61" i="16" s="1"/>
  <c r="N58" i="16"/>
  <c r="M58" i="16"/>
  <c r="L58" i="16"/>
  <c r="L61" i="16" s="1" a="1"/>
  <c r="L61" i="16" s="1"/>
  <c r="K58" i="16"/>
  <c r="J58" i="16"/>
  <c r="J61" i="16" s="1" a="1"/>
  <c r="J61" i="16" s="1"/>
  <c r="I58" i="16"/>
  <c r="H58" i="16"/>
  <c r="G58" i="16"/>
  <c r="F58" i="16"/>
  <c r="E58" i="16"/>
  <c r="D58" i="16"/>
  <c r="D60" i="16" s="1" a="1"/>
  <c r="D60" i="16" s="1"/>
  <c r="C58" i="16"/>
  <c r="X50" i="16"/>
  <c r="X52" i="16" s="1" a="1"/>
  <c r="X52" i="16" s="1"/>
  <c r="W50" i="16"/>
  <c r="V50" i="16"/>
  <c r="V51" i="16" s="1" a="1"/>
  <c r="V51" i="16" s="1"/>
  <c r="U50" i="16"/>
  <c r="U54" i="16" s="1" a="1"/>
  <c r="U54" i="16" s="1"/>
  <c r="T50" i="16"/>
  <c r="S50" i="16"/>
  <c r="S54" i="16" s="1" a="1"/>
  <c r="S54" i="16" s="1"/>
  <c r="R50" i="16"/>
  <c r="Q50" i="16"/>
  <c r="P50" i="16"/>
  <c r="O50" i="16"/>
  <c r="N50" i="16"/>
  <c r="N54" i="16" s="1" a="1"/>
  <c r="N54" i="16" s="1"/>
  <c r="M50" i="16"/>
  <c r="L50" i="16"/>
  <c r="K50" i="16"/>
  <c r="J50" i="16"/>
  <c r="J51" i="16" s="1" a="1"/>
  <c r="J51" i="16" s="1"/>
  <c r="I50" i="16"/>
  <c r="I51" i="16" s="1" a="1"/>
  <c r="I51" i="16" s="1"/>
  <c r="H50" i="16"/>
  <c r="G50" i="16"/>
  <c r="G53" i="16" s="1" a="1"/>
  <c r="G53" i="16" s="1"/>
  <c r="F50" i="16"/>
  <c r="E50" i="16"/>
  <c r="D50" i="16"/>
  <c r="C50" i="16"/>
  <c r="C55" i="16" s="1" a="1"/>
  <c r="C55" i="16" s="1"/>
  <c r="X42" i="16"/>
  <c r="W42" i="16"/>
  <c r="W44" i="16" s="1" a="1"/>
  <c r="W44" i="16" s="1"/>
  <c r="V42" i="16"/>
  <c r="V43" i="16" s="1" a="1"/>
  <c r="V43" i="16" s="1"/>
  <c r="U42" i="16"/>
  <c r="T42" i="16"/>
  <c r="T43" i="16" s="1" a="1"/>
  <c r="T43" i="16" s="1"/>
  <c r="S42" i="16"/>
  <c r="S47" i="16" s="1" a="1"/>
  <c r="S47" i="16" s="1"/>
  <c r="R42" i="16"/>
  <c r="Q42" i="16"/>
  <c r="P42" i="16"/>
  <c r="O42" i="16"/>
  <c r="O43" i="16" s="1" a="1"/>
  <c r="O43" i="16" s="1"/>
  <c r="N42" i="16"/>
  <c r="M42" i="16"/>
  <c r="M45" i="16" s="1" a="1"/>
  <c r="M45" i="16" s="1"/>
  <c r="L42" i="16"/>
  <c r="L44" i="16" s="1" a="1"/>
  <c r="L44" i="16" s="1"/>
  <c r="K42" i="16"/>
  <c r="K44" i="16" s="1" a="1"/>
  <c r="K44" i="16" s="1"/>
  <c r="J42" i="16"/>
  <c r="I42" i="16"/>
  <c r="H42" i="16"/>
  <c r="G42" i="16"/>
  <c r="F42" i="16"/>
  <c r="E42" i="16"/>
  <c r="E44" i="16" s="1" a="1"/>
  <c r="E44" i="16" s="1"/>
  <c r="D42" i="16"/>
  <c r="D47" i="16" s="1" a="1"/>
  <c r="D47" i="16" s="1"/>
  <c r="C42" i="16"/>
  <c r="X34" i="16"/>
  <c r="W34" i="16"/>
  <c r="V34" i="16"/>
  <c r="U34" i="16"/>
  <c r="U37" i="16" s="1" a="1"/>
  <c r="U37" i="16" s="1"/>
  <c r="T34" i="16"/>
  <c r="S34" i="16"/>
  <c r="S38" i="16" s="1" a="1"/>
  <c r="S38" i="16" s="1"/>
  <c r="R34" i="16"/>
  <c r="Q34" i="16"/>
  <c r="P34" i="16"/>
  <c r="O34" i="16"/>
  <c r="N34" i="16"/>
  <c r="M34" i="16"/>
  <c r="L34" i="16"/>
  <c r="K34" i="16"/>
  <c r="J34" i="16"/>
  <c r="J35" i="16" s="1" a="1"/>
  <c r="J35" i="16" s="1"/>
  <c r="I34" i="16"/>
  <c r="H34" i="16"/>
  <c r="G34" i="16"/>
  <c r="G37" i="16" s="1" a="1"/>
  <c r="G37" i="16" s="1"/>
  <c r="F34" i="16"/>
  <c r="F38" i="16" s="1" a="1"/>
  <c r="F38" i="16" s="1"/>
  <c r="E34" i="16"/>
  <c r="D34" i="16"/>
  <c r="C34" i="16"/>
  <c r="X26" i="16"/>
  <c r="W26" i="16"/>
  <c r="W27" i="16" s="1" a="1"/>
  <c r="W27" i="16" s="1"/>
  <c r="V26" i="16"/>
  <c r="U26" i="16"/>
  <c r="T26" i="16"/>
  <c r="T27" i="16" s="1" a="1"/>
  <c r="T27" i="16" s="1"/>
  <c r="S26" i="16"/>
  <c r="S27" i="16" s="1" a="1"/>
  <c r="S27" i="16" s="1"/>
  <c r="R26" i="16"/>
  <c r="Q26" i="16"/>
  <c r="Q31" i="16" s="1" a="1"/>
  <c r="Q31" i="16" s="1"/>
  <c r="P26" i="16"/>
  <c r="O26" i="16"/>
  <c r="O29" i="16" s="1" a="1"/>
  <c r="O29" i="16" s="1"/>
  <c r="N26" i="16"/>
  <c r="M26" i="16"/>
  <c r="L26" i="16"/>
  <c r="K26" i="16"/>
  <c r="K29" i="16" s="1" a="1"/>
  <c r="K29" i="16" s="1"/>
  <c r="J26" i="16"/>
  <c r="I26" i="16"/>
  <c r="I31" i="16" s="1" a="1"/>
  <c r="I31" i="16" s="1"/>
  <c r="H26" i="16"/>
  <c r="H30" i="16" s="1" a="1"/>
  <c r="H30" i="16" s="1"/>
  <c r="G26" i="16"/>
  <c r="F26" i="16"/>
  <c r="F28" i="16" s="1" a="1"/>
  <c r="F28" i="16" s="1"/>
  <c r="E26" i="16"/>
  <c r="E29" i="16" s="1" a="1"/>
  <c r="E29" i="16" s="1"/>
  <c r="D26" i="16"/>
  <c r="D29" i="16" s="1" a="1"/>
  <c r="D29" i="16" s="1"/>
  <c r="C26" i="16"/>
  <c r="X18" i="16"/>
  <c r="X20" i="16" s="1" a="1"/>
  <c r="X20" i="16" s="1"/>
  <c r="W18" i="16"/>
  <c r="V18" i="16"/>
  <c r="U18" i="16"/>
  <c r="T18" i="16"/>
  <c r="S18" i="16"/>
  <c r="R18" i="16"/>
  <c r="Q18" i="16"/>
  <c r="Q22" i="16" s="1" a="1"/>
  <c r="Q22" i="16" s="1"/>
  <c r="P18" i="16"/>
  <c r="P21" i="16" s="1" a="1"/>
  <c r="P21" i="16" s="1"/>
  <c r="O18" i="16"/>
  <c r="N18" i="16"/>
  <c r="N19" i="16" s="1" a="1"/>
  <c r="N19" i="16" s="1"/>
  <c r="M18" i="16"/>
  <c r="M19" i="16" s="1" a="1"/>
  <c r="M19" i="16" s="1"/>
  <c r="L18" i="16"/>
  <c r="L20" i="16" s="1" a="1"/>
  <c r="L20" i="16" s="1"/>
  <c r="K18" i="16"/>
  <c r="K19" i="16" s="1" a="1"/>
  <c r="K19" i="16" s="1"/>
  <c r="J18" i="16"/>
  <c r="I18" i="16"/>
  <c r="H18" i="16"/>
  <c r="G18" i="16"/>
  <c r="F18" i="16"/>
  <c r="F22" i="16" s="1" a="1"/>
  <c r="F22" i="16" s="1"/>
  <c r="E18" i="16"/>
  <c r="E21" i="16" s="1" a="1"/>
  <c r="E21" i="16" s="1"/>
  <c r="D18" i="16"/>
  <c r="C18" i="16"/>
  <c r="C19" i="16" s="1" a="1"/>
  <c r="C19" i="16" s="1"/>
  <c r="D10" i="16"/>
  <c r="D13" i="16" s="1" a="1"/>
  <c r="D13" i="16" s="1"/>
  <c r="E10" i="16"/>
  <c r="E13" i="16" s="1" a="1"/>
  <c r="E13" i="16" s="1"/>
  <c r="F10" i="16"/>
  <c r="F15" i="16" s="1" a="1"/>
  <c r="F15" i="16" s="1"/>
  <c r="G10" i="16"/>
  <c r="G15" i="16" s="1" a="1"/>
  <c r="G15" i="16" s="1"/>
  <c r="H10" i="16"/>
  <c r="I10" i="16"/>
  <c r="J10" i="16"/>
  <c r="K10" i="16"/>
  <c r="L10" i="16"/>
  <c r="L11" i="16" s="1" a="1"/>
  <c r="L11" i="16" s="1"/>
  <c r="M10" i="16"/>
  <c r="M13" i="16" s="1" a="1"/>
  <c r="M13" i="16" s="1"/>
  <c r="N10" i="16"/>
  <c r="O10" i="16"/>
  <c r="O12" i="16" s="1" a="1"/>
  <c r="O12" i="16" s="1"/>
  <c r="P10" i="16"/>
  <c r="P12" i="16" s="1" a="1"/>
  <c r="P12" i="16" s="1"/>
  <c r="Q10" i="16"/>
  <c r="Q13" i="16" s="1" a="1"/>
  <c r="Q13" i="16" s="1"/>
  <c r="R10" i="16"/>
  <c r="R13" i="16" s="1" a="1"/>
  <c r="R13" i="16" s="1"/>
  <c r="S10" i="16"/>
  <c r="S14" i="16" s="1" a="1"/>
  <c r="S14" i="16" s="1"/>
  <c r="T10" i="16"/>
  <c r="U10" i="16"/>
  <c r="U11" i="16" s="1" a="1"/>
  <c r="U11" i="16" s="1"/>
  <c r="V10" i="16"/>
  <c r="W10" i="16"/>
  <c r="X10" i="16"/>
  <c r="X14" i="16" s="1" a="1"/>
  <c r="X14" i="16" s="1"/>
  <c r="C10" i="16"/>
  <c r="C15" i="16" s="1" a="1"/>
  <c r="C15" i="16" s="1"/>
  <c r="D3" i="16" a="1"/>
  <c r="D3" i="16" s="1"/>
  <c r="E3" i="16" a="1"/>
  <c r="E3" i="16" s="1"/>
  <c r="B38" i="29" s="1"/>
  <c r="F3" i="16" a="1"/>
  <c r="F3" i="16" s="1"/>
  <c r="C38" i="29" s="1"/>
  <c r="G3" i="16" a="1"/>
  <c r="G3" i="16" s="1"/>
  <c r="D38" i="29" s="1"/>
  <c r="H3" i="16" a="1"/>
  <c r="H3" i="16" s="1"/>
  <c r="I3" i="16" a="1"/>
  <c r="I3" i="16" s="1"/>
  <c r="J3" i="16" a="1"/>
  <c r="J3" i="16" s="1"/>
  <c r="K3" i="16" a="1"/>
  <c r="K3" i="16" s="1"/>
  <c r="L3" i="16" a="1"/>
  <c r="L3" i="16" s="1"/>
  <c r="M3" i="16" a="1"/>
  <c r="M3" i="16" s="1"/>
  <c r="J38" i="29" s="1"/>
  <c r="N3" i="16" a="1"/>
  <c r="N3" i="16" s="1"/>
  <c r="K38" i="29" s="1"/>
  <c r="O3" i="16" a="1"/>
  <c r="O3" i="16" s="1"/>
  <c r="L38" i="29" s="1"/>
  <c r="P3" i="16" a="1"/>
  <c r="P3" i="16" s="1"/>
  <c r="M38" i="29" s="1"/>
  <c r="Q3" i="16" a="1"/>
  <c r="Q3" i="16" s="1"/>
  <c r="R3" i="16" a="1"/>
  <c r="R3" i="16" s="1"/>
  <c r="O38" i="29" s="1"/>
  <c r="S3" i="16" a="1"/>
  <c r="S3" i="16" s="1"/>
  <c r="P38" i="29" s="1"/>
  <c r="T3" i="16" a="1"/>
  <c r="T3" i="16" s="1"/>
  <c r="Q38" i="29" s="1"/>
  <c r="U3" i="16" a="1"/>
  <c r="U3" i="16" s="1"/>
  <c r="R38" i="29" s="1"/>
  <c r="V3" i="16" a="1"/>
  <c r="V3" i="16" s="1"/>
  <c r="W3" i="16" a="1"/>
  <c r="W3" i="16" s="1"/>
  <c r="T38" i="29" s="1"/>
  <c r="X3" i="16" a="1"/>
  <c r="X3" i="16" s="1"/>
  <c r="D4" i="16" a="1"/>
  <c r="D4" i="16" s="1"/>
  <c r="E4" i="16" a="1"/>
  <c r="E4" i="16" s="1"/>
  <c r="B58" i="29" s="1"/>
  <c r="F4" i="16" a="1"/>
  <c r="F4" i="16" s="1"/>
  <c r="C58" i="29" s="1"/>
  <c r="G4" i="16" a="1"/>
  <c r="G4" i="16" s="1"/>
  <c r="H4" i="16" a="1"/>
  <c r="H4" i="16" s="1"/>
  <c r="I4" i="16" a="1"/>
  <c r="I4" i="16" s="1"/>
  <c r="F58" i="29" s="1"/>
  <c r="J4" i="16" a="1"/>
  <c r="J4" i="16" s="1"/>
  <c r="K4" i="16" a="1"/>
  <c r="K4" i="16" s="1"/>
  <c r="L4" i="16" a="1"/>
  <c r="L4" i="16" s="1"/>
  <c r="I58" i="29" s="1"/>
  <c r="M4" i="16" a="1"/>
  <c r="M4" i="16" s="1"/>
  <c r="N4" i="16" a="1"/>
  <c r="N4" i="16" s="1"/>
  <c r="K58" i="29" s="1"/>
  <c r="O4" i="16" a="1"/>
  <c r="O4" i="16" s="1"/>
  <c r="P4" i="16" a="1"/>
  <c r="P4" i="16" s="1"/>
  <c r="Q4" i="16" a="1"/>
  <c r="Q4" i="16" s="1"/>
  <c r="N58" i="29" s="1"/>
  <c r="R4" i="16" a="1"/>
  <c r="R4" i="16" s="1"/>
  <c r="O58" i="29" s="1"/>
  <c r="S4" i="16" a="1"/>
  <c r="S4" i="16" s="1"/>
  <c r="T4" i="16" a="1"/>
  <c r="T4" i="16" s="1"/>
  <c r="Q58" i="29" s="1"/>
  <c r="U4" i="16" a="1"/>
  <c r="U4" i="16" s="1"/>
  <c r="R58" i="29" s="1"/>
  <c r="V4" i="16" a="1"/>
  <c r="V4" i="16" s="1"/>
  <c r="S58" i="29" s="1"/>
  <c r="W4" i="16" a="1"/>
  <c r="W4" i="16" s="1"/>
  <c r="T58" i="29" s="1"/>
  <c r="X4" i="16" a="1"/>
  <c r="X4" i="16" s="1"/>
  <c r="U58" i="29" s="1"/>
  <c r="D5" i="16" a="1"/>
  <c r="D5" i="16" s="1"/>
  <c r="E5" i="16" a="1"/>
  <c r="E5" i="16" s="1"/>
  <c r="B77" i="29" s="1"/>
  <c r="F5" i="16" a="1"/>
  <c r="F5" i="16" s="1"/>
  <c r="C77" i="29" s="1"/>
  <c r="G5" i="16" a="1"/>
  <c r="G5" i="16" s="1"/>
  <c r="H5" i="16" a="1"/>
  <c r="H5" i="16" s="1"/>
  <c r="E77" i="29" s="1"/>
  <c r="I5" i="16" a="1"/>
  <c r="I5" i="16" s="1"/>
  <c r="F77" i="29" s="1"/>
  <c r="J5" i="16" a="1"/>
  <c r="J5" i="16" s="1"/>
  <c r="T16" i="28" s="1"/>
  <c r="K5" i="16" a="1"/>
  <c r="K5" i="16" s="1"/>
  <c r="H77" i="29" s="1"/>
  <c r="L5" i="16" a="1"/>
  <c r="L5" i="16" s="1"/>
  <c r="M5" i="16" a="1"/>
  <c r="M5" i="16" s="1"/>
  <c r="N5" i="16" a="1"/>
  <c r="N5" i="16" s="1"/>
  <c r="O5" i="16" a="1"/>
  <c r="O5" i="16" s="1"/>
  <c r="P5" i="16" a="1"/>
  <c r="P5" i="16" s="1"/>
  <c r="Q5" i="16" a="1"/>
  <c r="Q5" i="16" s="1"/>
  <c r="N77" i="29" s="1"/>
  <c r="R5" i="16" a="1"/>
  <c r="R5" i="16" s="1"/>
  <c r="O77" i="29" s="1"/>
  <c r="S5" i="16" a="1"/>
  <c r="S5" i="16" s="1"/>
  <c r="T5" i="16" a="1"/>
  <c r="T5" i="16" s="1"/>
  <c r="Q77" i="29" s="1"/>
  <c r="U5" i="16" a="1"/>
  <c r="U5" i="16" s="1"/>
  <c r="R77" i="29" s="1"/>
  <c r="V5" i="16" a="1"/>
  <c r="V5" i="16" s="1"/>
  <c r="S77" i="29" s="1"/>
  <c r="W5" i="16" a="1"/>
  <c r="W5" i="16" s="1"/>
  <c r="X5" i="16" a="1"/>
  <c r="X5" i="16" s="1"/>
  <c r="U77" i="29" s="1"/>
  <c r="D6" i="16" a="1"/>
  <c r="D6" i="16" s="1"/>
  <c r="E6" i="16" a="1"/>
  <c r="E6" i="16" s="1"/>
  <c r="F6" i="16" a="1"/>
  <c r="F6" i="16" s="1"/>
  <c r="G6" i="16" a="1"/>
  <c r="G6" i="16" s="1"/>
  <c r="H6" i="16" a="1"/>
  <c r="H6" i="16" s="1"/>
  <c r="I6" i="16" a="1"/>
  <c r="I6" i="16" s="1"/>
  <c r="J6" i="16" a="1"/>
  <c r="J6" i="16" s="1"/>
  <c r="K6" i="16" a="1"/>
  <c r="K6" i="16" s="1"/>
  <c r="H96" i="29" s="1"/>
  <c r="L6" i="16" a="1"/>
  <c r="L6" i="16" s="1"/>
  <c r="I96" i="29" s="1"/>
  <c r="M6" i="16" a="1"/>
  <c r="M6" i="16" s="1"/>
  <c r="J96" i="29" s="1"/>
  <c r="N6" i="16" a="1"/>
  <c r="N6" i="16" s="1"/>
  <c r="K96" i="29" s="1"/>
  <c r="O6" i="16" a="1"/>
  <c r="O6" i="16" s="1"/>
  <c r="P6" i="16" a="1"/>
  <c r="P6" i="16" s="1"/>
  <c r="M96" i="29" s="1"/>
  <c r="M111" i="29" s="1"/>
  <c r="Q6" i="16" a="1"/>
  <c r="Q6" i="16" s="1"/>
  <c r="N96" i="29" s="1"/>
  <c r="R6" i="16" a="1"/>
  <c r="R6" i="16" s="1"/>
  <c r="O96" i="29" s="1"/>
  <c r="S6" i="16" a="1"/>
  <c r="S6" i="16" s="1"/>
  <c r="P96" i="29" s="1"/>
  <c r="T6" i="16" a="1"/>
  <c r="T6" i="16" s="1"/>
  <c r="Q96" i="29" s="1"/>
  <c r="U6" i="16" a="1"/>
  <c r="U6" i="16" s="1"/>
  <c r="V6" i="16" a="1"/>
  <c r="V6" i="16" s="1"/>
  <c r="W6" i="16" a="1"/>
  <c r="W6" i="16" s="1"/>
  <c r="X6" i="16" a="1"/>
  <c r="X6" i="16" s="1"/>
  <c r="U96" i="29" s="1"/>
  <c r="D7" i="16" a="1"/>
  <c r="D7" i="16" s="1"/>
  <c r="E7" i="16" a="1"/>
  <c r="E7" i="16" s="1"/>
  <c r="F7" i="16" a="1"/>
  <c r="F7" i="16" s="1"/>
  <c r="C115" i="29" s="1"/>
  <c r="G7" i="16" a="1"/>
  <c r="G7" i="16" s="1"/>
  <c r="D115" i="29" s="1"/>
  <c r="D130" i="29" s="1"/>
  <c r="H7" i="16" a="1"/>
  <c r="H7" i="16" s="1"/>
  <c r="E115" i="29" s="1"/>
  <c r="E129" i="29" s="1"/>
  <c r="I7" i="16" a="1"/>
  <c r="I7" i="16" s="1"/>
  <c r="F115" i="29" s="1"/>
  <c r="J7" i="16" a="1"/>
  <c r="J7" i="16" s="1"/>
  <c r="G115" i="29" s="1"/>
  <c r="K7" i="16" a="1"/>
  <c r="K7" i="16" s="1"/>
  <c r="H115" i="29" s="1"/>
  <c r="L7" i="16" a="1"/>
  <c r="L7" i="16" s="1"/>
  <c r="I115" i="29" s="1"/>
  <c r="M7" i="16" a="1"/>
  <c r="M7" i="16" s="1"/>
  <c r="N7" i="16" a="1"/>
  <c r="N7" i="16" s="1"/>
  <c r="K115" i="29" s="1"/>
  <c r="O7" i="16" a="1"/>
  <c r="O7" i="16" s="1"/>
  <c r="P7" i="16" a="1"/>
  <c r="P7" i="16" s="1"/>
  <c r="Q7" i="16" a="1"/>
  <c r="Q7" i="16" s="1"/>
  <c r="R7" i="16" a="1"/>
  <c r="R7" i="16" s="1"/>
  <c r="S7" i="16" a="1"/>
  <c r="S7" i="16" s="1"/>
  <c r="T7" i="16" a="1"/>
  <c r="T7" i="16" s="1"/>
  <c r="Q115" i="29" s="1"/>
  <c r="Q129" i="29" s="1"/>
  <c r="U7" i="16" a="1"/>
  <c r="U7" i="16" s="1"/>
  <c r="R115" i="29" s="1"/>
  <c r="V7" i="16" a="1"/>
  <c r="V7" i="16" s="1"/>
  <c r="S115" i="29" s="1"/>
  <c r="W7" i="16" a="1"/>
  <c r="W7" i="16" s="1"/>
  <c r="T115" i="29" s="1"/>
  <c r="X7" i="16" a="1"/>
  <c r="X7" i="16" s="1"/>
  <c r="U115" i="29" s="1"/>
  <c r="C4" i="16" a="1"/>
  <c r="C4" i="16" s="1"/>
  <c r="C5" i="16" a="1"/>
  <c r="C5" i="16" s="1"/>
  <c r="C6" i="16" a="1"/>
  <c r="C6" i="16" s="1"/>
  <c r="C7" i="16" a="1"/>
  <c r="C7" i="16" s="1"/>
  <c r="C3" i="16" a="1"/>
  <c r="C3" i="16" s="1"/>
  <c r="B94" i="16"/>
  <c r="F94" i="16"/>
  <c r="E94" i="16"/>
  <c r="A83" i="16"/>
  <c r="B83" i="16" s="1"/>
  <c r="A82" i="16"/>
  <c r="I82" i="16" s="1"/>
  <c r="AE61" i="13"/>
  <c r="AE62" i="13"/>
  <c r="AE63" i="13"/>
  <c r="AE64" i="13"/>
  <c r="AE65" i="13"/>
  <c r="AE66" i="13"/>
  <c r="AE67" i="13"/>
  <c r="AE68" i="13"/>
  <c r="AE69" i="13"/>
  <c r="AE70" i="13"/>
  <c r="AE71" i="13"/>
  <c r="AE60" i="13"/>
  <c r="AF59" i="13"/>
  <c r="AF60" i="13"/>
  <c r="AF61" i="13"/>
  <c r="AF62" i="13"/>
  <c r="AF63" i="13"/>
  <c r="AF64" i="13"/>
  <c r="AF65" i="13"/>
  <c r="AF66" i="13"/>
  <c r="AF67" i="13"/>
  <c r="AF68" i="13"/>
  <c r="AF69" i="13"/>
  <c r="AF70" i="13"/>
  <c r="AF71" i="13"/>
  <c r="AF58" i="13"/>
  <c r="AG59" i="13"/>
  <c r="AG60" i="13"/>
  <c r="AG61" i="13"/>
  <c r="AG62" i="13"/>
  <c r="AG63" i="13"/>
  <c r="AG64" i="13"/>
  <c r="AG65" i="13"/>
  <c r="AG66" i="13"/>
  <c r="AG67" i="13"/>
  <c r="AG68" i="13"/>
  <c r="AG69" i="13"/>
  <c r="AG70" i="13"/>
  <c r="AG71" i="13"/>
  <c r="AG58" i="13"/>
  <c r="AH59" i="13"/>
  <c r="AH60" i="13"/>
  <c r="AH61" i="13"/>
  <c r="AH62" i="13"/>
  <c r="AH63" i="13"/>
  <c r="AH64" i="13"/>
  <c r="AH65" i="13"/>
  <c r="AH66" i="13"/>
  <c r="AH67" i="13"/>
  <c r="AH68" i="13"/>
  <c r="AH69" i="13"/>
  <c r="AH70" i="13"/>
  <c r="AH71" i="13"/>
  <c r="AI59" i="13"/>
  <c r="AI60" i="13"/>
  <c r="AI61" i="13"/>
  <c r="AI62" i="13"/>
  <c r="AI63" i="13"/>
  <c r="AI64" i="13"/>
  <c r="AI65" i="13"/>
  <c r="AI66" i="13"/>
  <c r="AI67" i="13"/>
  <c r="AI68" i="13"/>
  <c r="AI69" i="13"/>
  <c r="AI70" i="13"/>
  <c r="AI71" i="13"/>
  <c r="AI58" i="13"/>
  <c r="AH58" i="13"/>
  <c r="V59" i="13"/>
  <c r="W59" i="13"/>
  <c r="X59" i="13"/>
  <c r="V60" i="13"/>
  <c r="W60" i="13"/>
  <c r="X60" i="13"/>
  <c r="V61" i="13"/>
  <c r="W61" i="13"/>
  <c r="X61" i="13"/>
  <c r="V62" i="13"/>
  <c r="W62" i="13"/>
  <c r="X62" i="13"/>
  <c r="V63" i="13"/>
  <c r="W63" i="13"/>
  <c r="X63" i="13"/>
  <c r="V64" i="13"/>
  <c r="W64" i="13"/>
  <c r="X64" i="13"/>
  <c r="V65" i="13"/>
  <c r="W65" i="13"/>
  <c r="X65" i="13"/>
  <c r="V66" i="13"/>
  <c r="W66" i="13"/>
  <c r="X66" i="13"/>
  <c r="V67" i="13"/>
  <c r="W67" i="13"/>
  <c r="X67" i="13"/>
  <c r="V68" i="13"/>
  <c r="W68" i="13"/>
  <c r="X68" i="13"/>
  <c r="V69" i="13"/>
  <c r="W69" i="13"/>
  <c r="X69" i="13"/>
  <c r="V70" i="13"/>
  <c r="W70" i="13"/>
  <c r="X70" i="13"/>
  <c r="V71" i="13"/>
  <c r="W71" i="13"/>
  <c r="X71" i="13"/>
  <c r="X58" i="13"/>
  <c r="W58" i="13"/>
  <c r="V58" i="13"/>
  <c r="U59" i="13"/>
  <c r="U60" i="13"/>
  <c r="U61" i="13"/>
  <c r="U62" i="13"/>
  <c r="U63" i="13"/>
  <c r="U64" i="13"/>
  <c r="U65" i="13"/>
  <c r="U66" i="13"/>
  <c r="U67" i="13"/>
  <c r="U68" i="13"/>
  <c r="U69" i="13"/>
  <c r="U70" i="13"/>
  <c r="U71" i="13"/>
  <c r="U58" i="13"/>
  <c r="T60" i="13"/>
  <c r="T61" i="13"/>
  <c r="T62" i="13"/>
  <c r="T63" i="13"/>
  <c r="T64" i="13"/>
  <c r="T65" i="13"/>
  <c r="T66" i="13"/>
  <c r="T67" i="13"/>
  <c r="T68" i="13"/>
  <c r="T69" i="13"/>
  <c r="T70" i="13"/>
  <c r="T71" i="13"/>
  <c r="T59" i="13"/>
  <c r="S60" i="13"/>
  <c r="S61" i="13"/>
  <c r="S62" i="13"/>
  <c r="S63" i="13"/>
  <c r="S64" i="13"/>
  <c r="S65" i="13"/>
  <c r="S66" i="13"/>
  <c r="S67" i="13"/>
  <c r="S68" i="13"/>
  <c r="S69" i="13"/>
  <c r="S70" i="13"/>
  <c r="S71" i="13"/>
  <c r="R62" i="13"/>
  <c r="R63" i="13"/>
  <c r="R64" i="13"/>
  <c r="R65" i="13"/>
  <c r="R66" i="13"/>
  <c r="R67" i="13"/>
  <c r="R68" i="13"/>
  <c r="R69" i="13"/>
  <c r="R70" i="13"/>
  <c r="R71" i="13"/>
  <c r="R61" i="13"/>
  <c r="X47" i="13"/>
  <c r="R18" i="13"/>
  <c r="P54" i="12"/>
  <c r="P53" i="12"/>
  <c r="P52" i="12"/>
  <c r="P51" i="12"/>
  <c r="P50" i="12"/>
  <c r="P48" i="12"/>
  <c r="P49" i="12"/>
  <c r="P47" i="12"/>
  <c r="P46" i="12"/>
  <c r="O54" i="12"/>
  <c r="N54" i="12"/>
  <c r="O53" i="12"/>
  <c r="N53" i="12"/>
  <c r="O52" i="12"/>
  <c r="N52" i="12"/>
  <c r="O51" i="12"/>
  <c r="N51" i="12"/>
  <c r="O50" i="12"/>
  <c r="N50" i="12"/>
  <c r="O49" i="12"/>
  <c r="N49" i="12"/>
  <c r="O48" i="12"/>
  <c r="N48" i="12"/>
  <c r="O47" i="12"/>
  <c r="O46" i="12"/>
  <c r="N47" i="12"/>
  <c r="N46" i="12"/>
  <c r="R38" i="12"/>
  <c r="Y38" i="12"/>
  <c r="X39" i="12"/>
  <c r="Y40" i="12"/>
  <c r="X40" i="12"/>
  <c r="Y39" i="12"/>
  <c r="Z39" i="12"/>
  <c r="W41" i="12"/>
  <c r="Z40" i="12"/>
  <c r="Q39" i="12"/>
  <c r="R41" i="12"/>
  <c r="Q41" i="12"/>
  <c r="P41" i="12"/>
  <c r="R40" i="12"/>
  <c r="Q40" i="12"/>
  <c r="P40" i="12"/>
  <c r="O42" i="12"/>
  <c r="F62" i="8"/>
  <c r="D83" i="35" a="1"/>
  <c r="D83" i="36" a="1"/>
  <c r="D93" i="27" a="1"/>
  <c r="D84" i="35" a="1"/>
  <c r="C93" i="27" a="1"/>
  <c r="D91" i="27" a="1"/>
  <c r="C91" i="27" a="1"/>
  <c r="Y110" i="38" l="1"/>
  <c r="P50" i="38"/>
  <c r="R125" i="38"/>
  <c r="L130" i="38"/>
  <c r="B125" i="38"/>
  <c r="N125" i="38"/>
  <c r="P125" i="38"/>
  <c r="P127" i="38" s="1"/>
  <c r="Q111" i="38"/>
  <c r="Q112" i="38" s="1"/>
  <c r="J111" i="38"/>
  <c r="Q108" i="38"/>
  <c r="M110" i="38"/>
  <c r="O110" i="38"/>
  <c r="M92" i="38"/>
  <c r="N91" i="38"/>
  <c r="T91" i="38"/>
  <c r="T93" i="38" s="1"/>
  <c r="S91" i="38"/>
  <c r="S93" i="38" s="1"/>
  <c r="L87" i="38"/>
  <c r="L89" i="38" s="1"/>
  <c r="N92" i="38"/>
  <c r="F72" i="38"/>
  <c r="R72" i="38"/>
  <c r="C73" i="38"/>
  <c r="O73" i="38"/>
  <c r="D73" i="38"/>
  <c r="E68" i="38"/>
  <c r="E70" i="38" s="1"/>
  <c r="Q68" i="38"/>
  <c r="B130" i="38"/>
  <c r="B131" i="38" s="1"/>
  <c r="M129" i="38"/>
  <c r="M131" i="38" s="1"/>
  <c r="P130" i="38"/>
  <c r="P131" i="38" s="1"/>
  <c r="N127" i="38"/>
  <c r="N130" i="38"/>
  <c r="N131" i="38" s="1"/>
  <c r="R127" i="38"/>
  <c r="S106" i="38"/>
  <c r="S108" i="38" s="1"/>
  <c r="G111" i="38"/>
  <c r="S110" i="38"/>
  <c r="N93" i="38"/>
  <c r="P92" i="38"/>
  <c r="P93" i="38" s="1"/>
  <c r="M91" i="38"/>
  <c r="J87" i="38"/>
  <c r="D89" i="38"/>
  <c r="Q74" i="38"/>
  <c r="E72" i="38"/>
  <c r="E74" i="38" s="1"/>
  <c r="C52" i="38"/>
  <c r="G52" i="38"/>
  <c r="R52" i="38"/>
  <c r="R54" i="38" s="1"/>
  <c r="C48" i="38"/>
  <c r="C50" i="38" s="1"/>
  <c r="O48" i="38"/>
  <c r="O50" i="38" s="1"/>
  <c r="J52" i="38"/>
  <c r="E52" i="38"/>
  <c r="O111" i="38"/>
  <c r="O112" i="38" s="1"/>
  <c r="F70" i="38"/>
  <c r="R70" i="38"/>
  <c r="J68" i="38"/>
  <c r="J70" i="38" s="1"/>
  <c r="J73" i="38"/>
  <c r="J72" i="38"/>
  <c r="R108" i="38"/>
  <c r="F130" i="38"/>
  <c r="F131" i="38" s="1"/>
  <c r="F125" i="38"/>
  <c r="F127" i="38" s="1"/>
  <c r="E48" i="38"/>
  <c r="E50" i="38" s="1"/>
  <c r="D48" i="38"/>
  <c r="D50" i="38" s="1"/>
  <c r="D52" i="38"/>
  <c r="S53" i="38"/>
  <c r="G70" i="38"/>
  <c r="S70" i="38"/>
  <c r="K68" i="38"/>
  <c r="K70" i="38" s="1"/>
  <c r="K73" i="38"/>
  <c r="K72" i="38"/>
  <c r="K74" i="38" s="1"/>
  <c r="Q70" i="38"/>
  <c r="U74" i="38"/>
  <c r="I92" i="38"/>
  <c r="I91" i="38"/>
  <c r="I93" i="38" s="1"/>
  <c r="U92" i="38"/>
  <c r="U87" i="38"/>
  <c r="U89" i="38" s="1"/>
  <c r="U91" i="38"/>
  <c r="L111" i="38"/>
  <c r="L110" i="38"/>
  <c r="L112" i="38" s="1"/>
  <c r="L106" i="38"/>
  <c r="O106" i="38"/>
  <c r="O108" i="38" s="1"/>
  <c r="S111" i="38"/>
  <c r="R129" i="38"/>
  <c r="R131" i="38" s="1"/>
  <c r="F48" i="38"/>
  <c r="F50" i="38" s="1"/>
  <c r="F53" i="38"/>
  <c r="F54" i="38" s="1"/>
  <c r="H70" i="38"/>
  <c r="T70" i="38"/>
  <c r="L73" i="38"/>
  <c r="L72" i="38"/>
  <c r="G68" i="38"/>
  <c r="G72" i="38"/>
  <c r="M68" i="38"/>
  <c r="M70" i="38" s="1"/>
  <c r="M73" i="38"/>
  <c r="M74" i="38" s="1"/>
  <c r="J92" i="38"/>
  <c r="J91" i="38"/>
  <c r="C89" i="38"/>
  <c r="M111" i="38"/>
  <c r="M106" i="38"/>
  <c r="M108" i="38" s="1"/>
  <c r="T127" i="38"/>
  <c r="H130" i="38"/>
  <c r="H129" i="38"/>
  <c r="H125" i="38"/>
  <c r="H127" i="38" s="1"/>
  <c r="M52" i="38"/>
  <c r="M48" i="38"/>
  <c r="M50" i="38" s="1"/>
  <c r="H48" i="38"/>
  <c r="H52" i="38"/>
  <c r="H53" i="38"/>
  <c r="U68" i="38"/>
  <c r="U73" i="38"/>
  <c r="P87" i="38"/>
  <c r="P89" i="38" s="1"/>
  <c r="C130" i="38"/>
  <c r="C129" i="38"/>
  <c r="C125" i="38"/>
  <c r="O130" i="38"/>
  <c r="O131" i="38" s="1"/>
  <c r="O125" i="38"/>
  <c r="B52" i="38"/>
  <c r="B53" i="38"/>
  <c r="I53" i="38"/>
  <c r="I52" i="38"/>
  <c r="G53" i="38"/>
  <c r="G54" i="38" s="1"/>
  <c r="I70" i="38"/>
  <c r="U70" i="38"/>
  <c r="B111" i="38"/>
  <c r="B110" i="38"/>
  <c r="B112" i="38" s="1"/>
  <c r="B106" i="38"/>
  <c r="Q50" i="38"/>
  <c r="I48" i="38"/>
  <c r="R50" i="38"/>
  <c r="I73" i="38"/>
  <c r="I72" i="38"/>
  <c r="I74" i="38" s="1"/>
  <c r="M93" i="38"/>
  <c r="G92" i="38"/>
  <c r="D92" i="38"/>
  <c r="E110" i="38"/>
  <c r="E111" i="38"/>
  <c r="E106" i="38"/>
  <c r="E108" i="38" s="1"/>
  <c r="D130" i="38"/>
  <c r="D129" i="38"/>
  <c r="D131" i="38" s="1"/>
  <c r="D125" i="38"/>
  <c r="D127" i="38" s="1"/>
  <c r="B127" i="38"/>
  <c r="S52" i="38"/>
  <c r="H92" i="38"/>
  <c r="H91" i="38"/>
  <c r="T87" i="38"/>
  <c r="T89" i="38" s="1"/>
  <c r="T92" i="38"/>
  <c r="F110" i="38"/>
  <c r="F106" i="38"/>
  <c r="F108" i="38" s="1"/>
  <c r="H50" i="38"/>
  <c r="L52" i="38"/>
  <c r="L48" i="38"/>
  <c r="L50" i="38" s="1"/>
  <c r="L53" i="38"/>
  <c r="T48" i="38"/>
  <c r="T53" i="38"/>
  <c r="L70" i="38"/>
  <c r="C110" i="38"/>
  <c r="C111" i="38"/>
  <c r="C106" i="38"/>
  <c r="N48" i="38"/>
  <c r="N52" i="38"/>
  <c r="N54" i="38" s="1"/>
  <c r="U48" i="38"/>
  <c r="U53" i="38"/>
  <c r="U54" i="38" s="1"/>
  <c r="M53" i="38"/>
  <c r="I129" i="38"/>
  <c r="B50" i="38"/>
  <c r="G91" i="38"/>
  <c r="J129" i="38"/>
  <c r="N111" i="38"/>
  <c r="N110" i="38"/>
  <c r="N112" i="38" s="1"/>
  <c r="N106" i="38"/>
  <c r="I111" i="38"/>
  <c r="J48" i="38"/>
  <c r="J50" i="38" s="1"/>
  <c r="G48" i="38"/>
  <c r="S50" i="38"/>
  <c r="K52" i="38"/>
  <c r="K48" i="38"/>
  <c r="K50" i="38" s="1"/>
  <c r="K53" i="38"/>
  <c r="T52" i="38"/>
  <c r="C91" i="38"/>
  <c r="C53" i="38"/>
  <c r="C54" i="38" s="1"/>
  <c r="O53" i="38"/>
  <c r="B72" i="38"/>
  <c r="B68" i="38"/>
  <c r="B70" i="38" s="1"/>
  <c r="N72" i="38"/>
  <c r="N74" i="38" s="1"/>
  <c r="N68" i="38"/>
  <c r="N70" i="38"/>
  <c r="B73" i="38"/>
  <c r="K92" i="38"/>
  <c r="K91" i="38"/>
  <c r="K93" i="38" s="1"/>
  <c r="K87" i="38"/>
  <c r="B91" i="38"/>
  <c r="D110" i="38"/>
  <c r="D106" i="38"/>
  <c r="P110" i="38"/>
  <c r="P112" i="38" s="1"/>
  <c r="P106" i="38"/>
  <c r="P108" i="38" s="1"/>
  <c r="E130" i="38"/>
  <c r="E129" i="38"/>
  <c r="E131" i="38" s="1"/>
  <c r="E125" i="38"/>
  <c r="Q130" i="38"/>
  <c r="Q129" i="38"/>
  <c r="Q125" i="38"/>
  <c r="U127" i="38"/>
  <c r="U129" i="38"/>
  <c r="U131" i="38" s="1"/>
  <c r="D53" i="38"/>
  <c r="P53" i="38"/>
  <c r="C72" i="38"/>
  <c r="C74" i="38" s="1"/>
  <c r="O72" i="38"/>
  <c r="O74" i="38" s="1"/>
  <c r="H72" i="38"/>
  <c r="M87" i="38"/>
  <c r="M89" i="38" s="1"/>
  <c r="H89" i="38"/>
  <c r="B92" i="38"/>
  <c r="E53" i="38"/>
  <c r="Q53" i="38"/>
  <c r="D72" i="38"/>
  <c r="D74" i="38" s="1"/>
  <c r="P72" i="38"/>
  <c r="P74" i="38" s="1"/>
  <c r="I89" i="38"/>
  <c r="D91" i="38"/>
  <c r="D93" i="38" s="1"/>
  <c r="B108" i="38"/>
  <c r="F111" i="38"/>
  <c r="R111" i="38"/>
  <c r="R112" i="38" s="1"/>
  <c r="D111" i="38"/>
  <c r="G129" i="38"/>
  <c r="G131" i="38" s="1"/>
  <c r="G125" i="38"/>
  <c r="G127" i="38" s="1"/>
  <c r="S129" i="38"/>
  <c r="S131" i="38" s="1"/>
  <c r="S125" i="38"/>
  <c r="S127" i="38" s="1"/>
  <c r="J89" i="38"/>
  <c r="F73" i="38"/>
  <c r="F74" i="38" s="1"/>
  <c r="O52" i="38"/>
  <c r="J53" i="38"/>
  <c r="G73" i="38"/>
  <c r="S73" i="38"/>
  <c r="S74" i="38" s="1"/>
  <c r="O89" i="38"/>
  <c r="I110" i="38"/>
  <c r="I112" i="38" s="1"/>
  <c r="U110" i="38"/>
  <c r="U112" i="38" s="1"/>
  <c r="K106" i="38"/>
  <c r="K108" i="38" s="1"/>
  <c r="G110" i="38"/>
  <c r="G112" i="38" s="1"/>
  <c r="J125" i="38"/>
  <c r="J127" i="38" s="1"/>
  <c r="J130" i="38"/>
  <c r="C92" i="38"/>
  <c r="N89" i="38"/>
  <c r="H110" i="38"/>
  <c r="H106" i="38"/>
  <c r="H111" i="38"/>
  <c r="G106" i="38"/>
  <c r="G108" i="38" s="1"/>
  <c r="P52" i="38"/>
  <c r="P54" i="38" s="1"/>
  <c r="H73" i="38"/>
  <c r="T73" i="38"/>
  <c r="T74" i="38" s="1"/>
  <c r="E91" i="38"/>
  <c r="E93" i="38" s="1"/>
  <c r="E87" i="38"/>
  <c r="Q91" i="38"/>
  <c r="Q93" i="38" s="1"/>
  <c r="Q87" i="38"/>
  <c r="L91" i="38"/>
  <c r="L93" i="38" s="1"/>
  <c r="J110" i="38"/>
  <c r="J112" i="38" s="1"/>
  <c r="K110" i="38"/>
  <c r="K112" i="38" s="1"/>
  <c r="K129" i="38"/>
  <c r="K125" i="38"/>
  <c r="K130" i="38"/>
  <c r="R73" i="38"/>
  <c r="R74" i="38" s="1"/>
  <c r="O92" i="38"/>
  <c r="O93" i="38" s="1"/>
  <c r="T110" i="38"/>
  <c r="T106" i="38"/>
  <c r="T111" i="38"/>
  <c r="E127" i="38"/>
  <c r="I130" i="38"/>
  <c r="I125" i="38"/>
  <c r="I127" i="38"/>
  <c r="Q52" i="38"/>
  <c r="F91" i="38"/>
  <c r="F93" i="38" s="1"/>
  <c r="R91" i="38"/>
  <c r="R93" i="38" s="1"/>
  <c r="C87" i="38"/>
  <c r="B89" i="38"/>
  <c r="L129" i="38"/>
  <c r="L131" i="38" s="1"/>
  <c r="C68" i="38"/>
  <c r="C70" i="38" s="1"/>
  <c r="O68" i="38"/>
  <c r="O70" i="38" s="1"/>
  <c r="F87" i="38"/>
  <c r="R87" i="38"/>
  <c r="R89" i="38" s="1"/>
  <c r="I106" i="38"/>
  <c r="U106" i="38"/>
  <c r="L125" i="38"/>
  <c r="D68" i="38"/>
  <c r="D70" i="38" s="1"/>
  <c r="P68" i="38"/>
  <c r="P70" i="38" s="1"/>
  <c r="G87" i="38"/>
  <c r="S87" i="38"/>
  <c r="S89" i="38" s="1"/>
  <c r="J106" i="38"/>
  <c r="M125" i="38"/>
  <c r="T91" i="37"/>
  <c r="E110" i="37"/>
  <c r="E91" i="37"/>
  <c r="U52" i="37"/>
  <c r="U54" i="37" s="1"/>
  <c r="B125" i="37"/>
  <c r="O108" i="37"/>
  <c r="O91" i="37"/>
  <c r="O93" i="37" s="1"/>
  <c r="Q72" i="37"/>
  <c r="H130" i="37"/>
  <c r="M130" i="37"/>
  <c r="Q108" i="37"/>
  <c r="E111" i="37"/>
  <c r="L89" i="37"/>
  <c r="O89" i="37"/>
  <c r="P72" i="37"/>
  <c r="P74" i="37" s="1"/>
  <c r="P48" i="37"/>
  <c r="P53" i="37"/>
  <c r="U48" i="37"/>
  <c r="U50" i="37" s="1"/>
  <c r="D53" i="37"/>
  <c r="D48" i="37"/>
  <c r="D52" i="37"/>
  <c r="S91" i="37"/>
  <c r="S92" i="37"/>
  <c r="E53" i="37"/>
  <c r="E48" i="37"/>
  <c r="E50" i="37" s="1"/>
  <c r="E52" i="37"/>
  <c r="Q48" i="37"/>
  <c r="Q50" i="37" s="1"/>
  <c r="O72" i="37"/>
  <c r="O70" i="37"/>
  <c r="O73" i="37"/>
  <c r="P52" i="37"/>
  <c r="M111" i="37"/>
  <c r="G53" i="37"/>
  <c r="G48" i="37"/>
  <c r="G50" i="37" s="1"/>
  <c r="G52" i="37"/>
  <c r="S53" i="37"/>
  <c r="S48" i="37"/>
  <c r="S50" i="37" s="1"/>
  <c r="Q52" i="37"/>
  <c r="E73" i="37"/>
  <c r="I72" i="37"/>
  <c r="M110" i="37"/>
  <c r="R91" i="37"/>
  <c r="J53" i="37"/>
  <c r="T127" i="37"/>
  <c r="O130" i="37"/>
  <c r="O131" i="37" s="1"/>
  <c r="P130" i="37"/>
  <c r="P129" i="37"/>
  <c r="T53" i="37"/>
  <c r="T54" i="37" s="1"/>
  <c r="T48" i="37"/>
  <c r="T50" i="37" s="1"/>
  <c r="Q130" i="37"/>
  <c r="Q129" i="37"/>
  <c r="I73" i="37"/>
  <c r="B127" i="37"/>
  <c r="F127" i="37"/>
  <c r="R129" i="37"/>
  <c r="T92" i="37"/>
  <c r="T93" i="37" s="1"/>
  <c r="Q127" i="37"/>
  <c r="I70" i="37"/>
  <c r="I92" i="37"/>
  <c r="I89" i="37"/>
  <c r="U92" i="37"/>
  <c r="R92" i="37"/>
  <c r="N52" i="37"/>
  <c r="J48" i="37"/>
  <c r="J50" i="37" s="1"/>
  <c r="E92" i="37"/>
  <c r="E93" i="37" s="1"/>
  <c r="I91" i="37"/>
  <c r="K111" i="37"/>
  <c r="K92" i="37"/>
  <c r="R73" i="37"/>
  <c r="O110" i="37"/>
  <c r="B111" i="37"/>
  <c r="B106" i="37"/>
  <c r="P70" i="37"/>
  <c r="L91" i="37"/>
  <c r="P110" i="37"/>
  <c r="P112" i="37" s="1"/>
  <c r="Q110" i="37"/>
  <c r="Q112" i="37" s="1"/>
  <c r="F73" i="37"/>
  <c r="L92" i="37"/>
  <c r="R110" i="37"/>
  <c r="R108" i="37"/>
  <c r="B110" i="37"/>
  <c r="R111" i="37"/>
  <c r="B130" i="37"/>
  <c r="N130" i="37"/>
  <c r="G110" i="37"/>
  <c r="G112" i="37" s="1"/>
  <c r="I92" i="27"/>
  <c r="I91" i="27"/>
  <c r="H107" i="29"/>
  <c r="L78" i="29"/>
  <c r="G65" i="29"/>
  <c r="O84" i="29"/>
  <c r="T92" i="29"/>
  <c r="U47" i="29"/>
  <c r="C88" i="29"/>
  <c r="B92" i="29"/>
  <c r="N67" i="29"/>
  <c r="C130" i="29"/>
  <c r="F73" i="29"/>
  <c r="B130" i="29"/>
  <c r="M67" i="29"/>
  <c r="B69" i="29"/>
  <c r="C103" i="29"/>
  <c r="K69" i="29"/>
  <c r="S69" i="29"/>
  <c r="B129" i="29"/>
  <c r="U110" i="29"/>
  <c r="O91" i="29"/>
  <c r="T110" i="29"/>
  <c r="K73" i="29"/>
  <c r="O103" i="29"/>
  <c r="R129" i="29"/>
  <c r="F130" i="29"/>
  <c r="U68" i="29"/>
  <c r="I72" i="29"/>
  <c r="P92" i="29"/>
  <c r="S63" i="29"/>
  <c r="O78" i="29"/>
  <c r="O105" i="29"/>
  <c r="S72" i="29"/>
  <c r="U129" i="29"/>
  <c r="U91" i="29"/>
  <c r="F82" i="29"/>
  <c r="D72" i="29"/>
  <c r="U92" i="29"/>
  <c r="N63" i="29"/>
  <c r="R69" i="29"/>
  <c r="C84" i="29"/>
  <c r="T105" i="29"/>
  <c r="T111" i="29"/>
  <c r="M63" i="29"/>
  <c r="T72" i="29"/>
  <c r="L126" i="29"/>
  <c r="L127" i="29" s="1"/>
  <c r="N65" i="29"/>
  <c r="R86" i="29"/>
  <c r="N105" i="29"/>
  <c r="M65" i="29"/>
  <c r="O86" i="29"/>
  <c r="M105" i="29"/>
  <c r="L65" i="29"/>
  <c r="L88" i="29"/>
  <c r="K105" i="29"/>
  <c r="E110" i="29"/>
  <c r="F107" i="29"/>
  <c r="P67" i="29"/>
  <c r="N78" i="29"/>
  <c r="C107" i="29"/>
  <c r="Q86" i="29"/>
  <c r="D82" i="29"/>
  <c r="S103" i="29"/>
  <c r="E130" i="29"/>
  <c r="F65" i="29"/>
  <c r="G67" i="29"/>
  <c r="G69" i="29"/>
  <c r="H86" i="29"/>
  <c r="R101" i="29"/>
  <c r="S91" i="29"/>
  <c r="D67" i="29"/>
  <c r="F69" i="29"/>
  <c r="D78" i="29"/>
  <c r="F86" i="29"/>
  <c r="P101" i="29"/>
  <c r="H105" i="29"/>
  <c r="R116" i="29"/>
  <c r="U72" i="29"/>
  <c r="J129" i="29"/>
  <c r="I111" i="29"/>
  <c r="R91" i="29"/>
  <c r="F92" i="29"/>
  <c r="C73" i="29"/>
  <c r="C74" i="29" s="1"/>
  <c r="F72" i="29"/>
  <c r="F74" i="29" s="1"/>
  <c r="D92" i="29"/>
  <c r="B110" i="29"/>
  <c r="D110" i="29"/>
  <c r="I73" i="29"/>
  <c r="I74" i="29" s="1"/>
  <c r="L63" i="29"/>
  <c r="S47" i="29"/>
  <c r="C78" i="29"/>
  <c r="N84" i="29"/>
  <c r="E86" i="29"/>
  <c r="K101" i="29"/>
  <c r="K111" i="29"/>
  <c r="N103" i="29"/>
  <c r="B107" i="29"/>
  <c r="Q116" i="29"/>
  <c r="J126" i="29"/>
  <c r="P78" i="29"/>
  <c r="E107" i="29"/>
  <c r="D107" i="29"/>
  <c r="P103" i="29"/>
  <c r="Q91" i="29"/>
  <c r="E92" i="29"/>
  <c r="B72" i="29"/>
  <c r="D73" i="29"/>
  <c r="E111" i="29"/>
  <c r="F129" i="29"/>
  <c r="R130" i="29"/>
  <c r="J63" i="29"/>
  <c r="M47" i="29"/>
  <c r="C82" i="29"/>
  <c r="M84" i="29"/>
  <c r="D86" i="29"/>
  <c r="G101" i="29"/>
  <c r="L111" i="29"/>
  <c r="M103" i="29"/>
  <c r="T107" i="29"/>
  <c r="N116" i="29"/>
  <c r="I126" i="29"/>
  <c r="I127" i="29" s="1"/>
  <c r="F110" i="29"/>
  <c r="S130" i="29"/>
  <c r="C72" i="29"/>
  <c r="G63" i="29"/>
  <c r="L47" i="29"/>
  <c r="R82" i="29"/>
  <c r="K84" i="29"/>
  <c r="B88" i="29"/>
  <c r="F101" i="29"/>
  <c r="H103" i="29"/>
  <c r="R107" i="29"/>
  <c r="D88" i="29"/>
  <c r="B126" i="29"/>
  <c r="C63" i="29"/>
  <c r="S101" i="29"/>
  <c r="N126" i="29"/>
  <c r="U130" i="29"/>
  <c r="I129" i="29"/>
  <c r="H72" i="29"/>
  <c r="H74" i="29" s="1"/>
  <c r="P91" i="29"/>
  <c r="S65" i="29"/>
  <c r="I47" i="29"/>
  <c r="Q82" i="29"/>
  <c r="H84" i="29"/>
  <c r="P88" i="29"/>
  <c r="D101" i="29"/>
  <c r="G103" i="29"/>
  <c r="Q107" i="29"/>
  <c r="L116" i="29"/>
  <c r="T73" i="29"/>
  <c r="E82" i="29"/>
  <c r="T129" i="29"/>
  <c r="H129" i="29"/>
  <c r="Q110" i="29"/>
  <c r="N91" i="29"/>
  <c r="K72" i="29"/>
  <c r="L91" i="29"/>
  <c r="T91" i="29"/>
  <c r="R65" i="29"/>
  <c r="G47" i="29"/>
  <c r="P82" i="29"/>
  <c r="O88" i="29"/>
  <c r="D103" i="29"/>
  <c r="P107" i="29"/>
  <c r="K116" i="29"/>
  <c r="O67" i="29"/>
  <c r="P86" i="29"/>
  <c r="P111" i="29"/>
  <c r="O65" i="29"/>
  <c r="S67" i="29"/>
  <c r="T86" i="29"/>
  <c r="M88" i="29"/>
  <c r="C105" i="29"/>
  <c r="O107" i="29"/>
  <c r="F116" i="29"/>
  <c r="J84" i="29"/>
  <c r="J105" i="29"/>
  <c r="Q92" i="29"/>
  <c r="B111" i="29"/>
  <c r="P73" i="29"/>
  <c r="P130" i="29"/>
  <c r="T67" i="29"/>
  <c r="H67" i="29"/>
  <c r="T68" i="29"/>
  <c r="J82" i="29"/>
  <c r="J86" i="29"/>
  <c r="Q88" i="29"/>
  <c r="E88" i="29"/>
  <c r="J107" i="29"/>
  <c r="B73" i="29"/>
  <c r="R92" i="29"/>
  <c r="D111" i="29"/>
  <c r="H73" i="29"/>
  <c r="Q72" i="29"/>
  <c r="M110" i="29"/>
  <c r="J69" i="29"/>
  <c r="Q130" i="29"/>
  <c r="I82" i="29"/>
  <c r="U86" i="29"/>
  <c r="I86" i="29"/>
  <c r="J101" i="29"/>
  <c r="H111" i="29"/>
  <c r="U107" i="29"/>
  <c r="I107" i="29"/>
  <c r="S92" i="29"/>
  <c r="C111" i="29"/>
  <c r="Q65" i="29"/>
  <c r="E65" i="29"/>
  <c r="K47" i="29"/>
  <c r="R67" i="29"/>
  <c r="F67" i="29"/>
  <c r="U69" i="29"/>
  <c r="U70" i="29" s="1"/>
  <c r="I69" i="29"/>
  <c r="I101" i="29"/>
  <c r="R103" i="29"/>
  <c r="F103" i="29"/>
  <c r="P116" i="29"/>
  <c r="D116" i="29"/>
  <c r="S73" i="29"/>
  <c r="S74" i="29" s="1"/>
  <c r="K91" i="29"/>
  <c r="K63" i="29"/>
  <c r="P65" i="29"/>
  <c r="D65" i="29"/>
  <c r="J47" i="29"/>
  <c r="Q67" i="29"/>
  <c r="E67" i="29"/>
  <c r="T69" i="29"/>
  <c r="H69" i="29"/>
  <c r="M78" i="29"/>
  <c r="S82" i="29"/>
  <c r="G82" i="29"/>
  <c r="L84" i="29"/>
  <c r="S86" i="29"/>
  <c r="G86" i="29"/>
  <c r="N88" i="29"/>
  <c r="C101" i="29"/>
  <c r="H101" i="29"/>
  <c r="J111" i="29"/>
  <c r="Q103" i="29"/>
  <c r="E103" i="29"/>
  <c r="L105" i="29"/>
  <c r="S107" i="29"/>
  <c r="S108" i="29" s="1"/>
  <c r="G107" i="29"/>
  <c r="G108" i="29" s="1"/>
  <c r="O116" i="29"/>
  <c r="C116" i="29"/>
  <c r="U111" i="29"/>
  <c r="T47" i="29"/>
  <c r="T126" i="29"/>
  <c r="T127" i="29" s="1"/>
  <c r="S126" i="29"/>
  <c r="U73" i="29"/>
  <c r="P110" i="29"/>
  <c r="T130" i="29"/>
  <c r="L72" i="29"/>
  <c r="D91" i="29"/>
  <c r="R63" i="29"/>
  <c r="F63" i="29"/>
  <c r="K65" i="29"/>
  <c r="Q47" i="29"/>
  <c r="E47" i="29"/>
  <c r="L67" i="29"/>
  <c r="O69" i="29"/>
  <c r="C69" i="29"/>
  <c r="T78" i="29"/>
  <c r="H78" i="29"/>
  <c r="N82" i="29"/>
  <c r="S84" i="29"/>
  <c r="G84" i="29"/>
  <c r="U88" i="29"/>
  <c r="I88" i="29"/>
  <c r="O101" i="29"/>
  <c r="L103" i="29"/>
  <c r="S105" i="29"/>
  <c r="G105" i="29"/>
  <c r="N107" i="29"/>
  <c r="R126" i="29"/>
  <c r="F126" i="29"/>
  <c r="F127" i="29" s="1"/>
  <c r="E91" i="29"/>
  <c r="C92" i="29"/>
  <c r="O92" i="29"/>
  <c r="P129" i="29"/>
  <c r="R47" i="29"/>
  <c r="F47" i="29"/>
  <c r="P69" i="29"/>
  <c r="D69" i="29"/>
  <c r="I78" i="29"/>
  <c r="J88" i="29"/>
  <c r="J89" i="29" s="1"/>
  <c r="G126" i="29"/>
  <c r="G127" i="29" s="1"/>
  <c r="B87" i="29"/>
  <c r="M91" i="29"/>
  <c r="B91" i="29"/>
  <c r="R72" i="29"/>
  <c r="M72" i="29"/>
  <c r="H91" i="29"/>
  <c r="M130" i="29"/>
  <c r="Q63" i="29"/>
  <c r="E63" i="29"/>
  <c r="J65" i="29"/>
  <c r="P47" i="29"/>
  <c r="D47" i="29"/>
  <c r="K67" i="29"/>
  <c r="N69" i="29"/>
  <c r="S78" i="29"/>
  <c r="G78" i="29"/>
  <c r="M82" i="29"/>
  <c r="R84" i="29"/>
  <c r="F84" i="29"/>
  <c r="H88" i="29"/>
  <c r="H89" i="29" s="1"/>
  <c r="K103" i="29"/>
  <c r="R105" i="29"/>
  <c r="F105" i="29"/>
  <c r="M107" i="29"/>
  <c r="Q126" i="29"/>
  <c r="E126" i="29"/>
  <c r="I63" i="29"/>
  <c r="H47" i="29"/>
  <c r="I91" i="29"/>
  <c r="F91" i="29"/>
  <c r="S129" i="29"/>
  <c r="P63" i="29"/>
  <c r="D63" i="29"/>
  <c r="I65" i="29"/>
  <c r="O47" i="29"/>
  <c r="C67" i="29"/>
  <c r="J67" i="29"/>
  <c r="R78" i="29"/>
  <c r="F78" i="29"/>
  <c r="L82" i="29"/>
  <c r="Q84" i="29"/>
  <c r="E84" i="29"/>
  <c r="L86" i="29"/>
  <c r="R110" i="29"/>
  <c r="Q105" i="29"/>
  <c r="E105" i="29"/>
  <c r="L107" i="29"/>
  <c r="T116" i="29"/>
  <c r="H116" i="29"/>
  <c r="P126" i="29"/>
  <c r="P127" i="29" s="1"/>
  <c r="D126" i="29"/>
  <c r="R111" i="29"/>
  <c r="H63" i="29"/>
  <c r="Q69" i="29"/>
  <c r="E69" i="29"/>
  <c r="J78" i="29"/>
  <c r="K88" i="29"/>
  <c r="Q101" i="29"/>
  <c r="E101" i="29"/>
  <c r="U105" i="29"/>
  <c r="I105" i="29"/>
  <c r="H126" i="29"/>
  <c r="E72" i="29"/>
  <c r="O73" i="29"/>
  <c r="C129" i="29"/>
  <c r="O130" i="29"/>
  <c r="O63" i="29"/>
  <c r="C65" i="29"/>
  <c r="H65" i="29"/>
  <c r="N47" i="29"/>
  <c r="U67" i="29"/>
  <c r="I67" i="29"/>
  <c r="E78" i="29"/>
  <c r="K82" i="29"/>
  <c r="D84" i="29"/>
  <c r="F111" i="29"/>
  <c r="I103" i="29"/>
  <c r="P105" i="29"/>
  <c r="D105" i="29"/>
  <c r="S116" i="29"/>
  <c r="G116" i="29"/>
  <c r="O126" i="29"/>
  <c r="C126" i="29"/>
  <c r="S110" i="29"/>
  <c r="O111" i="29"/>
  <c r="K130" i="29"/>
  <c r="L129" i="29"/>
  <c r="N130" i="29"/>
  <c r="O129" i="29"/>
  <c r="D129" i="29"/>
  <c r="I110" i="29"/>
  <c r="H110" i="29"/>
  <c r="K110" i="29"/>
  <c r="Q111" i="29"/>
  <c r="M92" i="29"/>
  <c r="L130" i="29"/>
  <c r="M129" i="29"/>
  <c r="H130" i="29"/>
  <c r="G130" i="29"/>
  <c r="I130" i="29"/>
  <c r="K129" i="29"/>
  <c r="J130" i="29"/>
  <c r="N129" i="29"/>
  <c r="G129" i="29"/>
  <c r="S111" i="29"/>
  <c r="G110" i="29"/>
  <c r="J110" i="29"/>
  <c r="L110" i="29"/>
  <c r="N110" i="29"/>
  <c r="C110" i="29"/>
  <c r="O110" i="29"/>
  <c r="G111" i="29"/>
  <c r="N111" i="29"/>
  <c r="C91" i="29"/>
  <c r="K92" i="29"/>
  <c r="J91" i="29"/>
  <c r="L92" i="29"/>
  <c r="N92" i="29"/>
  <c r="J92" i="29"/>
  <c r="I92" i="29"/>
  <c r="H92" i="29"/>
  <c r="Q73" i="29"/>
  <c r="O72" i="29"/>
  <c r="P72" i="29"/>
  <c r="M73" i="29"/>
  <c r="J73" i="29"/>
  <c r="L73" i="29"/>
  <c r="N72" i="29"/>
  <c r="J72" i="29"/>
  <c r="N73" i="29"/>
  <c r="E73" i="29"/>
  <c r="R73" i="29"/>
  <c r="K87" i="29"/>
  <c r="U59" i="29"/>
  <c r="U125" i="29"/>
  <c r="U127" i="29" s="1"/>
  <c r="I125" i="29"/>
  <c r="U87" i="29"/>
  <c r="E106" i="29"/>
  <c r="G106" i="29"/>
  <c r="S106" i="29"/>
  <c r="J125" i="29"/>
  <c r="J106" i="29"/>
  <c r="D125" i="29"/>
  <c r="Q106" i="29"/>
  <c r="N87" i="29"/>
  <c r="J68" i="29"/>
  <c r="F106" i="29"/>
  <c r="H106" i="29"/>
  <c r="H108" i="29" s="1"/>
  <c r="T106" i="29"/>
  <c r="L125" i="29"/>
  <c r="I59" i="29"/>
  <c r="G125" i="29"/>
  <c r="M87" i="29"/>
  <c r="R59" i="29"/>
  <c r="F59" i="29"/>
  <c r="B106" i="29"/>
  <c r="R125" i="29"/>
  <c r="F125" i="29"/>
  <c r="E59" i="29"/>
  <c r="H125" i="29"/>
  <c r="M59" i="29"/>
  <c r="S125" i="29"/>
  <c r="M125" i="29"/>
  <c r="M127" i="29" s="1"/>
  <c r="Q125" i="29"/>
  <c r="C125" i="29"/>
  <c r="L106" i="29"/>
  <c r="P125" i="29"/>
  <c r="T125" i="29"/>
  <c r="L59" i="29"/>
  <c r="N125" i="29"/>
  <c r="E125" i="29"/>
  <c r="O125" i="29"/>
  <c r="M106" i="29"/>
  <c r="K106" i="29"/>
  <c r="K108" i="29" s="1"/>
  <c r="B48" i="29"/>
  <c r="S59" i="29"/>
  <c r="G59" i="29"/>
  <c r="U106" i="29"/>
  <c r="I106" i="29"/>
  <c r="K125" i="29"/>
  <c r="K127" i="29" s="1"/>
  <c r="B68" i="29"/>
  <c r="B70" i="29" s="1"/>
  <c r="B125" i="29"/>
  <c r="R87" i="29"/>
  <c r="R89" i="29" s="1"/>
  <c r="F68" i="29"/>
  <c r="I87" i="29"/>
  <c r="C106" i="29"/>
  <c r="D106" i="29"/>
  <c r="R106" i="29"/>
  <c r="P106" i="29"/>
  <c r="N106" i="29"/>
  <c r="O106" i="29"/>
  <c r="Q43" i="29"/>
  <c r="O87" i="29"/>
  <c r="C87" i="29"/>
  <c r="C89" i="29" s="1"/>
  <c r="G52" i="29"/>
  <c r="H87" i="29"/>
  <c r="B53" i="29"/>
  <c r="F87" i="29"/>
  <c r="F89" i="29" s="1"/>
  <c r="O68" i="29"/>
  <c r="R68" i="29"/>
  <c r="D87" i="29"/>
  <c r="G43" i="29"/>
  <c r="Q87" i="29"/>
  <c r="E87" i="29"/>
  <c r="N68" i="29"/>
  <c r="S87" i="29"/>
  <c r="S89" i="29" s="1"/>
  <c r="J87" i="29"/>
  <c r="N48" i="29"/>
  <c r="M68" i="29"/>
  <c r="M70" i="29" s="1"/>
  <c r="P87" i="29"/>
  <c r="T87" i="29"/>
  <c r="T89" i="29" s="1"/>
  <c r="L87" i="29"/>
  <c r="L68" i="29"/>
  <c r="L70" i="29" s="1"/>
  <c r="D48" i="29"/>
  <c r="B52" i="29"/>
  <c r="T52" i="29"/>
  <c r="C68" i="29"/>
  <c r="H53" i="29"/>
  <c r="K48" i="29"/>
  <c r="D68" i="29"/>
  <c r="E68" i="29"/>
  <c r="R43" i="29"/>
  <c r="I68" i="29"/>
  <c r="Q53" i="29"/>
  <c r="S52" i="29"/>
  <c r="P68" i="29"/>
  <c r="J53" i="29"/>
  <c r="L45" i="29"/>
  <c r="I48" i="29"/>
  <c r="S68" i="29"/>
  <c r="S70" i="29" s="1"/>
  <c r="P48" i="29"/>
  <c r="U52" i="29"/>
  <c r="H68" i="29"/>
  <c r="R39" i="29"/>
  <c r="K45" i="29"/>
  <c r="L49" i="29"/>
  <c r="N53" i="29"/>
  <c r="O39" i="29"/>
  <c r="J45" i="29"/>
  <c r="Q68" i="29"/>
  <c r="F39" i="29"/>
  <c r="C52" i="29"/>
  <c r="K68" i="29"/>
  <c r="K70" i="29" s="1"/>
  <c r="O48" i="29"/>
  <c r="O50" i="29" s="1"/>
  <c r="C48" i="29"/>
  <c r="C50" i="29" s="1"/>
  <c r="P43" i="29"/>
  <c r="N39" i="29"/>
  <c r="O43" i="29"/>
  <c r="D45" i="29"/>
  <c r="K53" i="29"/>
  <c r="E48" i="29"/>
  <c r="I53" i="29"/>
  <c r="D39" i="29"/>
  <c r="R52" i="29"/>
  <c r="N52" i="29"/>
  <c r="J48" i="29"/>
  <c r="F48" i="29"/>
  <c r="S53" i="29"/>
  <c r="C45" i="29"/>
  <c r="F52" i="29"/>
  <c r="C47" i="29"/>
  <c r="U53" i="29"/>
  <c r="B49" i="29"/>
  <c r="H52" i="29"/>
  <c r="I52" i="29"/>
  <c r="T53" i="29"/>
  <c r="Q49" i="29"/>
  <c r="M53" i="29"/>
  <c r="D52" i="29"/>
  <c r="P52" i="29"/>
  <c r="L53" i="29"/>
  <c r="E52" i="29"/>
  <c r="Q48" i="29"/>
  <c r="E39" i="29"/>
  <c r="F43" i="29"/>
  <c r="O52" i="29"/>
  <c r="C43" i="29"/>
  <c r="P45" i="29"/>
  <c r="N49" i="29"/>
  <c r="R48" i="29"/>
  <c r="S43" i="29"/>
  <c r="M45" i="29"/>
  <c r="M49" i="29"/>
  <c r="C39" i="29"/>
  <c r="N43" i="29"/>
  <c r="H45" i="29"/>
  <c r="U48" i="29"/>
  <c r="R53" i="29"/>
  <c r="F53" i="29"/>
  <c r="M52" i="29"/>
  <c r="U49" i="29"/>
  <c r="I49" i="29"/>
  <c r="M43" i="29"/>
  <c r="S45" i="29"/>
  <c r="G45" i="29"/>
  <c r="T48" i="29"/>
  <c r="H48" i="29"/>
  <c r="E53" i="29"/>
  <c r="L52" i="29"/>
  <c r="T49" i="29"/>
  <c r="H49" i="29"/>
  <c r="Q52" i="29"/>
  <c r="J49" i="29"/>
  <c r="L43" i="29"/>
  <c r="R45" i="29"/>
  <c r="F45" i="29"/>
  <c r="S48" i="29"/>
  <c r="G48" i="29"/>
  <c r="P53" i="29"/>
  <c r="D53" i="29"/>
  <c r="K52" i="29"/>
  <c r="S49" i="29"/>
  <c r="G49" i="29"/>
  <c r="K43" i="29"/>
  <c r="Q45" i="29"/>
  <c r="E45" i="29"/>
  <c r="O53" i="29"/>
  <c r="C53" i="29"/>
  <c r="J52" i="29"/>
  <c r="R49" i="29"/>
  <c r="R50" i="29" s="1"/>
  <c r="F49" i="29"/>
  <c r="M48" i="29"/>
  <c r="L48" i="29"/>
  <c r="K49" i="29"/>
  <c r="I45" i="29"/>
  <c r="G53" i="29"/>
  <c r="J43" i="29"/>
  <c r="E49" i="29"/>
  <c r="I43" i="29"/>
  <c r="O45" i="29"/>
  <c r="P49" i="29"/>
  <c r="D49" i="29"/>
  <c r="D43" i="29"/>
  <c r="H43" i="29"/>
  <c r="L39" i="29"/>
  <c r="K39" i="29"/>
  <c r="J39" i="29"/>
  <c r="I39" i="29"/>
  <c r="H39" i="29"/>
  <c r="S39" i="29"/>
  <c r="G39" i="29"/>
  <c r="I83" i="36"/>
  <c r="F83" i="36"/>
  <c r="C75" i="36"/>
  <c r="F82" i="36"/>
  <c r="D83" i="36"/>
  <c r="I82" i="36"/>
  <c r="I83" i="35"/>
  <c r="I84" i="35"/>
  <c r="F84" i="35"/>
  <c r="D83" i="35"/>
  <c r="D84" i="35"/>
  <c r="F83" i="35"/>
  <c r="K79" i="32"/>
  <c r="I83" i="32"/>
  <c r="V76" i="32"/>
  <c r="T78" i="32"/>
  <c r="P78" i="32"/>
  <c r="F84" i="32"/>
  <c r="I84" i="32"/>
  <c r="U80" i="32"/>
  <c r="D78" i="32"/>
  <c r="M77" i="32"/>
  <c r="P76" i="32"/>
  <c r="J78" i="32"/>
  <c r="Q78" i="32"/>
  <c r="J77" i="32"/>
  <c r="E80" i="32"/>
  <c r="L80" i="32"/>
  <c r="S77" i="32"/>
  <c r="E79" i="32"/>
  <c r="L79" i="32"/>
  <c r="T79" i="32"/>
  <c r="F80" i="32"/>
  <c r="D76" i="32"/>
  <c r="S76" i="32"/>
  <c r="E78" i="32"/>
  <c r="M79" i="32"/>
  <c r="F83" i="32"/>
  <c r="K78" i="32"/>
  <c r="V78" i="32"/>
  <c r="N79" i="32"/>
  <c r="U79" i="32"/>
  <c r="G80" i="32"/>
  <c r="V77" i="32"/>
  <c r="C80" i="32"/>
  <c r="Q80" i="32"/>
  <c r="Q76" i="32"/>
  <c r="H80" i="32"/>
  <c r="G77" i="32"/>
  <c r="H79" i="32"/>
  <c r="H76" i="32"/>
  <c r="O76" i="32"/>
  <c r="P77" i="32"/>
  <c r="Q79" i="32"/>
  <c r="K80" i="32"/>
  <c r="R80" i="32"/>
  <c r="B83" i="32"/>
  <c r="S97" i="29"/>
  <c r="P99" i="29"/>
  <c r="H61" i="29"/>
  <c r="Q61" i="29"/>
  <c r="U80" i="29"/>
  <c r="I99" i="29"/>
  <c r="Q41" i="29"/>
  <c r="Q99" i="29"/>
  <c r="R99" i="29"/>
  <c r="O61" i="29"/>
  <c r="N61" i="29"/>
  <c r="P61" i="29"/>
  <c r="K61" i="29"/>
  <c r="D97" i="29"/>
  <c r="D61" i="29"/>
  <c r="K80" i="29"/>
  <c r="G97" i="29"/>
  <c r="C99" i="29"/>
  <c r="B118" i="29"/>
  <c r="I80" i="29"/>
  <c r="F97" i="29"/>
  <c r="M80" i="29"/>
  <c r="E41" i="29"/>
  <c r="J61" i="29"/>
  <c r="P80" i="29"/>
  <c r="E99" i="29"/>
  <c r="T61" i="29"/>
  <c r="T41" i="29"/>
  <c r="H97" i="29"/>
  <c r="U41" i="29"/>
  <c r="T99" i="29"/>
  <c r="U99" i="29"/>
  <c r="B61" i="29"/>
  <c r="M118" i="29"/>
  <c r="C61" i="29"/>
  <c r="K99" i="29"/>
  <c r="K97" i="29"/>
  <c r="D118" i="29"/>
  <c r="C78" i="16"/>
  <c r="L61" i="29"/>
  <c r="L97" i="29"/>
  <c r="L99" i="29"/>
  <c r="M41" i="29"/>
  <c r="M61" i="29"/>
  <c r="B80" i="29"/>
  <c r="N80" i="29"/>
  <c r="M99" i="29"/>
  <c r="M97" i="29"/>
  <c r="F118" i="29"/>
  <c r="R118" i="29"/>
  <c r="N41" i="29"/>
  <c r="C80" i="29"/>
  <c r="O80" i="29"/>
  <c r="N97" i="29"/>
  <c r="N99" i="29"/>
  <c r="G118" i="29"/>
  <c r="S118" i="29"/>
  <c r="G22" i="16" a="1"/>
  <c r="G22" i="16" s="1"/>
  <c r="O41" i="29"/>
  <c r="B41" i="29"/>
  <c r="B99" i="29"/>
  <c r="T118" i="29"/>
  <c r="H23" i="16" a="1"/>
  <c r="H23" i="16" s="1"/>
  <c r="P41" i="29"/>
  <c r="C41" i="29"/>
  <c r="Q80" i="29"/>
  <c r="J99" i="29"/>
  <c r="J97" i="29"/>
  <c r="C14" i="16" a="1"/>
  <c r="C14" i="16" s="1"/>
  <c r="C11" i="16" a="1"/>
  <c r="C11" i="16" s="1"/>
  <c r="G30" i="16" a="1"/>
  <c r="G30" i="16" s="1"/>
  <c r="G31" i="16" a="1"/>
  <c r="G31" i="16" s="1"/>
  <c r="G79" i="16" s="1"/>
  <c r="G28" i="16" a="1"/>
  <c r="G28" i="16" s="1"/>
  <c r="G76" i="16" s="1"/>
  <c r="M55" i="16" a="1"/>
  <c r="M55" i="16" s="1"/>
  <c r="M52" i="16" a="1"/>
  <c r="M52" i="16" s="1"/>
  <c r="C60" i="16" a="1"/>
  <c r="C60" i="16" s="1"/>
  <c r="C62" i="16" a="1"/>
  <c r="C62" i="16" s="1"/>
  <c r="C63" i="16" a="1"/>
  <c r="C63" i="16" s="1"/>
  <c r="C59" i="16" a="1"/>
  <c r="C59" i="16" s="1"/>
  <c r="I13" i="16" a="1"/>
  <c r="I13" i="16" s="1"/>
  <c r="I14" i="16" a="1"/>
  <c r="I14" i="16" s="1"/>
  <c r="U23" i="16" a="1"/>
  <c r="U23" i="16" s="1"/>
  <c r="M37" i="16" a="1"/>
  <c r="M37" i="16" s="1"/>
  <c r="C44" i="16" a="1"/>
  <c r="C44" i="16" s="1"/>
  <c r="C47" i="16" a="1"/>
  <c r="C47" i="16" s="1"/>
  <c r="C43" i="16" a="1"/>
  <c r="C43" i="16" s="1"/>
  <c r="I70" i="16" a="1"/>
  <c r="I70" i="16" s="1"/>
  <c r="I68" i="16" a="1"/>
  <c r="I68" i="16" s="1"/>
  <c r="C13" i="16" a="1"/>
  <c r="C13" i="16" s="1"/>
  <c r="F80" i="29"/>
  <c r="R80" i="29"/>
  <c r="F82" i="16"/>
  <c r="B82" i="16"/>
  <c r="C12" i="16" a="1"/>
  <c r="C12" i="16" s="1"/>
  <c r="G80" i="29"/>
  <c r="S80" i="29"/>
  <c r="C36" i="16" a="1"/>
  <c r="C36" i="16" s="1"/>
  <c r="Q46" i="16" a="1"/>
  <c r="Q46" i="16" s="1"/>
  <c r="N27" i="16" a="1"/>
  <c r="N27" i="16" s="1"/>
  <c r="P37" i="16" a="1"/>
  <c r="P37" i="16" s="1"/>
  <c r="T55" i="16" a="1"/>
  <c r="T55" i="16" s="1"/>
  <c r="L69" i="16" a="1"/>
  <c r="L69" i="16" s="1"/>
  <c r="X68" i="16" a="1"/>
  <c r="X68" i="16" s="1"/>
  <c r="W23" i="16" a="1"/>
  <c r="W23" i="16" s="1"/>
  <c r="X59" i="16" a="1"/>
  <c r="X59" i="16" s="1"/>
  <c r="O36" i="16" a="1"/>
  <c r="O36" i="16" s="1"/>
  <c r="G58" i="29"/>
  <c r="S16" i="28"/>
  <c r="R37" i="16" a="1"/>
  <c r="R37" i="16" s="1"/>
  <c r="C22" i="16" a="1"/>
  <c r="C22" i="16" s="1"/>
  <c r="G35" i="16" a="1"/>
  <c r="G35" i="16" s="1"/>
  <c r="G38" i="16" a="1"/>
  <c r="G38" i="16" s="1"/>
  <c r="G39" i="16" a="1"/>
  <c r="G39" i="16" s="1"/>
  <c r="I44" i="16" a="1"/>
  <c r="I44" i="16" s="1"/>
  <c r="U44" i="16" a="1"/>
  <c r="U44" i="16" s="1"/>
  <c r="C69" i="16" a="1"/>
  <c r="C69" i="16" s="1"/>
  <c r="O69" i="16" a="1"/>
  <c r="O69" i="16" s="1"/>
  <c r="C20" i="16" a="1"/>
  <c r="C20" i="16" s="1"/>
  <c r="G77" i="29"/>
  <c r="G87" i="29" s="1"/>
  <c r="G89" i="29" s="1"/>
  <c r="J118" i="29"/>
  <c r="I118" i="29"/>
  <c r="U118" i="29"/>
  <c r="M71" i="16" a="1"/>
  <c r="M71" i="16" s="1"/>
  <c r="T80" i="29"/>
  <c r="P28" i="16" a="1"/>
  <c r="P28" i="16" s="1"/>
  <c r="D22" i="16" a="1"/>
  <c r="D22" i="16" s="1"/>
  <c r="F31" i="16" a="1"/>
  <c r="F31" i="16" s="1"/>
  <c r="F29" i="16" a="1"/>
  <c r="F29" i="16" s="1"/>
  <c r="R27" i="16" a="1"/>
  <c r="R27" i="16" s="1"/>
  <c r="H36" i="16" a="1"/>
  <c r="H36" i="16" s="1"/>
  <c r="T37" i="16" a="1"/>
  <c r="T37" i="16" s="1"/>
  <c r="N59" i="16" a="1"/>
  <c r="N59" i="16" s="1"/>
  <c r="D70" i="16" a="1"/>
  <c r="D70" i="16" s="1"/>
  <c r="P68" i="16" a="1"/>
  <c r="P68" i="16" s="1"/>
  <c r="C23" i="16" a="1"/>
  <c r="C23" i="16" s="1"/>
  <c r="C79" i="16" s="1"/>
  <c r="F27" i="16" a="1"/>
  <c r="F27" i="16" s="1"/>
  <c r="O99" i="29"/>
  <c r="K118" i="29"/>
  <c r="W11" i="16" a="1"/>
  <c r="W11" i="16" s="1"/>
  <c r="K14" i="16" a="1"/>
  <c r="K14" i="16" s="1"/>
  <c r="U30" i="16" a="1"/>
  <c r="U30" i="16" s="1"/>
  <c r="K36" i="16" a="1"/>
  <c r="K36" i="16" s="1"/>
  <c r="W37" i="16" a="1"/>
  <c r="W37" i="16" s="1"/>
  <c r="G70" i="16" a="1"/>
  <c r="G70" i="16" s="1"/>
  <c r="V13" i="16" a="1"/>
  <c r="V13" i="16" s="1"/>
  <c r="J13" i="16" a="1"/>
  <c r="J13" i="16" s="1"/>
  <c r="T23" i="16" a="1"/>
  <c r="T23" i="16" s="1"/>
  <c r="J29" i="16" a="1"/>
  <c r="J29" i="16" s="1"/>
  <c r="H16" i="28" s="1"/>
  <c r="V30" i="16" a="1"/>
  <c r="V30" i="16" s="1"/>
  <c r="L35" i="16" a="1"/>
  <c r="L35" i="16" s="1"/>
  <c r="X35" i="16" a="1"/>
  <c r="X35" i="16" s="1"/>
  <c r="P55" i="16" a="1"/>
  <c r="P55" i="16" s="1"/>
  <c r="R63" i="16" a="1"/>
  <c r="R63" i="16" s="1"/>
  <c r="H71" i="16" a="1"/>
  <c r="H71" i="16" s="1"/>
  <c r="M46" i="16" a="1"/>
  <c r="M46" i="16" s="1"/>
  <c r="T11" i="16" a="1"/>
  <c r="T11" i="16" s="1"/>
  <c r="V19" i="16" a="1"/>
  <c r="V19" i="16" s="1"/>
  <c r="L29" i="16" a="1"/>
  <c r="L29" i="16" s="1"/>
  <c r="X28" i="16" a="1"/>
  <c r="X28" i="16" s="1"/>
  <c r="N38" i="16" a="1"/>
  <c r="N38" i="16" s="1"/>
  <c r="P44" i="16" a="1"/>
  <c r="P44" i="16" s="1"/>
  <c r="R53" i="16" a="1"/>
  <c r="R53" i="16" s="1"/>
  <c r="T63" i="16" a="1"/>
  <c r="T63" i="16" s="1"/>
  <c r="J71" i="16" a="1"/>
  <c r="J71" i="16" s="1"/>
  <c r="V68" i="16" a="1"/>
  <c r="V68" i="16" s="1"/>
  <c r="O87" i="27"/>
  <c r="R85" i="27"/>
  <c r="D85" i="27"/>
  <c r="S85" i="27"/>
  <c r="D87" i="27"/>
  <c r="E86" i="27"/>
  <c r="E84" i="27"/>
  <c r="K85" i="27"/>
  <c r="P87" i="27"/>
  <c r="Q87" i="27"/>
  <c r="H84" i="27"/>
  <c r="E85" i="27"/>
  <c r="N88" i="27"/>
  <c r="V88" i="27"/>
  <c r="C86" i="27"/>
  <c r="R84" i="27"/>
  <c r="O85" i="27"/>
  <c r="M86" i="27"/>
  <c r="H88" i="27"/>
  <c r="C84" i="27"/>
  <c r="C91" i="27"/>
  <c r="D93" i="27"/>
  <c r="D91" i="27"/>
  <c r="C93" i="27"/>
  <c r="M87" i="27"/>
  <c r="R87" i="27"/>
  <c r="S87" i="27"/>
  <c r="R88" i="27"/>
  <c r="L87" i="27"/>
  <c r="K88" i="27"/>
  <c r="M85" i="27"/>
  <c r="T84" i="27"/>
  <c r="I86" i="27"/>
  <c r="N84" i="27"/>
  <c r="Q85" i="27"/>
  <c r="D84" i="27"/>
  <c r="G86" i="27"/>
  <c r="V86" i="27"/>
  <c r="T85" i="27"/>
  <c r="V84" i="27"/>
  <c r="P85" i="27"/>
  <c r="P88" i="27"/>
  <c r="P84" i="27"/>
  <c r="G87" i="27"/>
  <c r="J88" i="27"/>
  <c r="Q88" i="27"/>
  <c r="O86" i="27"/>
  <c r="C88" i="27"/>
  <c r="U84" i="27"/>
  <c r="G85" i="27"/>
  <c r="V85" i="27"/>
  <c r="H87" i="27"/>
  <c r="I87" i="27"/>
  <c r="J85" i="27"/>
  <c r="N87" i="27"/>
  <c r="F91" i="27"/>
  <c r="F92" i="27"/>
  <c r="G84" i="27"/>
  <c r="S84" i="27"/>
  <c r="K86" i="27"/>
  <c r="L86" i="27"/>
  <c r="T85" i="21"/>
  <c r="S40" i="37" s="1"/>
  <c r="S52" i="37" s="1"/>
  <c r="T87" i="21"/>
  <c r="S79" i="37" s="1"/>
  <c r="V88" i="21"/>
  <c r="U98" i="37" s="1"/>
  <c r="U86" i="21"/>
  <c r="T60" i="37" s="1"/>
  <c r="T73" i="37" s="1"/>
  <c r="U88" i="21"/>
  <c r="T98" i="37" s="1"/>
  <c r="T110" i="37" s="1"/>
  <c r="T89" i="21"/>
  <c r="S117" i="37" s="1"/>
  <c r="S127" i="37" s="1"/>
  <c r="U89" i="21"/>
  <c r="T117" i="37" s="1"/>
  <c r="T130" i="37" s="1"/>
  <c r="V89" i="21"/>
  <c r="U117" i="37" s="1"/>
  <c r="R87" i="21"/>
  <c r="Q79" i="37" s="1"/>
  <c r="U87" i="21"/>
  <c r="T79" i="37" s="1"/>
  <c r="R86" i="21"/>
  <c r="Q60" i="37" s="1"/>
  <c r="Q73" i="37" s="1"/>
  <c r="Q74" i="37" s="1"/>
  <c r="S89" i="21"/>
  <c r="R117" i="37" s="1"/>
  <c r="R130" i="37" s="1"/>
  <c r="R88" i="21"/>
  <c r="Q98" i="37" s="1"/>
  <c r="Q111" i="37" s="1"/>
  <c r="S87" i="21"/>
  <c r="R79" i="37" s="1"/>
  <c r="V85" i="21"/>
  <c r="U40" i="37" s="1"/>
  <c r="U53" i="37" s="1"/>
  <c r="V87" i="21"/>
  <c r="U79" i="37" s="1"/>
  <c r="T86" i="21"/>
  <c r="S60" i="37" s="1"/>
  <c r="S72" i="37" s="1"/>
  <c r="U85" i="21"/>
  <c r="T40" i="37" s="1"/>
  <c r="T52" i="37" s="1"/>
  <c r="T88" i="21"/>
  <c r="S98" i="37" s="1"/>
  <c r="S111" i="37" s="1"/>
  <c r="V86" i="21"/>
  <c r="U60" i="37" s="1"/>
  <c r="S85" i="21"/>
  <c r="R40" i="37" s="1"/>
  <c r="R89" i="21"/>
  <c r="Q117" i="37" s="1"/>
  <c r="S86" i="21"/>
  <c r="R60" i="37" s="1"/>
  <c r="R85" i="21"/>
  <c r="Q40" i="37" s="1"/>
  <c r="Q53" i="37" s="1"/>
  <c r="S88" i="21"/>
  <c r="R98" i="37" s="1"/>
  <c r="U59" i="16" a="1"/>
  <c r="U59" i="16" s="1"/>
  <c r="P67" i="16" a="1"/>
  <c r="P67" i="16" s="1"/>
  <c r="P46" i="16" a="1"/>
  <c r="P46" i="16" s="1"/>
  <c r="N36" i="16" a="1"/>
  <c r="N36" i="16" s="1"/>
  <c r="N51" i="16" a="1"/>
  <c r="N51" i="16" s="1"/>
  <c r="T21" i="16" a="1"/>
  <c r="T21" i="16" s="1"/>
  <c r="P13" i="16" a="1"/>
  <c r="P13" i="16" s="1"/>
  <c r="O13" i="16" a="1"/>
  <c r="O13" i="16" s="1"/>
  <c r="E20" i="16" a="1"/>
  <c r="E20" i="16" s="1"/>
  <c r="N31" i="16" a="1"/>
  <c r="N31" i="16" s="1"/>
  <c r="L36" i="16" a="1"/>
  <c r="L36" i="16" s="1"/>
  <c r="R28" i="16" a="1"/>
  <c r="R28" i="16" s="1"/>
  <c r="X54" i="16" a="1"/>
  <c r="X54" i="16" s="1"/>
  <c r="N28" i="16" a="1"/>
  <c r="N28" i="16" s="1"/>
  <c r="R61" i="16" a="1"/>
  <c r="R61" i="16" s="1"/>
  <c r="V53" i="16" a="1"/>
  <c r="V53" i="16" s="1"/>
  <c r="Q69" i="16" a="1"/>
  <c r="Q69" i="16" s="1"/>
  <c r="P54" i="16" a="1"/>
  <c r="P54" i="16" s="1"/>
  <c r="W19" i="16" a="1"/>
  <c r="W19" i="16" s="1"/>
  <c r="T35" i="16" a="1"/>
  <c r="T35" i="16" s="1"/>
  <c r="I46" i="16" a="1"/>
  <c r="I46" i="16" s="1"/>
  <c r="P23" i="16" a="1"/>
  <c r="P23" i="16" s="1"/>
  <c r="Q21" i="16" a="1"/>
  <c r="Q21" i="16" s="1"/>
  <c r="E31" i="16" a="1"/>
  <c r="E31" i="16" s="1"/>
  <c r="L28" i="16" a="1"/>
  <c r="L28" i="16" s="1"/>
  <c r="K38" i="16" a="1"/>
  <c r="K38" i="16" s="1"/>
  <c r="X30" i="16" a="1"/>
  <c r="X30" i="16" s="1"/>
  <c r="Q45" i="16" a="1"/>
  <c r="Q45" i="16" s="1"/>
  <c r="T53" i="16" a="1"/>
  <c r="T53" i="16" s="1"/>
  <c r="R60" i="16" a="1"/>
  <c r="R60" i="16" s="1"/>
  <c r="K13" i="16" a="1"/>
  <c r="K13" i="16" s="1"/>
  <c r="L19" i="16" a="1"/>
  <c r="L19" i="16" s="1"/>
  <c r="N30" i="16" a="1"/>
  <c r="N30" i="16" s="1"/>
  <c r="J38" i="16" a="1"/>
  <c r="J38" i="16" s="1"/>
  <c r="W30" i="16" a="1"/>
  <c r="W30" i="16" s="1"/>
  <c r="P71" i="16" a="1"/>
  <c r="P71" i="16" s="1"/>
  <c r="T15" i="16" a="1"/>
  <c r="T15" i="16" s="1"/>
  <c r="L12" i="16" a="1"/>
  <c r="L12" i="16" s="1"/>
  <c r="E19" i="16" a="1"/>
  <c r="E19" i="16" s="1"/>
  <c r="K30" i="16" a="1"/>
  <c r="K30" i="16" s="1"/>
  <c r="V47" i="16" a="1"/>
  <c r="V47" i="16" s="1"/>
  <c r="X55" i="16" a="1"/>
  <c r="X55" i="16" s="1"/>
  <c r="N53" i="16" a="1"/>
  <c r="N53" i="16" s="1"/>
  <c r="P70" i="16" a="1"/>
  <c r="P70" i="16" s="1"/>
  <c r="S15" i="16" a="1"/>
  <c r="S15" i="16" s="1"/>
  <c r="K12" i="16" a="1"/>
  <c r="K12" i="16" s="1"/>
  <c r="J30" i="16" a="1"/>
  <c r="J30" i="16" s="1"/>
  <c r="I16" i="28" s="1"/>
  <c r="P47" i="16" a="1"/>
  <c r="P47" i="16" s="1"/>
  <c r="I45" i="16" a="1"/>
  <c r="I45" i="16" s="1"/>
  <c r="V55" i="16" a="1"/>
  <c r="V55" i="16" s="1"/>
  <c r="U63" i="16" a="1"/>
  <c r="U63" i="16" s="1"/>
  <c r="J60" i="16" a="1"/>
  <c r="J60" i="16" s="1"/>
  <c r="Q15" i="16" a="1"/>
  <c r="Q15" i="16" s="1"/>
  <c r="X22" i="16" a="1"/>
  <c r="X22" i="16" s="1"/>
  <c r="D21" i="16" a="1"/>
  <c r="D21" i="16" s="1"/>
  <c r="U39" i="16" a="1"/>
  <c r="U39" i="16" s="1"/>
  <c r="X29" i="16" a="1"/>
  <c r="X29" i="16" s="1"/>
  <c r="O15" i="16" a="1"/>
  <c r="O15" i="16" s="1"/>
  <c r="K11" i="16" a="1"/>
  <c r="K11" i="16" s="1"/>
  <c r="W22" i="16" a="1"/>
  <c r="W22" i="16" s="1"/>
  <c r="W78" i="16" s="1"/>
  <c r="N29" i="16" a="1"/>
  <c r="N29" i="16" s="1"/>
  <c r="P27" i="16" a="1"/>
  <c r="P27" i="16" s="1"/>
  <c r="T39" i="16" a="1"/>
  <c r="T39" i="16" s="1"/>
  <c r="O37" i="16" a="1"/>
  <c r="O37" i="16" s="1"/>
  <c r="I47" i="16" a="1"/>
  <c r="I47" i="16" s="1"/>
  <c r="N55" i="16" a="1"/>
  <c r="N55" i="16" s="1"/>
  <c r="R62" i="16" a="1"/>
  <c r="R62" i="16" s="1"/>
  <c r="T38" i="16" a="1"/>
  <c r="T38" i="16" s="1"/>
  <c r="D20" i="16" a="1"/>
  <c r="D20" i="16" s="1"/>
  <c r="T14" i="16" a="1"/>
  <c r="T14" i="16" s="1"/>
  <c r="V22" i="16" a="1"/>
  <c r="V22" i="16" s="1"/>
  <c r="V78" i="16" s="1"/>
  <c r="V20" i="16" a="1"/>
  <c r="V20" i="16" s="1"/>
  <c r="V46" i="16" a="1"/>
  <c r="V46" i="16" s="1"/>
  <c r="Q43" i="16" a="1"/>
  <c r="Q43" i="16" s="1"/>
  <c r="P69" i="16" a="1"/>
  <c r="P69" i="16" s="1"/>
  <c r="I43" i="16" a="1"/>
  <c r="I43" i="16" s="1"/>
  <c r="O14" i="16" a="1"/>
  <c r="O14" i="16" s="1"/>
  <c r="N22" i="16" a="1"/>
  <c r="N22" i="16" s="1"/>
  <c r="P20" i="16" a="1"/>
  <c r="P20" i="16" s="1"/>
  <c r="P76" i="16" s="1"/>
  <c r="U46" i="16" a="1"/>
  <c r="U46" i="16" s="1"/>
  <c r="P43" i="16" a="1"/>
  <c r="P43" i="16" s="1"/>
  <c r="N52" i="16" a="1"/>
  <c r="N52" i="16" s="1"/>
  <c r="L62" i="16" a="1"/>
  <c r="L62" i="16" s="1"/>
  <c r="E12" i="16" a="1"/>
  <c r="E12" i="16" s="1"/>
  <c r="S30" i="16" a="1"/>
  <c r="S30" i="16" s="1"/>
  <c r="D19" i="16" a="1"/>
  <c r="D19" i="16" s="1"/>
  <c r="W35" i="16" a="1"/>
  <c r="W35" i="16" s="1"/>
  <c r="D12" i="16" a="1"/>
  <c r="D12" i="16" s="1"/>
  <c r="M22" i="16" a="1"/>
  <c r="M22" i="16" s="1"/>
  <c r="T20" i="16" a="1"/>
  <c r="T20" i="16" s="1"/>
  <c r="S12" i="16" a="1"/>
  <c r="S12" i="16" s="1"/>
  <c r="V11" i="16" a="1"/>
  <c r="V11" i="16" s="1"/>
  <c r="P29" i="16" a="1"/>
  <c r="P29" i="16" s="1"/>
  <c r="P77" i="16" s="1"/>
  <c r="S51" i="16" a="1"/>
  <c r="S51" i="16" s="1"/>
  <c r="D11" i="16" a="1"/>
  <c r="D11" i="16" s="1"/>
  <c r="L23" i="16" a="1"/>
  <c r="L23" i="16" s="1"/>
  <c r="U22" i="16" a="1"/>
  <c r="U22" i="16" s="1"/>
  <c r="X39" i="16" a="1"/>
  <c r="X39" i="16" s="1"/>
  <c r="M38" i="16" a="1"/>
  <c r="M38" i="16" s="1"/>
  <c r="N37" i="16" a="1"/>
  <c r="N37" i="16" s="1"/>
  <c r="U20" i="16" a="1"/>
  <c r="U20" i="16" s="1"/>
  <c r="T12" i="16" a="1"/>
  <c r="T12" i="16" s="1"/>
  <c r="J27" i="16" a="1"/>
  <c r="J27" i="16" s="1"/>
  <c r="J75" i="16" s="1"/>
  <c r="H37" i="16" a="1"/>
  <c r="H37" i="16" s="1"/>
  <c r="L15" i="16" a="1"/>
  <c r="L15" i="16" s="1"/>
  <c r="L22" i="16" a="1"/>
  <c r="L22" i="16" s="1"/>
  <c r="J28" i="16" a="1"/>
  <c r="J28" i="16" s="1"/>
  <c r="G16" i="28" s="1"/>
  <c r="N39" i="16" a="1"/>
  <c r="N39" i="16" s="1"/>
  <c r="H38" i="16" a="1"/>
  <c r="H38" i="16" s="1"/>
  <c r="L21" i="16" a="1"/>
  <c r="L21" i="16" s="1"/>
  <c r="L77" i="16" s="1"/>
  <c r="M20" i="16" a="1"/>
  <c r="M20" i="16" s="1"/>
  <c r="Q19" i="16" a="1"/>
  <c r="Q19" i="16" s="1"/>
  <c r="M39" i="16" a="1"/>
  <c r="M39" i="16" s="1"/>
  <c r="U36" i="16" a="1"/>
  <c r="U36" i="16" s="1"/>
  <c r="N35" i="16" a="1"/>
  <c r="N35" i="16" s="1"/>
  <c r="V44" i="16" a="1"/>
  <c r="V44" i="16" s="1"/>
  <c r="S13" i="16" a="1"/>
  <c r="S13" i="16" s="1"/>
  <c r="O11" i="16" a="1"/>
  <c r="O11" i="16" s="1"/>
  <c r="R30" i="16" a="1"/>
  <c r="R30" i="16" s="1"/>
  <c r="J39" i="16" a="1"/>
  <c r="J39" i="16" s="1"/>
  <c r="H35" i="16" a="1"/>
  <c r="H35" i="16" s="1"/>
  <c r="W45" i="16" a="1"/>
  <c r="W45" i="16" s="1"/>
  <c r="V54" i="16" a="1"/>
  <c r="V54" i="16" s="1"/>
  <c r="J53" i="16" a="1"/>
  <c r="J53" i="16" s="1"/>
  <c r="L59" i="16" a="1"/>
  <c r="L59" i="16" s="1"/>
  <c r="O27" i="16" a="1"/>
  <c r="O27" i="16" s="1"/>
  <c r="T47" i="16" a="1"/>
  <c r="T47" i="16" s="1"/>
  <c r="Q20" i="16" a="1"/>
  <c r="Q20" i="16" s="1"/>
  <c r="U19" i="16" a="1"/>
  <c r="U19" i="16" s="1"/>
  <c r="L47" i="16" a="1"/>
  <c r="L47" i="16" s="1"/>
  <c r="L46" i="16" a="1"/>
  <c r="L46" i="16" s="1"/>
  <c r="S53" i="16" a="1"/>
  <c r="S53" i="16" s="1"/>
  <c r="X63" i="16" a="1"/>
  <c r="X63" i="16" s="1"/>
  <c r="D14" i="16" a="1"/>
  <c r="D14" i="16" s="1"/>
  <c r="R12" i="16" a="1"/>
  <c r="R12" i="16" s="1"/>
  <c r="T19" i="16" a="1"/>
  <c r="T19" i="16" s="1"/>
  <c r="T75" i="16" s="1"/>
  <c r="K15" i="16" a="1"/>
  <c r="K15" i="16" s="1"/>
  <c r="T13" i="16" a="1"/>
  <c r="T13" i="16" s="1"/>
  <c r="Q12" i="16" a="1"/>
  <c r="Q12" i="16" s="1"/>
  <c r="S11" i="16" a="1"/>
  <c r="S11" i="16" s="1"/>
  <c r="D15" i="16" a="1"/>
  <c r="D15" i="16" s="1"/>
  <c r="D23" i="16" a="1"/>
  <c r="D23" i="16" s="1"/>
  <c r="S31" i="16" a="1"/>
  <c r="S31" i="16" s="1"/>
  <c r="Q30" i="16" a="1"/>
  <c r="Q30" i="16" s="1"/>
  <c r="T36" i="16" a="1"/>
  <c r="T36" i="16" s="1"/>
  <c r="X31" i="16" a="1"/>
  <c r="X31" i="16" s="1"/>
  <c r="V45" i="16" a="1"/>
  <c r="V45" i="16" s="1"/>
  <c r="J63" i="16" a="1"/>
  <c r="J63" i="16" s="1"/>
  <c r="W68" i="16" a="1"/>
  <c r="W68" i="16" s="1"/>
  <c r="V14" i="16" a="1"/>
  <c r="V14" i="16" s="1"/>
  <c r="Q23" i="16" a="1"/>
  <c r="Q23" i="16" s="1"/>
  <c r="Q79" i="16" s="1"/>
  <c r="U21" i="16" a="1"/>
  <c r="U21" i="16" s="1"/>
  <c r="R31" i="16" a="1"/>
  <c r="R31" i="16" s="1"/>
  <c r="P30" i="16" a="1"/>
  <c r="P30" i="16" s="1"/>
  <c r="U31" i="16" a="1"/>
  <c r="U31" i="16" s="1"/>
  <c r="U79" i="16" s="1"/>
  <c r="T45" i="16" a="1"/>
  <c r="T45" i="16" s="1"/>
  <c r="U62" i="16" a="1"/>
  <c r="U62" i="16" s="1"/>
  <c r="U60" i="16" a="1"/>
  <c r="U60" i="16" s="1"/>
  <c r="J59" i="16" a="1"/>
  <c r="J59" i="16" s="1"/>
  <c r="Q70" i="16" a="1"/>
  <c r="Q70" i="16" s="1"/>
  <c r="Q68" i="16" a="1"/>
  <c r="Q68" i="16" s="1"/>
  <c r="I20" i="16" a="1"/>
  <c r="I20" i="16" s="1"/>
  <c r="I19" i="16" a="1"/>
  <c r="I19" i="16" s="1"/>
  <c r="I22" i="16" a="1"/>
  <c r="I22" i="16" s="1"/>
  <c r="I23" i="16" a="1"/>
  <c r="I23" i="16" s="1"/>
  <c r="I79" i="16" s="1"/>
  <c r="I21" i="16" a="1"/>
  <c r="I21" i="16" s="1"/>
  <c r="V36" i="16" a="1"/>
  <c r="V36" i="16" s="1"/>
  <c r="V38" i="16" a="1"/>
  <c r="V38" i="16" s="1"/>
  <c r="V37" i="16" a="1"/>
  <c r="V37" i="16" s="1"/>
  <c r="K47" i="16" a="1"/>
  <c r="K47" i="16" s="1"/>
  <c r="K43" i="16" a="1"/>
  <c r="K43" i="16" s="1"/>
  <c r="K45" i="16" a="1"/>
  <c r="K45" i="16" s="1"/>
  <c r="H53" i="16" a="1"/>
  <c r="H53" i="16" s="1"/>
  <c r="H55" i="16" a="1"/>
  <c r="H55" i="16" s="1"/>
  <c r="H52" i="16" a="1"/>
  <c r="H52" i="16" s="1"/>
  <c r="H51" i="16" a="1"/>
  <c r="H51" i="16" s="1"/>
  <c r="E60" i="16" a="1"/>
  <c r="E60" i="16" s="1"/>
  <c r="E63" i="16" a="1"/>
  <c r="E63" i="16" s="1"/>
  <c r="E59" i="16" a="1"/>
  <c r="E59" i="16" s="1"/>
  <c r="E62" i="16" a="1"/>
  <c r="E62" i="16" s="1"/>
  <c r="E61" i="16" a="1"/>
  <c r="E61" i="16" s="1"/>
  <c r="M60" i="16" a="1"/>
  <c r="M60" i="16" s="1"/>
  <c r="M63" i="16" a="1"/>
  <c r="M63" i="16" s="1"/>
  <c r="M62" i="16" a="1"/>
  <c r="M62" i="16" s="1"/>
  <c r="M61" i="16" a="1"/>
  <c r="M61" i="16" s="1"/>
  <c r="M59" i="16" a="1"/>
  <c r="M59" i="16" s="1"/>
  <c r="W60" i="16" a="1"/>
  <c r="W60" i="16" s="1"/>
  <c r="W63" i="16" a="1"/>
  <c r="W63" i="16" s="1"/>
  <c r="W59" i="16" a="1"/>
  <c r="W59" i="16" s="1"/>
  <c r="W62" i="16" a="1"/>
  <c r="W62" i="16" s="1"/>
  <c r="W61" i="16" a="1"/>
  <c r="W61" i="16" s="1"/>
  <c r="K71" i="16" a="1"/>
  <c r="K71" i="16" s="1"/>
  <c r="K70" i="16" a="1"/>
  <c r="K70" i="16" s="1"/>
  <c r="K67" i="16" a="1"/>
  <c r="K67" i="16" s="1"/>
  <c r="S67" i="16" a="1"/>
  <c r="S67" i="16" s="1"/>
  <c r="S71" i="16" a="1"/>
  <c r="S71" i="16" s="1"/>
  <c r="S69" i="16" a="1"/>
  <c r="S69" i="16" s="1"/>
  <c r="S68" i="16" a="1"/>
  <c r="S68" i="16" s="1"/>
  <c r="S70" i="16" a="1"/>
  <c r="S70" i="16" s="1"/>
  <c r="X15" i="16" a="1"/>
  <c r="X15" i="16" s="1"/>
  <c r="X11" i="16" a="1"/>
  <c r="X11" i="16" s="1"/>
  <c r="M36" i="16" a="1"/>
  <c r="M36" i="16" s="1"/>
  <c r="D77" i="16"/>
  <c r="T54" i="16" a="1"/>
  <c r="T54" i="16" s="1"/>
  <c r="J68" i="16" a="1"/>
  <c r="J68" i="16" s="1"/>
  <c r="E11" i="16" a="1"/>
  <c r="E11" i="16" s="1"/>
  <c r="O31" i="16" a="1"/>
  <c r="O31" i="16" s="1"/>
  <c r="Q78" i="16"/>
  <c r="W39" i="16" a="1"/>
  <c r="W39" i="16" s="1"/>
  <c r="M35" i="16" a="1"/>
  <c r="M35" i="16" s="1"/>
  <c r="W15" i="16" a="1"/>
  <c r="W15" i="16" s="1"/>
  <c r="W12" i="16" a="1"/>
  <c r="W12" i="16" s="1"/>
  <c r="M12" i="16" a="1"/>
  <c r="M12" i="16" s="1"/>
  <c r="T28" i="16" a="1"/>
  <c r="T28" i="16" s="1"/>
  <c r="T76" i="16" s="1"/>
  <c r="V39" i="16" a="1"/>
  <c r="V39" i="16" s="1"/>
  <c r="L76" i="16"/>
  <c r="V35" i="16" a="1"/>
  <c r="V35" i="16" s="1"/>
  <c r="S45" i="16" a="1"/>
  <c r="S45" i="16" s="1"/>
  <c r="S43" i="16" a="1"/>
  <c r="S43" i="16" s="1"/>
  <c r="S44" i="16" a="1"/>
  <c r="S44" i="16" s="1"/>
  <c r="S46" i="16" a="1"/>
  <c r="S46" i="16" s="1"/>
  <c r="K21" i="16" a="1"/>
  <c r="K21" i="16" s="1"/>
  <c r="W38" i="16" a="1"/>
  <c r="W38" i="16" s="1"/>
  <c r="G12" i="16" a="1"/>
  <c r="G12" i="16" s="1"/>
  <c r="G14" i="16" a="1"/>
  <c r="G14" i="16" s="1"/>
  <c r="G13" i="16" a="1"/>
  <c r="G13" i="16" s="1"/>
  <c r="G11" i="16" a="1"/>
  <c r="G11" i="16" s="1"/>
  <c r="K22" i="16" a="1"/>
  <c r="K22" i="16" s="1"/>
  <c r="K23" i="16" a="1"/>
  <c r="K23" i="16" s="1"/>
  <c r="S20" i="16" a="1"/>
  <c r="S20" i="16" s="1"/>
  <c r="S22" i="16" a="1"/>
  <c r="S22" i="16" s="1"/>
  <c r="S23" i="16" a="1"/>
  <c r="S23" i="16" s="1"/>
  <c r="S21" i="16" a="1"/>
  <c r="S21" i="16" s="1"/>
  <c r="S19" i="16" a="1"/>
  <c r="S19" i="16" s="1"/>
  <c r="S75" i="16" s="1"/>
  <c r="H29" i="16" a="1"/>
  <c r="H29" i="16" s="1"/>
  <c r="H27" i="16" a="1"/>
  <c r="H27" i="16" s="1"/>
  <c r="H28" i="16" a="1"/>
  <c r="H28" i="16" s="1"/>
  <c r="H31" i="16" a="1"/>
  <c r="H31" i="16" s="1"/>
  <c r="H79" i="16" s="1"/>
  <c r="E35" i="16" a="1"/>
  <c r="E35" i="16" s="1"/>
  <c r="E39" i="16" a="1"/>
  <c r="E39" i="16" s="1"/>
  <c r="E36" i="16" a="1"/>
  <c r="E36" i="16" s="1"/>
  <c r="E37" i="16" a="1"/>
  <c r="E37" i="16" s="1"/>
  <c r="E38" i="16" a="1"/>
  <c r="E38" i="16" s="1"/>
  <c r="M14" i="16" a="1"/>
  <c r="M14" i="16" s="1"/>
  <c r="E15" i="16" a="1"/>
  <c r="E15" i="16" s="1"/>
  <c r="R11" i="16" a="1"/>
  <c r="R11" i="16" s="1"/>
  <c r="R15" i="16" a="1"/>
  <c r="R15" i="16" s="1"/>
  <c r="R14" i="16" a="1"/>
  <c r="R14" i="16" s="1"/>
  <c r="J11" i="16" a="1"/>
  <c r="J11" i="16" s="1"/>
  <c r="J15" i="16" a="1"/>
  <c r="J15" i="16" s="1"/>
  <c r="J14" i="16" a="1"/>
  <c r="J14" i="16" s="1"/>
  <c r="J12" i="16" a="1"/>
  <c r="J12" i="16" s="1"/>
  <c r="F23" i="16" a="1"/>
  <c r="F23" i="16" s="1"/>
  <c r="F20" i="16" a="1"/>
  <c r="F20" i="16" s="1"/>
  <c r="F76" i="16" s="1"/>
  <c r="F19" i="16" a="1"/>
  <c r="F19" i="16" s="1"/>
  <c r="N21" i="16" a="1"/>
  <c r="N21" i="16" s="1"/>
  <c r="N23" i="16" a="1"/>
  <c r="N23" i="16" s="1"/>
  <c r="X19" i="16" a="1"/>
  <c r="X19" i="16" s="1"/>
  <c r="X23" i="16" a="1"/>
  <c r="X23" i="16" s="1"/>
  <c r="T29" i="16" a="1"/>
  <c r="T29" i="16" s="1"/>
  <c r="T77" i="16" s="1"/>
  <c r="T30" i="16" a="1"/>
  <c r="T30" i="16" s="1"/>
  <c r="T31" i="16" a="1"/>
  <c r="T31" i="16" s="1"/>
  <c r="T79" i="16" s="1"/>
  <c r="P35" i="16" a="1"/>
  <c r="P35" i="16" s="1"/>
  <c r="P38" i="16" a="1"/>
  <c r="P38" i="16" s="1"/>
  <c r="P39" i="16" a="1"/>
  <c r="P39" i="16" s="1"/>
  <c r="P36" i="16" a="1"/>
  <c r="P36" i="16" s="1"/>
  <c r="F47" i="16" a="1"/>
  <c r="F47" i="16" s="1"/>
  <c r="F45" i="16" a="1"/>
  <c r="F45" i="16" s="1"/>
  <c r="F46" i="16" a="1"/>
  <c r="F46" i="16" s="1"/>
  <c r="F44" i="16" a="1"/>
  <c r="F44" i="16" s="1"/>
  <c r="N43" i="16" a="1"/>
  <c r="N43" i="16" s="1"/>
  <c r="N46" i="16" a="1"/>
  <c r="N46" i="16" s="1"/>
  <c r="N44" i="16" a="1"/>
  <c r="N44" i="16" s="1"/>
  <c r="N45" i="16" a="1"/>
  <c r="N45" i="16" s="1"/>
  <c r="X44" i="16" a="1"/>
  <c r="X44" i="16" s="1"/>
  <c r="X46" i="16" a="1"/>
  <c r="X46" i="16" s="1"/>
  <c r="X45" i="16" a="1"/>
  <c r="X45" i="16" s="1"/>
  <c r="X43" i="16" a="1"/>
  <c r="X43" i="16" s="1"/>
  <c r="X47" i="16" a="1"/>
  <c r="X47" i="16" s="1"/>
  <c r="T52" i="16" a="1"/>
  <c r="T52" i="16" s="1"/>
  <c r="T51" i="16" a="1"/>
  <c r="T51" i="16" s="1"/>
  <c r="P62" i="16" a="1"/>
  <c r="P62" i="16" s="1"/>
  <c r="P59" i="16" a="1"/>
  <c r="P59" i="16" s="1"/>
  <c r="P63" i="16" a="1"/>
  <c r="P63" i="16" s="1"/>
  <c r="P60" i="16" a="1"/>
  <c r="P60" i="16" s="1"/>
  <c r="F67" i="16" a="1"/>
  <c r="F67" i="16" s="1"/>
  <c r="F69" i="16" a="1"/>
  <c r="F69" i="16" s="1"/>
  <c r="F68" i="16" a="1"/>
  <c r="F68" i="16" s="1"/>
  <c r="F71" i="16" a="1"/>
  <c r="F71" i="16" s="1"/>
  <c r="F70" i="16" a="1"/>
  <c r="F70" i="16" s="1"/>
  <c r="N69" i="16" a="1"/>
  <c r="N69" i="16" s="1"/>
  <c r="N67" i="16" a="1"/>
  <c r="N67" i="16" s="1"/>
  <c r="N68" i="16" a="1"/>
  <c r="N68" i="16" s="1"/>
  <c r="N70" i="16" a="1"/>
  <c r="N70" i="16" s="1"/>
  <c r="N71" i="16" a="1"/>
  <c r="N71" i="16" s="1"/>
  <c r="X71" i="16" a="1"/>
  <c r="X71" i="16" s="1"/>
  <c r="X69" i="16" a="1"/>
  <c r="X69" i="16" s="1"/>
  <c r="X67" i="16" a="1"/>
  <c r="X67" i="16" s="1"/>
  <c r="X70" i="16" a="1"/>
  <c r="X70" i="16" s="1"/>
  <c r="U28" i="16" a="1"/>
  <c r="U28" i="16" s="1"/>
  <c r="U29" i="16" a="1"/>
  <c r="U29" i="16" s="1"/>
  <c r="I38" i="16" a="1"/>
  <c r="I38" i="16" s="1"/>
  <c r="I39" i="16" a="1"/>
  <c r="I39" i="16" s="1"/>
  <c r="I37" i="16" a="1"/>
  <c r="I37" i="16" s="1"/>
  <c r="I36" i="16" a="1"/>
  <c r="I36" i="16" s="1"/>
  <c r="Q38" i="16" a="1"/>
  <c r="Q38" i="16" s="1"/>
  <c r="Q39" i="16" a="1"/>
  <c r="Q39" i="16" s="1"/>
  <c r="Q36" i="16" a="1"/>
  <c r="Q36" i="16" s="1"/>
  <c r="Q35" i="16" a="1"/>
  <c r="Q35" i="16" s="1"/>
  <c r="G45" i="16" a="1"/>
  <c r="G45" i="16" s="1"/>
  <c r="G46" i="16" a="1"/>
  <c r="G46" i="16" s="1"/>
  <c r="G47" i="16" a="1"/>
  <c r="G47" i="16" s="1"/>
  <c r="G43" i="16" a="1"/>
  <c r="G43" i="16" s="1"/>
  <c r="G44" i="16" a="1"/>
  <c r="G44" i="16" s="1"/>
  <c r="L52" i="16" a="1"/>
  <c r="L52" i="16" s="1"/>
  <c r="L53" i="16" a="1"/>
  <c r="L53" i="16" s="1"/>
  <c r="L51" i="16" a="1"/>
  <c r="L51" i="16" s="1"/>
  <c r="L55" i="16" a="1"/>
  <c r="L55" i="16" s="1"/>
  <c r="L54" i="16" a="1"/>
  <c r="L54" i="16" s="1"/>
  <c r="U51" i="16" a="1"/>
  <c r="U51" i="16" s="1"/>
  <c r="U53" i="16" a="1"/>
  <c r="U53" i="16" s="1"/>
  <c r="U55" i="16" a="1"/>
  <c r="U55" i="16" s="1"/>
  <c r="U52" i="16" a="1"/>
  <c r="U52" i="16" s="1"/>
  <c r="Q59" i="16" a="1"/>
  <c r="Q59" i="16" s="1"/>
  <c r="Q63" i="16" a="1"/>
  <c r="Q63" i="16" s="1"/>
  <c r="Q60" i="16" a="1"/>
  <c r="Q60" i="16" s="1"/>
  <c r="Q61" i="16" a="1"/>
  <c r="Q61" i="16" s="1"/>
  <c r="G67" i="16" a="1"/>
  <c r="G67" i="16" s="1"/>
  <c r="G68" i="16" a="1"/>
  <c r="G68" i="16" s="1"/>
  <c r="G69" i="16" a="1"/>
  <c r="G69" i="16" s="1"/>
  <c r="G71" i="16" a="1"/>
  <c r="G71" i="16" s="1"/>
  <c r="W14" i="16" a="1"/>
  <c r="W14" i="16" s="1"/>
  <c r="E14" i="16" a="1"/>
  <c r="E14" i="16" s="1"/>
  <c r="X21" i="16" a="1"/>
  <c r="X21" i="16" s="1"/>
  <c r="X77" i="16" s="1"/>
  <c r="W36" i="16" a="1"/>
  <c r="W36" i="16" s="1"/>
  <c r="N20" i="16" a="1"/>
  <c r="N20" i="16" s="1"/>
  <c r="Q37" i="16" a="1"/>
  <c r="Q37" i="16" s="1"/>
  <c r="I35" i="16" a="1"/>
  <c r="I35" i="16" s="1"/>
  <c r="U27" i="16" a="1"/>
  <c r="U27" i="16" s="1"/>
  <c r="X13" i="16" a="1"/>
  <c r="X13" i="16" s="1"/>
  <c r="X12" i="16" a="1"/>
  <c r="X12" i="16" s="1"/>
  <c r="N13" i="16" a="1"/>
  <c r="N13" i="16" s="1"/>
  <c r="N12" i="16" a="1"/>
  <c r="N12" i="16" s="1"/>
  <c r="F13" i="16" a="1"/>
  <c r="F13" i="16" s="1"/>
  <c r="F12" i="16" a="1"/>
  <c r="F12" i="16" s="1"/>
  <c r="F11" i="16" a="1"/>
  <c r="F11" i="16" s="1"/>
  <c r="F14" i="16" a="1"/>
  <c r="F14" i="16" s="1"/>
  <c r="J21" i="16" a="1"/>
  <c r="J21" i="16" s="1"/>
  <c r="J22" i="16" a="1"/>
  <c r="J22" i="16" s="1"/>
  <c r="J19" i="16" a="1"/>
  <c r="J19" i="16" s="1"/>
  <c r="J20" i="16" a="1"/>
  <c r="J20" i="16" s="1"/>
  <c r="J23" i="16" a="1"/>
  <c r="J23" i="16" s="1"/>
  <c r="J79" i="16" s="1"/>
  <c r="R19" i="16" a="1"/>
  <c r="R19" i="16" s="1"/>
  <c r="R75" i="16" s="1"/>
  <c r="R20" i="16" a="1"/>
  <c r="R20" i="16" s="1"/>
  <c r="R22" i="16" a="1"/>
  <c r="R22" i="16" s="1"/>
  <c r="R21" i="16" a="1"/>
  <c r="R21" i="16" s="1"/>
  <c r="O30" i="16" a="1"/>
  <c r="O30" i="16" s="1"/>
  <c r="O28" i="16" a="1"/>
  <c r="O28" i="16" s="1"/>
  <c r="D35" i="16" a="1"/>
  <c r="D35" i="16" s="1"/>
  <c r="D39" i="16" a="1"/>
  <c r="D39" i="16" s="1"/>
  <c r="D37" i="16" a="1"/>
  <c r="D37" i="16" s="1"/>
  <c r="D38" i="16" a="1"/>
  <c r="D38" i="16" s="1"/>
  <c r="J44" i="16" a="1"/>
  <c r="J44" i="16" s="1"/>
  <c r="J47" i="16" a="1"/>
  <c r="J47" i="16" s="1"/>
  <c r="J45" i="16" a="1"/>
  <c r="J45" i="16" s="1"/>
  <c r="J43" i="16" a="1"/>
  <c r="J43" i="16" s="1"/>
  <c r="R46" i="16" a="1"/>
  <c r="R46" i="16" s="1"/>
  <c r="R47" i="16" a="1"/>
  <c r="R47" i="16" s="1"/>
  <c r="R43" i="16" a="1"/>
  <c r="R43" i="16" s="1"/>
  <c r="R44" i="16" a="1"/>
  <c r="R44" i="16" s="1"/>
  <c r="O53" i="16" a="1"/>
  <c r="O53" i="16" s="1"/>
  <c r="O51" i="16" a="1"/>
  <c r="O51" i="16" s="1"/>
  <c r="O55" i="16" a="1"/>
  <c r="O55" i="16" s="1"/>
  <c r="O52" i="16" a="1"/>
  <c r="O52" i="16" s="1"/>
  <c r="O54" i="16" a="1"/>
  <c r="O54" i="16" s="1"/>
  <c r="D61" i="16" a="1"/>
  <c r="D61" i="16" s="1"/>
  <c r="D59" i="16" a="1"/>
  <c r="D59" i="16" s="1"/>
  <c r="D63" i="16" a="1"/>
  <c r="D63" i="16" s="1"/>
  <c r="D62" i="16" a="1"/>
  <c r="D62" i="16" s="1"/>
  <c r="V63" i="16" a="1"/>
  <c r="V63" i="16" s="1"/>
  <c r="V60" i="16" a="1"/>
  <c r="V60" i="16" s="1"/>
  <c r="V59" i="16" a="1"/>
  <c r="V59" i="16" s="1"/>
  <c r="V62" i="16" a="1"/>
  <c r="V62" i="16" s="1"/>
  <c r="V61" i="16" a="1"/>
  <c r="V61" i="16" s="1"/>
  <c r="J67" i="16" a="1"/>
  <c r="J67" i="16" s="1"/>
  <c r="J69" i="16" a="1"/>
  <c r="J69" i="16" s="1"/>
  <c r="J70" i="16" a="1"/>
  <c r="J70" i="16" s="1"/>
  <c r="R69" i="16" a="1"/>
  <c r="R69" i="16" s="1"/>
  <c r="R71" i="16" a="1"/>
  <c r="R71" i="16" s="1"/>
  <c r="R68" i="16" a="1"/>
  <c r="R68" i="16" s="1"/>
  <c r="R70" i="16" a="1"/>
  <c r="R70" i="16" s="1"/>
  <c r="R67" i="16" a="1"/>
  <c r="R67" i="16" s="1"/>
  <c r="N14" i="16" a="1"/>
  <c r="N14" i="16" s="1"/>
  <c r="R23" i="16" a="1"/>
  <c r="R23" i="16" s="1"/>
  <c r="R79" i="16" s="1"/>
  <c r="K20" i="16" a="1"/>
  <c r="K20" i="16" s="1"/>
  <c r="K46" i="16" a="1"/>
  <c r="K46" i="16" s="1"/>
  <c r="J46" i="16" a="1"/>
  <c r="J46" i="16" s="1"/>
  <c r="Q11" i="16" a="1"/>
  <c r="Q11" i="16" s="1"/>
  <c r="Q14" i="16" a="1"/>
  <c r="Q14" i="16" s="1"/>
  <c r="I15" i="16" a="1"/>
  <c r="I15" i="16" s="1"/>
  <c r="I11" i="16" a="1"/>
  <c r="I11" i="16" s="1"/>
  <c r="G23" i="16" a="1"/>
  <c r="G23" i="16" s="1"/>
  <c r="G21" i="16" a="1"/>
  <c r="G21" i="16" s="1"/>
  <c r="G19" i="16" a="1"/>
  <c r="G19" i="16" s="1"/>
  <c r="L27" i="16" a="1"/>
  <c r="L27" i="16" s="1"/>
  <c r="L75" i="16" s="1"/>
  <c r="L31" i="16" a="1"/>
  <c r="L31" i="16" s="1"/>
  <c r="L79" i="16" s="1"/>
  <c r="L30" i="16" a="1"/>
  <c r="L30" i="16" s="1"/>
  <c r="I62" i="16" a="1"/>
  <c r="I62" i="16" s="1"/>
  <c r="I60" i="16" a="1"/>
  <c r="I60" i="16" s="1"/>
  <c r="I61" i="16" a="1"/>
  <c r="I61" i="16" s="1"/>
  <c r="I59" i="16" a="1"/>
  <c r="I59" i="16" s="1"/>
  <c r="I63" i="16" a="1"/>
  <c r="I63" i="16" s="1"/>
  <c r="N15" i="16" a="1"/>
  <c r="N15" i="16" s="1"/>
  <c r="P11" i="16" a="1"/>
  <c r="P11" i="16" s="1"/>
  <c r="P15" i="16" a="1"/>
  <c r="P15" i="16" s="1"/>
  <c r="P14" i="16" a="1"/>
  <c r="P14" i="16" s="1"/>
  <c r="O20" i="16" a="1"/>
  <c r="O20" i="16" s="1"/>
  <c r="O21" i="16" a="1"/>
  <c r="O21" i="16" s="1"/>
  <c r="O77" i="16" s="1"/>
  <c r="O23" i="16" a="1"/>
  <c r="O23" i="16" s="1"/>
  <c r="O19" i="16" a="1"/>
  <c r="O19" i="16" s="1"/>
  <c r="O22" i="16" a="1"/>
  <c r="O22" i="16" s="1"/>
  <c r="D31" i="16" a="1"/>
  <c r="D31" i="16" s="1"/>
  <c r="D79" i="16" s="1"/>
  <c r="D28" i="16" a="1"/>
  <c r="D28" i="16" s="1"/>
  <c r="D27" i="16" a="1"/>
  <c r="D27" i="16" s="1"/>
  <c r="D30" i="16" a="1"/>
  <c r="D30" i="16" s="1"/>
  <c r="D78" i="16" s="1"/>
  <c r="V27" i="16" a="1"/>
  <c r="V27" i="16" s="1"/>
  <c r="V75" i="16" s="1"/>
  <c r="V29" i="16" a="1"/>
  <c r="V29" i="16" s="1"/>
  <c r="V28" i="16" a="1"/>
  <c r="V28" i="16" s="1"/>
  <c r="V31" i="16" a="1"/>
  <c r="V31" i="16" s="1"/>
  <c r="J36" i="16" a="1"/>
  <c r="J36" i="16" s="1"/>
  <c r="J37" i="16" a="1"/>
  <c r="J37" i="16" s="1"/>
  <c r="R35" i="16" a="1"/>
  <c r="R35" i="16" s="1"/>
  <c r="R36" i="16" a="1"/>
  <c r="R36" i="16" s="1"/>
  <c r="R39" i="16" a="1"/>
  <c r="R39" i="16" s="1"/>
  <c r="R38" i="16" a="1"/>
  <c r="R38" i="16" s="1"/>
  <c r="O44" i="16" a="1"/>
  <c r="O44" i="16" s="1"/>
  <c r="O45" i="16" a="1"/>
  <c r="O45" i="16" s="1"/>
  <c r="O46" i="16" a="1"/>
  <c r="O46" i="16" s="1"/>
  <c r="D53" i="16" a="1"/>
  <c r="D53" i="16" s="1"/>
  <c r="D55" i="16" a="1"/>
  <c r="D55" i="16" s="1"/>
  <c r="D54" i="16" a="1"/>
  <c r="D54" i="16" s="1"/>
  <c r="D51" i="16" a="1"/>
  <c r="D51" i="16" s="1"/>
  <c r="D52" i="16" a="1"/>
  <c r="D52" i="16" s="1"/>
  <c r="M15" i="16" a="1"/>
  <c r="M15" i="16" s="1"/>
  <c r="H12" i="16" a="1"/>
  <c r="H12" i="16" s="1"/>
  <c r="H11" i="16" a="1"/>
  <c r="H11" i="16" s="1"/>
  <c r="H15" i="16" a="1"/>
  <c r="H15" i="16" s="1"/>
  <c r="H14" i="16" a="1"/>
  <c r="H14" i="16" s="1"/>
  <c r="H21" i="16" a="1"/>
  <c r="H21" i="16" s="1"/>
  <c r="H20" i="16" a="1"/>
  <c r="H20" i="16" s="1"/>
  <c r="H19" i="16" a="1"/>
  <c r="H19" i="16" s="1"/>
  <c r="H22" i="16" a="1"/>
  <c r="H22" i="16" s="1"/>
  <c r="H78" i="16" s="1"/>
  <c r="E28" i="16" a="1"/>
  <c r="E28" i="16" s="1"/>
  <c r="E27" i="16" a="1"/>
  <c r="E27" i="16" s="1"/>
  <c r="E30" i="16" a="1"/>
  <c r="E30" i="16" s="1"/>
  <c r="M28" i="16" a="1"/>
  <c r="M28" i="16" s="1"/>
  <c r="M29" i="16" a="1"/>
  <c r="M29" i="16" s="1"/>
  <c r="M31" i="16" a="1"/>
  <c r="M31" i="16" s="1"/>
  <c r="M27" i="16" a="1"/>
  <c r="M27" i="16" s="1"/>
  <c r="M75" i="16" s="1"/>
  <c r="M30" i="16" a="1"/>
  <c r="M30" i="16" s="1"/>
  <c r="W29" i="16" a="1"/>
  <c r="W29" i="16" s="1"/>
  <c r="W31" i="16" a="1"/>
  <c r="W31" i="16" s="1"/>
  <c r="W28" i="16" a="1"/>
  <c r="W28" i="16" s="1"/>
  <c r="K39" i="16" a="1"/>
  <c r="K39" i="16" s="1"/>
  <c r="K35" i="16" a="1"/>
  <c r="K35" i="16" s="1"/>
  <c r="K37" i="16" a="1"/>
  <c r="K37" i="16" s="1"/>
  <c r="S35" i="16" a="1"/>
  <c r="S35" i="16" s="1"/>
  <c r="S37" i="16" a="1"/>
  <c r="S37" i="16" s="1"/>
  <c r="S36" i="16" a="1"/>
  <c r="S36" i="16" s="1"/>
  <c r="S39" i="16" a="1"/>
  <c r="S39" i="16" s="1"/>
  <c r="H43" i="16" a="1"/>
  <c r="H43" i="16" s="1"/>
  <c r="H44" i="16" a="1"/>
  <c r="H44" i="16" s="1"/>
  <c r="H45" i="16" a="1"/>
  <c r="H45" i="16" s="1"/>
  <c r="H46" i="16" a="1"/>
  <c r="H46" i="16" s="1"/>
  <c r="H47" i="16" a="1"/>
  <c r="H47" i="16" s="1"/>
  <c r="E53" i="16" a="1"/>
  <c r="E53" i="16" s="1"/>
  <c r="E55" i="16" a="1"/>
  <c r="E55" i="16" s="1"/>
  <c r="E54" i="16" a="1"/>
  <c r="E54" i="16" s="1"/>
  <c r="E51" i="16" a="1"/>
  <c r="E51" i="16" s="1"/>
  <c r="E52" i="16" a="1"/>
  <c r="E52" i="16" s="1"/>
  <c r="M51" i="16" a="1"/>
  <c r="M51" i="16" s="1"/>
  <c r="M54" i="16" a="1"/>
  <c r="M54" i="16" s="1"/>
  <c r="M53" i="16" a="1"/>
  <c r="M53" i="16" s="1"/>
  <c r="W54" i="16" a="1"/>
  <c r="W54" i="16" s="1"/>
  <c r="W53" i="16" a="1"/>
  <c r="W53" i="16" s="1"/>
  <c r="W51" i="16" a="1"/>
  <c r="W51" i="16" s="1"/>
  <c r="W55" i="16" a="1"/>
  <c r="W55" i="16" s="1"/>
  <c r="W52" i="16" a="1"/>
  <c r="W52" i="16" s="1"/>
  <c r="K61" i="16" a="1"/>
  <c r="K61" i="16" s="1"/>
  <c r="K60" i="16" a="1"/>
  <c r="K60" i="16" s="1"/>
  <c r="K59" i="16" a="1"/>
  <c r="K59" i="16" s="1"/>
  <c r="K63" i="16" a="1"/>
  <c r="K63" i="16" s="1"/>
  <c r="K62" i="16" a="1"/>
  <c r="K62" i="16" s="1"/>
  <c r="S61" i="16" a="1"/>
  <c r="S61" i="16" s="1"/>
  <c r="S59" i="16" a="1"/>
  <c r="S59" i="16" s="1"/>
  <c r="S60" i="16" a="1"/>
  <c r="S60" i="16" s="1"/>
  <c r="S63" i="16" a="1"/>
  <c r="S63" i="16" s="1"/>
  <c r="S62" i="16" a="1"/>
  <c r="S62" i="16" s="1"/>
  <c r="H69" i="16" a="1"/>
  <c r="H69" i="16" s="1"/>
  <c r="H70" i="16" a="1"/>
  <c r="H70" i="16" s="1"/>
  <c r="H68" i="16" a="1"/>
  <c r="H68" i="16" s="1"/>
  <c r="H67" i="16" a="1"/>
  <c r="H67" i="16" s="1"/>
  <c r="W13" i="16" a="1"/>
  <c r="W13" i="16" s="1"/>
  <c r="H13" i="16" a="1"/>
  <c r="H13" i="16" s="1"/>
  <c r="I12" i="16" a="1"/>
  <c r="I12" i="16" s="1"/>
  <c r="N11" i="16" a="1"/>
  <c r="N11" i="16" s="1"/>
  <c r="F21" i="16" a="1"/>
  <c r="F21" i="16" s="1"/>
  <c r="K78" i="16"/>
  <c r="D36" i="16" a="1"/>
  <c r="D36" i="16" s="1"/>
  <c r="O47" i="16" a="1"/>
  <c r="O47" i="16" s="1"/>
  <c r="R45" i="16" a="1"/>
  <c r="R45" i="16" s="1"/>
  <c r="H54" i="16" a="1"/>
  <c r="H54" i="16" s="1"/>
  <c r="F79" i="16"/>
  <c r="X76" i="16"/>
  <c r="M11" i="16" a="1"/>
  <c r="M11" i="16" s="1"/>
  <c r="N47" i="16" a="1"/>
  <c r="N47" i="16" s="1"/>
  <c r="F43" i="16" a="1"/>
  <c r="F43" i="16" s="1"/>
  <c r="P61" i="16" a="1"/>
  <c r="P61" i="16" s="1"/>
  <c r="K69" i="16" a="1"/>
  <c r="K69" i="16" s="1"/>
  <c r="X37" i="16" a="1"/>
  <c r="X37" i="16" s="1"/>
  <c r="X38" i="16" a="1"/>
  <c r="X38" i="16" s="1"/>
  <c r="X36" i="16" a="1"/>
  <c r="X36" i="16" s="1"/>
  <c r="U14" i="16" a="1"/>
  <c r="U14" i="16" s="1"/>
  <c r="U13" i="16" a="1"/>
  <c r="U13" i="16" s="1"/>
  <c r="L14" i="16" a="1"/>
  <c r="L14" i="16" s="1"/>
  <c r="L13" i="16" a="1"/>
  <c r="L13" i="16" s="1"/>
  <c r="U47" i="16" a="1"/>
  <c r="U47" i="16" s="1"/>
  <c r="U45" i="16" a="1"/>
  <c r="U45" i="16" s="1"/>
  <c r="T22" i="16" a="1"/>
  <c r="T22" i="16" s="1"/>
  <c r="H39" i="16" a="1"/>
  <c r="H39" i="16" s="1"/>
  <c r="O38" i="16" a="1"/>
  <c r="O38" i="16" s="1"/>
  <c r="T44" i="16" a="1"/>
  <c r="T44" i="16" s="1"/>
  <c r="W71" i="16" a="1"/>
  <c r="W71" i="16" s="1"/>
  <c r="F35" i="16" a="1"/>
  <c r="F35" i="16" s="1"/>
  <c r="F37" i="16" a="1"/>
  <c r="F37" i="16" s="1"/>
  <c r="K77" i="16"/>
  <c r="T46" i="16" a="1"/>
  <c r="T46" i="16" s="1"/>
  <c r="I30" i="16" a="1"/>
  <c r="I30" i="16" s="1"/>
  <c r="I28" i="16" a="1"/>
  <c r="I28" i="16" s="1"/>
  <c r="I27" i="16" a="1"/>
  <c r="I27" i="16" s="1"/>
  <c r="Q27" i="16" a="1"/>
  <c r="Q27" i="16" s="1"/>
  <c r="Q28" i="16" a="1"/>
  <c r="Q28" i="16" s="1"/>
  <c r="L45" i="16" a="1"/>
  <c r="L45" i="16" s="1"/>
  <c r="L43" i="16" a="1"/>
  <c r="L43" i="16" s="1"/>
  <c r="I53" i="16" a="1"/>
  <c r="I53" i="16" s="1"/>
  <c r="I55" i="16" a="1"/>
  <c r="I55" i="16" s="1"/>
  <c r="I52" i="16" a="1"/>
  <c r="I52" i="16" s="1"/>
  <c r="Q51" i="16" a="1"/>
  <c r="Q51" i="16" s="1"/>
  <c r="Q53" i="16" a="1"/>
  <c r="Q53" i="16" s="1"/>
  <c r="Q54" i="16" a="1"/>
  <c r="Q54" i="16" s="1"/>
  <c r="Q52" i="16" a="1"/>
  <c r="Q52" i="16" s="1"/>
  <c r="Q55" i="16" a="1"/>
  <c r="Q55" i="16" s="1"/>
  <c r="G60" i="16" a="1"/>
  <c r="G60" i="16" s="1"/>
  <c r="G63" i="16" a="1"/>
  <c r="G63" i="16" s="1"/>
  <c r="G59" i="16" a="1"/>
  <c r="G59" i="16" s="1"/>
  <c r="G62" i="16" a="1"/>
  <c r="G62" i="16" s="1"/>
  <c r="L67" i="16" a="1"/>
  <c r="L67" i="16" s="1"/>
  <c r="L70" i="16" a="1"/>
  <c r="L70" i="16" s="1"/>
  <c r="L71" i="16" a="1"/>
  <c r="L71" i="16" s="1"/>
  <c r="L68" i="16" a="1"/>
  <c r="L68" i="16" s="1"/>
  <c r="U69" i="16" a="1"/>
  <c r="U69" i="16" s="1"/>
  <c r="U70" i="16" a="1"/>
  <c r="U70" i="16" s="1"/>
  <c r="U68" i="16" a="1"/>
  <c r="U68" i="16" s="1"/>
  <c r="V23" i="16" a="1"/>
  <c r="V23" i="16" s="1"/>
  <c r="V21" i="16" a="1"/>
  <c r="V21" i="16" s="1"/>
  <c r="D45" i="16" a="1"/>
  <c r="D45" i="16" s="1"/>
  <c r="D44" i="16" a="1"/>
  <c r="D44" i="16" s="1"/>
  <c r="D43" i="16" a="1"/>
  <c r="D43" i="16" s="1"/>
  <c r="D67" i="16" a="1"/>
  <c r="D67" i="16" s="1"/>
  <c r="D69" i="16" a="1"/>
  <c r="D69" i="16" s="1"/>
  <c r="D71" i="16" a="1"/>
  <c r="D71" i="16" s="1"/>
  <c r="D68" i="16" a="1"/>
  <c r="D68" i="16" s="1"/>
  <c r="P31" i="16" a="1"/>
  <c r="P31" i="16" s="1"/>
  <c r="P79" i="16" s="1"/>
  <c r="R29" i="16" a="1"/>
  <c r="R29" i="16" s="1"/>
  <c r="O39" i="16" a="1"/>
  <c r="O39" i="16" s="1"/>
  <c r="D46" i="16" a="1"/>
  <c r="D46" i="16" s="1"/>
  <c r="I54" i="16" a="1"/>
  <c r="I54" i="16" s="1"/>
  <c r="U71" i="16" a="1"/>
  <c r="U71" i="16" s="1"/>
  <c r="P52" i="16" a="1"/>
  <c r="P52" i="16" s="1"/>
  <c r="P53" i="16" a="1"/>
  <c r="P53" i="16" s="1"/>
  <c r="P51" i="16" a="1"/>
  <c r="P51" i="16" s="1"/>
  <c r="F60" i="16" a="1"/>
  <c r="F60" i="16" s="1"/>
  <c r="F63" i="16" a="1"/>
  <c r="F63" i="16" s="1"/>
  <c r="F62" i="16" a="1"/>
  <c r="F62" i="16" s="1"/>
  <c r="F59" i="16" a="1"/>
  <c r="F59" i="16" s="1"/>
  <c r="N60" i="16" a="1"/>
  <c r="N60" i="16" s="1"/>
  <c r="N63" i="16" a="1"/>
  <c r="N63" i="16" s="1"/>
  <c r="N62" i="16" a="1"/>
  <c r="N62" i="16" s="1"/>
  <c r="N61" i="16" a="1"/>
  <c r="N61" i="16" s="1"/>
  <c r="X60" i="16" a="1"/>
  <c r="X60" i="16" s="1"/>
  <c r="X61" i="16" a="1"/>
  <c r="X61" i="16" s="1"/>
  <c r="T68" i="16" a="1"/>
  <c r="T68" i="16" s="1"/>
  <c r="T67" i="16" a="1"/>
  <c r="T67" i="16" s="1"/>
  <c r="T70" i="16" a="1"/>
  <c r="T70" i="16" s="1"/>
  <c r="T71" i="16" a="1"/>
  <c r="T71" i="16" s="1"/>
  <c r="T69" i="16" a="1"/>
  <c r="T69" i="16" s="1"/>
  <c r="J54" i="16" a="1"/>
  <c r="J54" i="16" s="1"/>
  <c r="J55" i="16" a="1"/>
  <c r="J55" i="16" s="1"/>
  <c r="J52" i="16" a="1"/>
  <c r="J52" i="16" s="1"/>
  <c r="R51" i="16" a="1"/>
  <c r="R51" i="16" s="1"/>
  <c r="R54" i="16" a="1"/>
  <c r="R54" i="16" s="1"/>
  <c r="R52" i="16" a="1"/>
  <c r="R52" i="16" s="1"/>
  <c r="R55" i="16" a="1"/>
  <c r="R55" i="16" s="1"/>
  <c r="O59" i="16" a="1"/>
  <c r="O59" i="16" s="1"/>
  <c r="O62" i="16" a="1"/>
  <c r="O62" i="16" s="1"/>
  <c r="O60" i="16" a="1"/>
  <c r="O60" i="16" s="1"/>
  <c r="O63" i="16" a="1"/>
  <c r="O63" i="16" s="1"/>
  <c r="V69" i="16" a="1"/>
  <c r="V69" i="16" s="1"/>
  <c r="V70" i="16" a="1"/>
  <c r="V70" i="16" s="1"/>
  <c r="V71" i="16" a="1"/>
  <c r="V71" i="16" s="1"/>
  <c r="V67" i="16" a="1"/>
  <c r="V67" i="16" s="1"/>
  <c r="V15" i="16" a="1"/>
  <c r="V15" i="16" s="1"/>
  <c r="V12" i="16" a="1"/>
  <c r="V12" i="16" s="1"/>
  <c r="E22" i="16" a="1"/>
  <c r="E22" i="16" s="1"/>
  <c r="E23" i="16" a="1"/>
  <c r="E23" i="16" s="1"/>
  <c r="M21" i="16" a="1"/>
  <c r="M21" i="16" s="1"/>
  <c r="M23" i="16" a="1"/>
  <c r="M23" i="16" s="1"/>
  <c r="W20" i="16" a="1"/>
  <c r="W20" i="16" s="1"/>
  <c r="W21" i="16" a="1"/>
  <c r="W21" i="16" s="1"/>
  <c r="K31" i="16" a="1"/>
  <c r="K31" i="16" s="1"/>
  <c r="K79" i="16" s="1"/>
  <c r="K28" i="16" a="1"/>
  <c r="K28" i="16" s="1"/>
  <c r="K27" i="16" a="1"/>
  <c r="K27" i="16" s="1"/>
  <c r="K75" i="16" s="1"/>
  <c r="S28" i="16" a="1"/>
  <c r="S28" i="16" s="1"/>
  <c r="S29" i="16" a="1"/>
  <c r="S29" i="16" s="1"/>
  <c r="E46" i="16" a="1"/>
  <c r="E46" i="16" s="1"/>
  <c r="E45" i="16" a="1"/>
  <c r="E45" i="16" s="1"/>
  <c r="E43" i="16" a="1"/>
  <c r="E43" i="16" s="1"/>
  <c r="E47" i="16" a="1"/>
  <c r="E47" i="16" s="1"/>
  <c r="M44" i="16" a="1"/>
  <c r="M44" i="16" s="1"/>
  <c r="M47" i="16" a="1"/>
  <c r="M47" i="16" s="1"/>
  <c r="M43" i="16" a="1"/>
  <c r="M43" i="16" s="1"/>
  <c r="W43" i="16" a="1"/>
  <c r="W43" i="16" s="1"/>
  <c r="W46" i="16" a="1"/>
  <c r="W46" i="16" s="1"/>
  <c r="K54" i="16" a="1"/>
  <c r="K54" i="16" s="1"/>
  <c r="K55" i="16" a="1"/>
  <c r="K55" i="16" s="1"/>
  <c r="K51" i="16" a="1"/>
  <c r="K51" i="16" s="1"/>
  <c r="K52" i="16" a="1"/>
  <c r="K52" i="16" s="1"/>
  <c r="K53" i="16" a="1"/>
  <c r="K53" i="16" s="1"/>
  <c r="S55" i="16" a="1"/>
  <c r="S55" i="16" s="1"/>
  <c r="S52" i="16" a="1"/>
  <c r="S52" i="16" s="1"/>
  <c r="H62" i="16" a="1"/>
  <c r="H62" i="16" s="1"/>
  <c r="H59" i="16" a="1"/>
  <c r="H59" i="16" s="1"/>
  <c r="H63" i="16" a="1"/>
  <c r="H63" i="16" s="1"/>
  <c r="H61" i="16" a="1"/>
  <c r="H61" i="16" s="1"/>
  <c r="E67" i="16" a="1"/>
  <c r="E67" i="16" s="1"/>
  <c r="E69" i="16" a="1"/>
  <c r="E69" i="16" s="1"/>
  <c r="E70" i="16" a="1"/>
  <c r="E70" i="16" s="1"/>
  <c r="E71" i="16" a="1"/>
  <c r="E71" i="16" s="1"/>
  <c r="E68" i="16" a="1"/>
  <c r="E68" i="16" s="1"/>
  <c r="M67" i="16" a="1"/>
  <c r="M67" i="16" s="1"/>
  <c r="M68" i="16" a="1"/>
  <c r="M68" i="16" s="1"/>
  <c r="M69" i="16" a="1"/>
  <c r="M69" i="16" s="1"/>
  <c r="M70" i="16" a="1"/>
  <c r="M70" i="16" s="1"/>
  <c r="W70" i="16" a="1"/>
  <c r="W70" i="16" s="1"/>
  <c r="W67" i="16" a="1"/>
  <c r="W67" i="16" s="1"/>
  <c r="U15" i="16" a="1"/>
  <c r="U15" i="16" s="1"/>
  <c r="U12" i="16" a="1"/>
  <c r="U12" i="16" s="1"/>
  <c r="Q29" i="16" a="1"/>
  <c r="Q29" i="16" s="1"/>
  <c r="I29" i="16" a="1"/>
  <c r="I29" i="16" s="1"/>
  <c r="G36" i="16" a="1"/>
  <c r="G36" i="16" s="1"/>
  <c r="O35" i="16" a="1"/>
  <c r="O35" i="16" s="1"/>
  <c r="W47" i="16" a="1"/>
  <c r="W47" i="16" s="1"/>
  <c r="U43" i="16" a="1"/>
  <c r="U43" i="16" s="1"/>
  <c r="X62" i="16" a="1"/>
  <c r="X62" i="16" s="1"/>
  <c r="G27" i="16" a="1"/>
  <c r="G27" i="16" s="1"/>
  <c r="G75" i="16" s="1"/>
  <c r="G29" i="16" a="1"/>
  <c r="G29" i="16" s="1"/>
  <c r="G77" i="16" s="1"/>
  <c r="Q44" i="16" a="1"/>
  <c r="Q44" i="16" s="1"/>
  <c r="Q47" i="16" a="1"/>
  <c r="Q47" i="16" s="1"/>
  <c r="G52" i="16" a="1"/>
  <c r="G52" i="16" s="1"/>
  <c r="G51" i="16" a="1"/>
  <c r="G51" i="16" s="1"/>
  <c r="G54" i="16" a="1"/>
  <c r="G54" i="16" s="1"/>
  <c r="I71" i="16" a="1"/>
  <c r="I71" i="16" s="1"/>
  <c r="I67" i="16" a="1"/>
  <c r="I67" i="16" s="1"/>
  <c r="F30" i="16" a="1"/>
  <c r="F30" i="16" s="1"/>
  <c r="F78" i="16" s="1"/>
  <c r="U38" i="16" a="1"/>
  <c r="U38" i="16" s="1"/>
  <c r="L38" i="16" a="1"/>
  <c r="L38" i="16" s="1"/>
  <c r="L37" i="16" a="1"/>
  <c r="L37" i="16" s="1"/>
  <c r="L63" i="16" a="1"/>
  <c r="L63" i="16" s="1"/>
  <c r="R59" i="16" a="1"/>
  <c r="R59" i="16" s="1"/>
  <c r="J62" i="16" a="1"/>
  <c r="J62" i="16" s="1"/>
  <c r="Q71" i="16" a="1"/>
  <c r="Q71" i="16" s="1"/>
  <c r="O71" i="16" a="1"/>
  <c r="O71" i="16" s="1"/>
  <c r="O70" i="16" a="1"/>
  <c r="O70" i="16" s="1"/>
  <c r="O68" i="16" a="1"/>
  <c r="O68" i="16" s="1"/>
  <c r="O67" i="16" a="1"/>
  <c r="O67" i="16" s="1"/>
  <c r="L39" i="16" a="1"/>
  <c r="L39" i="16" s="1"/>
  <c r="U35" i="16" a="1"/>
  <c r="U35" i="16" s="1"/>
  <c r="P45" i="16" a="1"/>
  <c r="P45" i="16" s="1"/>
  <c r="V52" i="16" a="1"/>
  <c r="V52" i="16" s="1"/>
  <c r="I69" i="16" a="1"/>
  <c r="I69" i="16" s="1"/>
  <c r="N75" i="16"/>
  <c r="F51" i="16" a="1"/>
  <c r="F51" i="16" s="1"/>
  <c r="F52" i="16" a="1"/>
  <c r="F52" i="16" s="1"/>
  <c r="F53" i="16" a="1"/>
  <c r="F53" i="16" s="1"/>
  <c r="X53" i="16" a="1"/>
  <c r="X53" i="16" s="1"/>
  <c r="X51" i="16" a="1"/>
  <c r="X51" i="16" s="1"/>
  <c r="T61" i="16" a="1"/>
  <c r="T61" i="16" s="1"/>
  <c r="T60" i="16" a="1"/>
  <c r="T60" i="16" s="1"/>
  <c r="P22" i="16" a="1"/>
  <c r="P22" i="16" s="1"/>
  <c r="P19" i="16" a="1"/>
  <c r="P19" i="16" s="1"/>
  <c r="G55" i="16" a="1"/>
  <c r="G55" i="16" s="1"/>
  <c r="T62" i="16" a="1"/>
  <c r="T62" i="16" s="1"/>
  <c r="T59" i="16" a="1"/>
  <c r="T59" i="16" s="1"/>
  <c r="L85" i="21"/>
  <c r="K40" i="37" s="1"/>
  <c r="M87" i="21"/>
  <c r="L79" i="37" s="1"/>
  <c r="L87" i="21"/>
  <c r="K79" i="37" s="1"/>
  <c r="K91" i="37" s="1"/>
  <c r="I93" i="21"/>
  <c r="I89" i="21"/>
  <c r="H117" i="37" s="1"/>
  <c r="H129" i="37" s="1"/>
  <c r="H131" i="37" s="1"/>
  <c r="P88" i="21"/>
  <c r="O98" i="37" s="1"/>
  <c r="O111" i="37" s="1"/>
  <c r="C88" i="21"/>
  <c r="B98" i="37" s="1"/>
  <c r="I88" i="21"/>
  <c r="H98" i="37" s="1"/>
  <c r="G89" i="21"/>
  <c r="F117" i="37" s="1"/>
  <c r="J88" i="21"/>
  <c r="I98" i="37" s="1"/>
  <c r="I110" i="37" s="1"/>
  <c r="M85" i="21"/>
  <c r="L40" i="37" s="1"/>
  <c r="L52" i="37" s="1"/>
  <c r="F86" i="21"/>
  <c r="E60" i="37" s="1"/>
  <c r="P85" i="21"/>
  <c r="O40" i="37" s="1"/>
  <c r="D87" i="21"/>
  <c r="C79" i="37" s="1"/>
  <c r="C89" i="37" s="1"/>
  <c r="P89" i="21"/>
  <c r="O117" i="37" s="1"/>
  <c r="O129" i="37" s="1"/>
  <c r="P87" i="21"/>
  <c r="O79" i="37" s="1"/>
  <c r="O92" i="37" s="1"/>
  <c r="E85" i="21"/>
  <c r="D40" i="37" s="1"/>
  <c r="K85" i="21"/>
  <c r="J40" i="37" s="1"/>
  <c r="J52" i="37" s="1"/>
  <c r="B93" i="21"/>
  <c r="F87" i="21"/>
  <c r="E79" i="37" s="1"/>
  <c r="F89" i="21"/>
  <c r="E117" i="37" s="1"/>
  <c r="E129" i="37" s="1"/>
  <c r="Q85" i="21"/>
  <c r="P40" i="37" s="1"/>
  <c r="F93" i="21"/>
  <c r="E89" i="21"/>
  <c r="D117" i="37" s="1"/>
  <c r="K88" i="21"/>
  <c r="J98" i="37" s="1"/>
  <c r="H85" i="21"/>
  <c r="G40" i="37" s="1"/>
  <c r="O87" i="21"/>
  <c r="N79" i="37" s="1"/>
  <c r="N92" i="37" s="1"/>
  <c r="J87" i="21"/>
  <c r="I79" i="37" s="1"/>
  <c r="F88" i="21"/>
  <c r="E98" i="37" s="1"/>
  <c r="Q89" i="21"/>
  <c r="P117" i="37" s="1"/>
  <c r="H88" i="21"/>
  <c r="G98" i="37" s="1"/>
  <c r="G111" i="37" s="1"/>
  <c r="N89" i="21"/>
  <c r="M117" i="37" s="1"/>
  <c r="N88" i="21"/>
  <c r="M98" i="37" s="1"/>
  <c r="M108" i="37" s="1"/>
  <c r="C87" i="21"/>
  <c r="B79" i="37" s="1"/>
  <c r="B92" i="37" s="1"/>
  <c r="J85" i="21"/>
  <c r="I40" i="37" s="1"/>
  <c r="I52" i="37" s="1"/>
  <c r="D85" i="21"/>
  <c r="C40" i="37" s="1"/>
  <c r="L86" i="21"/>
  <c r="K60" i="37" s="1"/>
  <c r="K72" i="37" s="1"/>
  <c r="O85" i="21"/>
  <c r="N40" i="37" s="1"/>
  <c r="N53" i="37" s="1"/>
  <c r="C89" i="21"/>
  <c r="B117" i="37" s="1"/>
  <c r="B129" i="37" s="1"/>
  <c r="F85" i="21"/>
  <c r="E40" i="37" s="1"/>
  <c r="G88" i="21"/>
  <c r="F98" i="37" s="1"/>
  <c r="F111" i="37" s="1"/>
  <c r="G86" i="21"/>
  <c r="F60" i="37" s="1"/>
  <c r="F70" i="37" s="1"/>
  <c r="G85" i="21"/>
  <c r="F40" i="37" s="1"/>
  <c r="F53" i="37" s="1"/>
  <c r="G87" i="21"/>
  <c r="F79" i="37" s="1"/>
  <c r="F91" i="37" s="1"/>
  <c r="O86" i="21"/>
  <c r="N60" i="37" s="1"/>
  <c r="N70" i="37" s="1"/>
  <c r="Q88" i="21"/>
  <c r="P98" i="37" s="1"/>
  <c r="P111" i="37" s="1"/>
  <c r="L88" i="21"/>
  <c r="K98" i="37" s="1"/>
  <c r="K110" i="37" s="1"/>
  <c r="O88" i="21"/>
  <c r="N98" i="37" s="1"/>
  <c r="K89" i="21"/>
  <c r="J117" i="37" s="1"/>
  <c r="Q86" i="21"/>
  <c r="P60" i="37" s="1"/>
  <c r="P73" i="37" s="1"/>
  <c r="O89" i="21"/>
  <c r="N117" i="37" s="1"/>
  <c r="N129" i="37" s="1"/>
  <c r="P86" i="21"/>
  <c r="O60" i="37" s="1"/>
  <c r="J86" i="21"/>
  <c r="I60" i="37" s="1"/>
  <c r="B92" i="21"/>
  <c r="I92" i="21"/>
  <c r="F92" i="21"/>
  <c r="E77" i="16"/>
  <c r="W75" i="16"/>
  <c r="F77" i="16"/>
  <c r="F75" i="16"/>
  <c r="F83" i="16"/>
  <c r="I83" i="16"/>
  <c r="D86" i="35" a="1"/>
  <c r="K83" i="35" a="1"/>
  <c r="D84" i="16" a="1"/>
  <c r="J83" i="16" a="1"/>
  <c r="K82" i="16" a="1"/>
  <c r="G84" i="16" a="1"/>
  <c r="K84" i="35" a="1"/>
  <c r="K93" i="27" a="1"/>
  <c r="C83" i="16" a="1"/>
  <c r="J85" i="32" a="1"/>
  <c r="K93" i="21" a="1"/>
  <c r="D83" i="16" a="1"/>
  <c r="J85" i="35" a="1"/>
  <c r="D84" i="32" a="1"/>
  <c r="C84" i="35" a="1"/>
  <c r="C85" i="35" a="1"/>
  <c r="G85" i="35" a="1"/>
  <c r="C85" i="32" a="1"/>
  <c r="D82" i="36" a="1"/>
  <c r="C85" i="36" a="1"/>
  <c r="H84" i="36" a="1"/>
  <c r="G83" i="16" a="1"/>
  <c r="J82" i="16" a="1"/>
  <c r="K84" i="36" a="1"/>
  <c r="C85" i="16" a="1"/>
  <c r="C83" i="35" a="1"/>
  <c r="J83" i="35" a="1"/>
  <c r="C84" i="16" a="1"/>
  <c r="H84" i="16" a="1"/>
  <c r="C94" i="21" a="1"/>
  <c r="C84" i="36" a="1"/>
  <c r="G82" i="36" a="1"/>
  <c r="J83" i="36" a="1"/>
  <c r="D85" i="32" a="1"/>
  <c r="D85" i="36" a="1"/>
  <c r="K92" i="27" a="1"/>
  <c r="H84" i="35" a="1"/>
  <c r="K83" i="32" a="1"/>
  <c r="G84" i="32" a="1"/>
  <c r="C92" i="27" a="1"/>
  <c r="D92" i="27" a="1"/>
  <c r="C86" i="35" a="1"/>
  <c r="J92" i="27" a="1"/>
  <c r="H85" i="35" a="1"/>
  <c r="J84" i="35" a="1"/>
  <c r="C84" i="32" a="1"/>
  <c r="D86" i="32" a="1"/>
  <c r="J84" i="36" a="1"/>
  <c r="K83" i="36" a="1"/>
  <c r="K84" i="32" a="1"/>
  <c r="D85" i="35" a="1"/>
  <c r="G84" i="35" a="1"/>
  <c r="K85" i="35" a="1"/>
  <c r="C83" i="36" a="1"/>
  <c r="G84" i="36" a="1"/>
  <c r="K83" i="16" a="1"/>
  <c r="G82" i="16" a="1"/>
  <c r="H82" i="36" a="1"/>
  <c r="K91" i="27" a="1"/>
  <c r="J93" i="21" a="1"/>
  <c r="H83" i="16" a="1"/>
  <c r="C86" i="32" a="1"/>
  <c r="C82" i="36" a="1"/>
  <c r="H83" i="36" a="1"/>
  <c r="J84" i="32" a="1"/>
  <c r="J83" i="32" a="1"/>
  <c r="H82" i="16" a="1"/>
  <c r="H84" i="32" a="1"/>
  <c r="H85" i="32" a="1"/>
  <c r="G83" i="36" a="1"/>
  <c r="J91" i="27" a="1"/>
  <c r="D84" i="36" a="1"/>
  <c r="G85" i="32" a="1"/>
  <c r="D85" i="16" a="1"/>
  <c r="J93" i="27" a="1"/>
  <c r="J94" i="21" a="1"/>
  <c r="K85" i="32" a="1"/>
  <c r="S112" i="38" l="1"/>
  <c r="D108" i="38"/>
  <c r="M112" i="38"/>
  <c r="L74" i="38"/>
  <c r="K131" i="38"/>
  <c r="O127" i="38"/>
  <c r="H131" i="38"/>
  <c r="M127" i="38"/>
  <c r="Q127" i="38"/>
  <c r="C127" i="38"/>
  <c r="K127" i="38"/>
  <c r="H108" i="38"/>
  <c r="I108" i="38"/>
  <c r="C108" i="38"/>
  <c r="U108" i="38"/>
  <c r="H93" i="38"/>
  <c r="G93" i="38"/>
  <c r="K89" i="38"/>
  <c r="J93" i="38"/>
  <c r="G74" i="38"/>
  <c r="B74" i="38"/>
  <c r="I54" i="38"/>
  <c r="E54" i="38"/>
  <c r="J54" i="38"/>
  <c r="Q54" i="38"/>
  <c r="S54" i="38"/>
  <c r="T54" i="38"/>
  <c r="L54" i="38"/>
  <c r="H54" i="38"/>
  <c r="O54" i="38"/>
  <c r="F89" i="38"/>
  <c r="E89" i="38"/>
  <c r="I50" i="38"/>
  <c r="K54" i="38"/>
  <c r="N50" i="38"/>
  <c r="T108" i="38"/>
  <c r="M54" i="38"/>
  <c r="T112" i="38"/>
  <c r="J108" i="38"/>
  <c r="F112" i="38"/>
  <c r="B54" i="38"/>
  <c r="L108" i="38"/>
  <c r="T50" i="38"/>
  <c r="B93" i="38"/>
  <c r="J131" i="38"/>
  <c r="U50" i="38"/>
  <c r="E112" i="38"/>
  <c r="G89" i="38"/>
  <c r="H74" i="38"/>
  <c r="Q89" i="38"/>
  <c r="D54" i="38"/>
  <c r="H112" i="38"/>
  <c r="Q131" i="38"/>
  <c r="I131" i="38"/>
  <c r="N108" i="38"/>
  <c r="C93" i="38"/>
  <c r="D112" i="38"/>
  <c r="G50" i="38"/>
  <c r="C112" i="38"/>
  <c r="L127" i="38"/>
  <c r="C131" i="38"/>
  <c r="U93" i="38"/>
  <c r="J74" i="38"/>
  <c r="K74" i="37"/>
  <c r="J110" i="37"/>
  <c r="J111" i="37"/>
  <c r="D130" i="37"/>
  <c r="D129" i="37"/>
  <c r="J127" i="37"/>
  <c r="J129" i="37"/>
  <c r="J131" i="37" s="1"/>
  <c r="J130" i="37"/>
  <c r="O53" i="37"/>
  <c r="O52" i="37"/>
  <c r="O54" i="37" s="1"/>
  <c r="O48" i="37"/>
  <c r="O50" i="37" s="1"/>
  <c r="R52" i="37"/>
  <c r="R53" i="37"/>
  <c r="R48" i="37"/>
  <c r="R50" i="37" s="1"/>
  <c r="N111" i="37"/>
  <c r="E70" i="37"/>
  <c r="E72" i="37"/>
  <c r="N110" i="37"/>
  <c r="N112" i="37" s="1"/>
  <c r="K112" i="37"/>
  <c r="U72" i="37"/>
  <c r="U74" i="37" s="1"/>
  <c r="U70" i="37"/>
  <c r="U73" i="37"/>
  <c r="K73" i="37"/>
  <c r="K70" i="37"/>
  <c r="K52" i="37"/>
  <c r="K48" i="37"/>
  <c r="K50" i="37" s="1"/>
  <c r="K53" i="37"/>
  <c r="K54" i="37" s="1"/>
  <c r="Q92" i="37"/>
  <c r="Q91" i="37"/>
  <c r="Q93" i="37" s="1"/>
  <c r="R74" i="37"/>
  <c r="C52" i="37"/>
  <c r="C54" i="37" s="1"/>
  <c r="C48" i="37"/>
  <c r="C50" i="37" s="1"/>
  <c r="U129" i="37"/>
  <c r="U127" i="37"/>
  <c r="U130" i="37"/>
  <c r="U131" i="37" s="1"/>
  <c r="C53" i="37"/>
  <c r="T129" i="37"/>
  <c r="T131" i="37" s="1"/>
  <c r="F129" i="37"/>
  <c r="F130" i="37"/>
  <c r="T70" i="37"/>
  <c r="S54" i="37"/>
  <c r="U89" i="37"/>
  <c r="U91" i="37"/>
  <c r="U93" i="37" s="1"/>
  <c r="M129" i="37"/>
  <c r="I111" i="37"/>
  <c r="E130" i="37"/>
  <c r="P127" i="37"/>
  <c r="F92" i="37"/>
  <c r="F52" i="37"/>
  <c r="F54" i="37" s="1"/>
  <c r="E112" i="37"/>
  <c r="I53" i="37"/>
  <c r="I54" i="37" s="1"/>
  <c r="U110" i="37"/>
  <c r="U112" i="37" s="1"/>
  <c r="F48" i="37"/>
  <c r="F50" i="37" s="1"/>
  <c r="N73" i="37"/>
  <c r="F110" i="37"/>
  <c r="F112" i="37" s="1"/>
  <c r="S73" i="37"/>
  <c r="S74" i="37" s="1"/>
  <c r="I48" i="37"/>
  <c r="I50" i="37" s="1"/>
  <c r="O127" i="37"/>
  <c r="Q70" i="37"/>
  <c r="N127" i="37"/>
  <c r="H108" i="37"/>
  <c r="L53" i="37"/>
  <c r="L54" i="37" s="1"/>
  <c r="S108" i="37"/>
  <c r="T89" i="37"/>
  <c r="R127" i="37"/>
  <c r="S129" i="37"/>
  <c r="N91" i="37"/>
  <c r="N93" i="37" s="1"/>
  <c r="N48" i="37"/>
  <c r="N50" i="37" s="1"/>
  <c r="P108" i="37"/>
  <c r="S110" i="37"/>
  <c r="S70" i="37"/>
  <c r="N108" i="37"/>
  <c r="L48" i="37"/>
  <c r="L50" i="37" s="1"/>
  <c r="U111" i="37"/>
  <c r="N72" i="37"/>
  <c r="N74" i="37" s="1"/>
  <c r="S130" i="37"/>
  <c r="T111" i="37"/>
  <c r="T112" i="37" s="1"/>
  <c r="H110" i="37"/>
  <c r="B87" i="37"/>
  <c r="B89" i="37" s="1"/>
  <c r="B91" i="37"/>
  <c r="B93" i="37" s="1"/>
  <c r="T72" i="37"/>
  <c r="T74" i="37" s="1"/>
  <c r="Q89" i="37"/>
  <c r="F72" i="37"/>
  <c r="F74" i="37" s="1"/>
  <c r="F108" i="37"/>
  <c r="R70" i="37"/>
  <c r="R72" i="37"/>
  <c r="C91" i="37"/>
  <c r="C92" i="37"/>
  <c r="G108" i="37"/>
  <c r="H111" i="37"/>
  <c r="M131" i="37"/>
  <c r="E131" i="37"/>
  <c r="B131" i="37"/>
  <c r="E108" i="37"/>
  <c r="N89" i="37"/>
  <c r="P50" i="37"/>
  <c r="P131" i="37"/>
  <c r="S89" i="37"/>
  <c r="K93" i="37"/>
  <c r="E127" i="37"/>
  <c r="Q131" i="37"/>
  <c r="D131" i="37"/>
  <c r="M127" i="37"/>
  <c r="S131" i="37"/>
  <c r="J112" i="37"/>
  <c r="S112" i="37"/>
  <c r="E74" i="37"/>
  <c r="H127" i="37"/>
  <c r="R112" i="37"/>
  <c r="O112" i="37"/>
  <c r="S93" i="37"/>
  <c r="E89" i="37"/>
  <c r="K89" i="37"/>
  <c r="R93" i="37"/>
  <c r="E54" i="37"/>
  <c r="N54" i="37"/>
  <c r="P54" i="37"/>
  <c r="J54" i="37"/>
  <c r="G54" i="37"/>
  <c r="D50" i="37"/>
  <c r="D54" i="37"/>
  <c r="B112" i="37"/>
  <c r="I112" i="37"/>
  <c r="M112" i="37"/>
  <c r="I108" i="37"/>
  <c r="B108" i="37"/>
  <c r="N131" i="37"/>
  <c r="F93" i="37"/>
  <c r="R89" i="37"/>
  <c r="U108" i="37"/>
  <c r="K108" i="37"/>
  <c r="I93" i="37"/>
  <c r="F89" i="37"/>
  <c r="R131" i="37"/>
  <c r="I74" i="37"/>
  <c r="O74" i="37"/>
  <c r="T108" i="37"/>
  <c r="D127" i="37"/>
  <c r="L93" i="37"/>
  <c r="J108" i="37"/>
  <c r="Q54" i="37"/>
  <c r="K91" i="27"/>
  <c r="T74" i="29"/>
  <c r="N127" i="29"/>
  <c r="P50" i="29"/>
  <c r="H127" i="29"/>
  <c r="D127" i="29"/>
  <c r="S127" i="29"/>
  <c r="B127" i="29"/>
  <c r="R127" i="29"/>
  <c r="C127" i="29"/>
  <c r="J127" i="29"/>
  <c r="O127" i="29"/>
  <c r="E127" i="29"/>
  <c r="N89" i="29"/>
  <c r="R108" i="29"/>
  <c r="L108" i="29"/>
  <c r="Q127" i="29"/>
  <c r="U89" i="29"/>
  <c r="B108" i="29"/>
  <c r="C108" i="29"/>
  <c r="K89" i="29"/>
  <c r="M108" i="29"/>
  <c r="P108" i="29"/>
  <c r="B50" i="29"/>
  <c r="O108" i="29"/>
  <c r="T108" i="29"/>
  <c r="F108" i="29"/>
  <c r="I108" i="29"/>
  <c r="D108" i="29"/>
  <c r="U108" i="29"/>
  <c r="E108" i="29"/>
  <c r="B74" i="29"/>
  <c r="K74" i="29"/>
  <c r="N108" i="29"/>
  <c r="Q108" i="29"/>
  <c r="I89" i="29"/>
  <c r="I70" i="29"/>
  <c r="J108" i="29"/>
  <c r="D89" i="29"/>
  <c r="F50" i="29"/>
  <c r="E70" i="29"/>
  <c r="O89" i="29"/>
  <c r="B89" i="29"/>
  <c r="D74" i="29"/>
  <c r="R70" i="29"/>
  <c r="M89" i="29"/>
  <c r="N70" i="29"/>
  <c r="T70" i="29"/>
  <c r="E89" i="29"/>
  <c r="Q89" i="29"/>
  <c r="I50" i="29"/>
  <c r="P89" i="29"/>
  <c r="U74" i="29"/>
  <c r="L89" i="29"/>
  <c r="D50" i="29"/>
  <c r="P74" i="29"/>
  <c r="M50" i="29"/>
  <c r="R74" i="29"/>
  <c r="E50" i="29"/>
  <c r="G91" i="29"/>
  <c r="F70" i="29"/>
  <c r="J50" i="29"/>
  <c r="U50" i="29"/>
  <c r="N50" i="29"/>
  <c r="Q50" i="29"/>
  <c r="Q70" i="29"/>
  <c r="J70" i="29"/>
  <c r="G50" i="29"/>
  <c r="H50" i="29"/>
  <c r="D70" i="29"/>
  <c r="C70" i="29"/>
  <c r="L50" i="29"/>
  <c r="K50" i="29"/>
  <c r="S50" i="29"/>
  <c r="T50" i="29"/>
  <c r="P70" i="29"/>
  <c r="O70" i="29"/>
  <c r="H70" i="29"/>
  <c r="M74" i="29"/>
  <c r="G68" i="29"/>
  <c r="G70" i="29" s="1"/>
  <c r="G72" i="29"/>
  <c r="G73" i="29"/>
  <c r="O74" i="29"/>
  <c r="G92" i="29"/>
  <c r="L74" i="29"/>
  <c r="E74" i="29"/>
  <c r="Q74" i="29"/>
  <c r="J74" i="29"/>
  <c r="N74" i="29"/>
  <c r="R54" i="29"/>
  <c r="C85" i="36"/>
  <c r="C84" i="36"/>
  <c r="G83" i="36"/>
  <c r="G84" i="36"/>
  <c r="D85" i="36"/>
  <c r="H82" i="36"/>
  <c r="D84" i="36"/>
  <c r="D82" i="36"/>
  <c r="G82" i="36"/>
  <c r="J83" i="36"/>
  <c r="H83" i="36"/>
  <c r="H84" i="36"/>
  <c r="J84" i="36"/>
  <c r="C86" i="36" s="1"/>
  <c r="C82" i="36"/>
  <c r="K83" i="36"/>
  <c r="K84" i="36"/>
  <c r="D86" i="36" s="1"/>
  <c r="C83" i="36"/>
  <c r="D86" i="35"/>
  <c r="H84" i="35"/>
  <c r="C84" i="35"/>
  <c r="G85" i="35"/>
  <c r="C83" i="35"/>
  <c r="H85" i="35"/>
  <c r="C86" i="35"/>
  <c r="D85" i="35"/>
  <c r="C85" i="35"/>
  <c r="J83" i="35"/>
  <c r="G84" i="35"/>
  <c r="J84" i="35"/>
  <c r="K83" i="35"/>
  <c r="J85" i="35"/>
  <c r="C87" i="35" s="1"/>
  <c r="K85" i="35"/>
  <c r="D87" i="35" s="1"/>
  <c r="K84" i="35"/>
  <c r="C86" i="32"/>
  <c r="C85" i="32"/>
  <c r="D85" i="32"/>
  <c r="H85" i="32"/>
  <c r="J84" i="32"/>
  <c r="J83" i="32"/>
  <c r="D86" i="32"/>
  <c r="D84" i="32"/>
  <c r="J85" i="32"/>
  <c r="C87" i="32" s="1"/>
  <c r="K84" i="32"/>
  <c r="K83" i="32"/>
  <c r="K85" i="32"/>
  <c r="D87" i="32" s="1"/>
  <c r="G84" i="32"/>
  <c r="H84" i="32"/>
  <c r="C84" i="32"/>
  <c r="G85" i="32"/>
  <c r="U93" i="29"/>
  <c r="S112" i="29"/>
  <c r="E112" i="29"/>
  <c r="O131" i="29"/>
  <c r="N131" i="29"/>
  <c r="P112" i="29"/>
  <c r="B131" i="29"/>
  <c r="M131" i="29"/>
  <c r="E131" i="29"/>
  <c r="H93" i="29"/>
  <c r="K93" i="29"/>
  <c r="F54" i="29"/>
  <c r="D54" i="29"/>
  <c r="I112" i="29"/>
  <c r="T54" i="29"/>
  <c r="I54" i="29"/>
  <c r="R112" i="29"/>
  <c r="C54" i="29"/>
  <c r="Q112" i="29"/>
  <c r="I93" i="29"/>
  <c r="F112" i="29"/>
  <c r="P131" i="29"/>
  <c r="Q54" i="29"/>
  <c r="B54" i="29"/>
  <c r="E54" i="29"/>
  <c r="D112" i="29"/>
  <c r="C112" i="29"/>
  <c r="J93" i="29"/>
  <c r="T112" i="29"/>
  <c r="L131" i="29"/>
  <c r="P93" i="29"/>
  <c r="G112" i="29"/>
  <c r="B112" i="29"/>
  <c r="C131" i="29"/>
  <c r="M93" i="29"/>
  <c r="G54" i="29"/>
  <c r="S54" i="29"/>
  <c r="J54" i="29"/>
  <c r="H54" i="29"/>
  <c r="O112" i="29"/>
  <c r="Q131" i="29"/>
  <c r="K54" i="29"/>
  <c r="L93" i="29"/>
  <c r="U54" i="29"/>
  <c r="U112" i="29"/>
  <c r="L54" i="29"/>
  <c r="K131" i="29"/>
  <c r="E93" i="29"/>
  <c r="H112" i="29"/>
  <c r="T93" i="29"/>
  <c r="W79" i="16"/>
  <c r="N78" i="16"/>
  <c r="I77" i="16"/>
  <c r="Q75" i="16"/>
  <c r="J131" i="29"/>
  <c r="H131" i="29"/>
  <c r="I75" i="16"/>
  <c r="N79" i="16"/>
  <c r="J78" i="16"/>
  <c r="U78" i="16"/>
  <c r="G78" i="16"/>
  <c r="J76" i="16"/>
  <c r="I76" i="16"/>
  <c r="O75" i="16"/>
  <c r="I78" i="16"/>
  <c r="J77" i="16"/>
  <c r="C92" i="27"/>
  <c r="D92" i="27"/>
  <c r="J92" i="27"/>
  <c r="J93" i="27"/>
  <c r="C95" i="27" s="1"/>
  <c r="K92" i="27"/>
  <c r="J91" i="27"/>
  <c r="K93" i="27"/>
  <c r="D95" i="27" s="1"/>
  <c r="C94" i="21"/>
  <c r="R76" i="16"/>
  <c r="Q76" i="16"/>
  <c r="U77" i="16"/>
  <c r="E79" i="16"/>
  <c r="E76" i="16"/>
  <c r="X75" i="16"/>
  <c r="V76" i="16"/>
  <c r="D75" i="16"/>
  <c r="P78" i="16"/>
  <c r="X79" i="16"/>
  <c r="X78" i="16"/>
  <c r="R78" i="16"/>
  <c r="T78" i="16"/>
  <c r="S79" i="16"/>
  <c r="S78" i="16"/>
  <c r="U76" i="16"/>
  <c r="Q77" i="16"/>
  <c r="N76" i="16"/>
  <c r="P75" i="16"/>
  <c r="D76" i="16"/>
  <c r="E75" i="16"/>
  <c r="S77" i="16"/>
  <c r="N77" i="16"/>
  <c r="K76" i="16"/>
  <c r="V77" i="16"/>
  <c r="U75" i="16"/>
  <c r="M77" i="16"/>
  <c r="M76" i="16"/>
  <c r="R77" i="16"/>
  <c r="W77" i="16"/>
  <c r="L78" i="16"/>
  <c r="S76" i="16"/>
  <c r="M78" i="16"/>
  <c r="H76" i="16"/>
  <c r="H75" i="16"/>
  <c r="O79" i="16"/>
  <c r="V79" i="16"/>
  <c r="H77" i="16"/>
  <c r="M79" i="16"/>
  <c r="E78" i="16"/>
  <c r="O76" i="16"/>
  <c r="O78" i="16"/>
  <c r="W76" i="16"/>
  <c r="J89" i="21"/>
  <c r="I117" i="37" s="1"/>
  <c r="D89" i="21"/>
  <c r="C117" i="37" s="1"/>
  <c r="L89" i="21"/>
  <c r="K117" i="37" s="1"/>
  <c r="M89" i="21"/>
  <c r="L117" i="37" s="1"/>
  <c r="N86" i="21"/>
  <c r="M60" i="37" s="1"/>
  <c r="C85" i="21"/>
  <c r="B40" i="37" s="1"/>
  <c r="D86" i="21"/>
  <c r="C60" i="37" s="1"/>
  <c r="C86" i="21"/>
  <c r="B60" i="37" s="1"/>
  <c r="Q87" i="21"/>
  <c r="P79" i="37" s="1"/>
  <c r="D88" i="21"/>
  <c r="C98" i="37" s="1"/>
  <c r="E88" i="21"/>
  <c r="D98" i="37" s="1"/>
  <c r="H87" i="21"/>
  <c r="G79" i="37" s="1"/>
  <c r="I86" i="21"/>
  <c r="H60" i="37" s="1"/>
  <c r="I87" i="21"/>
  <c r="H79" i="37" s="1"/>
  <c r="J93" i="21"/>
  <c r="J94" i="21"/>
  <c r="C96" i="21" s="1"/>
  <c r="K93" i="21"/>
  <c r="I85" i="21"/>
  <c r="H40" i="37" s="1"/>
  <c r="H89" i="21"/>
  <c r="G117" i="37" s="1"/>
  <c r="K87" i="21"/>
  <c r="J79" i="37" s="1"/>
  <c r="H86" i="21"/>
  <c r="G60" i="37" s="1"/>
  <c r="K86" i="21"/>
  <c r="J60" i="37" s="1"/>
  <c r="E87" i="21"/>
  <c r="D79" i="37" s="1"/>
  <c r="E86" i="21"/>
  <c r="D60" i="37" s="1"/>
  <c r="M86" i="21"/>
  <c r="L60" i="37" s="1"/>
  <c r="M88" i="21"/>
  <c r="L98" i="37" s="1"/>
  <c r="N87" i="21"/>
  <c r="M79" i="37" s="1"/>
  <c r="N85" i="21"/>
  <c r="M40" i="37" s="1"/>
  <c r="H84" i="16"/>
  <c r="K82" i="16"/>
  <c r="C84" i="16"/>
  <c r="D84" i="16"/>
  <c r="K83" i="16"/>
  <c r="C83" i="16"/>
  <c r="D83" i="16"/>
  <c r="J83" i="16"/>
  <c r="H82" i="16"/>
  <c r="G84" i="16"/>
  <c r="G82" i="16"/>
  <c r="H83" i="16"/>
  <c r="D85" i="16"/>
  <c r="J82" i="16"/>
  <c r="G83" i="16"/>
  <c r="C85" i="16"/>
  <c r="C83" i="32" a="1"/>
  <c r="D94" i="21" a="1"/>
  <c r="H83" i="35" a="1"/>
  <c r="K82" i="36" a="1"/>
  <c r="C95" i="21" a="1"/>
  <c r="D82" i="16" a="1"/>
  <c r="D83" i="32" a="1"/>
  <c r="K84" i="16" a="1"/>
  <c r="G83" i="35" a="1"/>
  <c r="H94" i="21" a="1"/>
  <c r="G92" i="21" a="1"/>
  <c r="G83" i="32" a="1"/>
  <c r="J84" i="16" a="1"/>
  <c r="H92" i="27" a="1"/>
  <c r="H93" i="21" a="1"/>
  <c r="C93" i="21" a="1"/>
  <c r="G93" i="21" a="1"/>
  <c r="H91" i="27" a="1"/>
  <c r="D95" i="21" a="1"/>
  <c r="D94" i="27" a="1"/>
  <c r="J82" i="36" a="1"/>
  <c r="G94" i="21" a="1"/>
  <c r="C82" i="16" a="1"/>
  <c r="D92" i="21" a="1"/>
  <c r="C92" i="21" a="1"/>
  <c r="G93" i="27" a="1"/>
  <c r="K92" i="21" a="1"/>
  <c r="D93" i="21" a="1"/>
  <c r="H92" i="21" a="1"/>
  <c r="H93" i="27" a="1"/>
  <c r="G92" i="27" a="1"/>
  <c r="H83" i="32" a="1"/>
  <c r="C94" i="27" a="1"/>
  <c r="J92" i="21" a="1"/>
  <c r="G91" i="27" a="1"/>
  <c r="K94" i="21" a="1"/>
  <c r="L70" i="37" l="1"/>
  <c r="L73" i="37"/>
  <c r="L72" i="37"/>
  <c r="L74" i="37" s="1"/>
  <c r="M73" i="37"/>
  <c r="M72" i="37"/>
  <c r="M74" i="37" s="1"/>
  <c r="M70" i="37"/>
  <c r="M48" i="37"/>
  <c r="M50" i="37" s="1"/>
  <c r="M53" i="37"/>
  <c r="M52" i="37"/>
  <c r="M54" i="37" s="1"/>
  <c r="L129" i="37"/>
  <c r="L127" i="37"/>
  <c r="L130" i="37"/>
  <c r="M92" i="37"/>
  <c r="M91" i="37"/>
  <c r="M89" i="37"/>
  <c r="K127" i="37"/>
  <c r="K130" i="37"/>
  <c r="K129" i="37"/>
  <c r="K131" i="37" s="1"/>
  <c r="L111" i="37"/>
  <c r="L108" i="37"/>
  <c r="L110" i="37"/>
  <c r="L112" i="37" s="1"/>
  <c r="C127" i="37"/>
  <c r="C129" i="37"/>
  <c r="C130" i="37"/>
  <c r="C131" i="37" s="1"/>
  <c r="H73" i="37"/>
  <c r="H70" i="37"/>
  <c r="H72" i="37"/>
  <c r="I130" i="37"/>
  <c r="I127" i="37"/>
  <c r="I129" i="37"/>
  <c r="I131" i="37" s="1"/>
  <c r="D73" i="37"/>
  <c r="D70" i="37"/>
  <c r="D72" i="37"/>
  <c r="D74" i="37" s="1"/>
  <c r="G91" i="37"/>
  <c r="G89" i="37"/>
  <c r="G92" i="37"/>
  <c r="F131" i="37"/>
  <c r="D92" i="37"/>
  <c r="D91" i="37"/>
  <c r="D93" i="37" s="1"/>
  <c r="D89" i="37"/>
  <c r="D110" i="37"/>
  <c r="D108" i="37"/>
  <c r="D111" i="37"/>
  <c r="J72" i="37"/>
  <c r="J70" i="37"/>
  <c r="J73" i="37"/>
  <c r="C110" i="37"/>
  <c r="C111" i="37"/>
  <c r="C108" i="37"/>
  <c r="B72" i="37"/>
  <c r="B68" i="37"/>
  <c r="B70" i="37" s="1"/>
  <c r="B73" i="37"/>
  <c r="H91" i="37"/>
  <c r="H92" i="37"/>
  <c r="H89" i="37"/>
  <c r="G72" i="37"/>
  <c r="G70" i="37"/>
  <c r="G73" i="37"/>
  <c r="G74" i="37" s="1"/>
  <c r="P92" i="37"/>
  <c r="P91" i="37"/>
  <c r="P93" i="37" s="1"/>
  <c r="P89" i="37"/>
  <c r="C93" i="37"/>
  <c r="J89" i="37"/>
  <c r="J92" i="37"/>
  <c r="J91" i="37"/>
  <c r="J93" i="37" s="1"/>
  <c r="G130" i="37"/>
  <c r="G127" i="37"/>
  <c r="G129" i="37"/>
  <c r="G131" i="37" s="1"/>
  <c r="C72" i="37"/>
  <c r="C70" i="37"/>
  <c r="C73" i="37"/>
  <c r="H112" i="37"/>
  <c r="H48" i="37"/>
  <c r="H50" i="37" s="1"/>
  <c r="H53" i="37"/>
  <c r="H52" i="37"/>
  <c r="H54" i="37" s="1"/>
  <c r="B53" i="37"/>
  <c r="B52" i="37"/>
  <c r="B54" i="37" s="1"/>
  <c r="B48" i="37"/>
  <c r="B50" i="37" s="1"/>
  <c r="R54" i="37"/>
  <c r="G74" i="29"/>
  <c r="R93" i="29"/>
  <c r="G131" i="29"/>
  <c r="K82" i="36"/>
  <c r="J82" i="36"/>
  <c r="A84" i="36"/>
  <c r="A86" i="36"/>
  <c r="A85" i="36"/>
  <c r="A86" i="35"/>
  <c r="H83" i="35"/>
  <c r="G83" i="35"/>
  <c r="A85" i="35"/>
  <c r="A87" i="35"/>
  <c r="C83" i="32"/>
  <c r="D83" i="32"/>
  <c r="H83" i="32"/>
  <c r="G83" i="32"/>
  <c r="T131" i="29"/>
  <c r="O93" i="29"/>
  <c r="B93" i="29"/>
  <c r="I131" i="29"/>
  <c r="Q93" i="29"/>
  <c r="U131" i="29"/>
  <c r="N93" i="29"/>
  <c r="J112" i="29"/>
  <c r="S131" i="29"/>
  <c r="P54" i="29"/>
  <c r="F131" i="29"/>
  <c r="C93" i="29"/>
  <c r="S93" i="29"/>
  <c r="F93" i="29"/>
  <c r="D131" i="29"/>
  <c r="N54" i="29"/>
  <c r="O54" i="29"/>
  <c r="M54" i="29"/>
  <c r="R131" i="29"/>
  <c r="M112" i="29"/>
  <c r="N112" i="29"/>
  <c r="J84" i="16"/>
  <c r="C86" i="16" s="1"/>
  <c r="K84" i="16"/>
  <c r="D86" i="16" s="1"/>
  <c r="L112" i="29"/>
  <c r="G93" i="29"/>
  <c r="K112" i="29"/>
  <c r="D93" i="29"/>
  <c r="A93" i="27"/>
  <c r="H93" i="27"/>
  <c r="H91" i="27"/>
  <c r="D94" i="27"/>
  <c r="G92" i="27"/>
  <c r="G91" i="27"/>
  <c r="H92" i="27"/>
  <c r="C94" i="27"/>
  <c r="G93" i="27"/>
  <c r="A95" i="27"/>
  <c r="K94" i="21"/>
  <c r="D96" i="21" s="1"/>
  <c r="G92" i="21"/>
  <c r="C93" i="21"/>
  <c r="D92" i="21"/>
  <c r="D93" i="21"/>
  <c r="G94" i="21"/>
  <c r="H92" i="21"/>
  <c r="H94" i="21"/>
  <c r="D94" i="21"/>
  <c r="C92" i="21"/>
  <c r="G93" i="21"/>
  <c r="C95" i="21"/>
  <c r="J92" i="21"/>
  <c r="D95" i="21"/>
  <c r="K92" i="21"/>
  <c r="H93" i="21"/>
  <c r="C82" i="16"/>
  <c r="D82" i="16"/>
  <c r="G93" i="37" l="1"/>
  <c r="L131" i="37"/>
  <c r="C74" i="37"/>
  <c r="D112" i="37"/>
  <c r="H74" i="37"/>
  <c r="C112" i="37"/>
  <c r="J74" i="37"/>
  <c r="H93" i="37"/>
  <c r="B74" i="37"/>
  <c r="M93" i="37"/>
  <c r="A85" i="32"/>
  <c r="A87" i="32"/>
  <c r="A86" i="32"/>
  <c r="A94" i="27"/>
  <c r="A96" i="21"/>
  <c r="A94" i="21"/>
  <c r="A95" i="21"/>
  <c r="A86" i="16"/>
  <c r="A84" i="16"/>
  <c r="A85" i="16"/>
  <c r="CE6" i="8" l="1"/>
  <c r="CF6" i="8"/>
  <c r="CG6" i="8"/>
  <c r="CH6" i="8"/>
  <c r="CI6" i="8"/>
  <c r="CJ6" i="8"/>
  <c r="CK6" i="8"/>
  <c r="BX6" i="8"/>
  <c r="BY6" i="8"/>
  <c r="BZ6" i="8"/>
  <c r="CA6" i="8"/>
  <c r="CB6" i="8"/>
  <c r="CC6" i="8"/>
  <c r="CD6" i="8"/>
  <c r="CN51" i="8"/>
  <c r="CU51" i="8" s="1"/>
  <c r="CN50" i="8"/>
  <c r="CO50" i="8" s="1"/>
  <c r="BV51" i="8"/>
  <c r="CC51" i="8" s="1"/>
  <c r="BV50" i="8"/>
  <c r="CC50" i="8" s="1"/>
  <c r="BD51" i="8"/>
  <c r="BE51" i="8" s="1"/>
  <c r="BD50" i="8"/>
  <c r="AQ51" i="8"/>
  <c r="AX51" i="8" s="1"/>
  <c r="AQ50" i="8"/>
  <c r="AR50" i="8" s="1"/>
  <c r="Y51" i="8"/>
  <c r="Y50" i="8"/>
  <c r="BH51" i="8"/>
  <c r="BK51" i="8"/>
  <c r="BK50" i="8"/>
  <c r="BH50" i="8"/>
  <c r="BE50" i="8"/>
  <c r="Z50" i="8"/>
  <c r="A51" i="8"/>
  <c r="A50" i="8"/>
  <c r="B50" i="8" s="1"/>
  <c r="DC7" i="8"/>
  <c r="DC6" i="8"/>
  <c r="DC5" i="8"/>
  <c r="DC4" i="8"/>
  <c r="DC3" i="8"/>
  <c r="DB7" i="8"/>
  <c r="DA7" i="8"/>
  <c r="CZ7" i="8"/>
  <c r="CY7" i="8"/>
  <c r="CX7" i="8"/>
  <c r="CW7" i="8"/>
  <c r="CV7" i="8"/>
  <c r="CU7" i="8"/>
  <c r="CT7" i="8"/>
  <c r="CS7" i="8"/>
  <c r="CR7" i="8"/>
  <c r="CQ7" i="8"/>
  <c r="CP7" i="8"/>
  <c r="DB6" i="8"/>
  <c r="DA6" i="8"/>
  <c r="CZ6" i="8"/>
  <c r="CY6" i="8"/>
  <c r="CX6" i="8"/>
  <c r="CW6" i="8"/>
  <c r="CV6" i="8"/>
  <c r="CU6" i="8"/>
  <c r="CT6" i="8"/>
  <c r="CS6" i="8"/>
  <c r="CR6" i="8"/>
  <c r="CQ6" i="8"/>
  <c r="CP6" i="8"/>
  <c r="DB5" i="8"/>
  <c r="DA5" i="8"/>
  <c r="CZ5" i="8"/>
  <c r="CY5" i="8"/>
  <c r="CX5" i="8"/>
  <c r="CW5" i="8"/>
  <c r="CV5" i="8"/>
  <c r="CU5" i="8"/>
  <c r="CT5" i="8"/>
  <c r="CS5" i="8"/>
  <c r="CR5" i="8"/>
  <c r="CQ5" i="8"/>
  <c r="CP5" i="8"/>
  <c r="DB4" i="8"/>
  <c r="DA4" i="8"/>
  <c r="CZ4" i="8"/>
  <c r="CY4" i="8"/>
  <c r="CX4" i="8"/>
  <c r="CW4" i="8"/>
  <c r="CV4" i="8"/>
  <c r="CU4" i="8"/>
  <c r="CT4" i="8"/>
  <c r="CS4" i="8"/>
  <c r="CR4" i="8"/>
  <c r="CQ4" i="8"/>
  <c r="CP4" i="8"/>
  <c r="DB3" i="8"/>
  <c r="DA3" i="8"/>
  <c r="CZ3" i="8"/>
  <c r="CY3" i="8"/>
  <c r="CX3" i="8"/>
  <c r="CW3" i="8"/>
  <c r="CV3" i="8"/>
  <c r="CU3" i="8"/>
  <c r="CT3" i="8"/>
  <c r="CS3" i="8"/>
  <c r="CR3" i="8"/>
  <c r="CQ3" i="8"/>
  <c r="CP3" i="8"/>
  <c r="BX3" i="8"/>
  <c r="BY3" i="8"/>
  <c r="BZ3" i="8"/>
  <c r="CA3" i="8"/>
  <c r="CB3" i="8"/>
  <c r="CC3" i="8"/>
  <c r="CD3" i="8"/>
  <c r="CE3" i="8"/>
  <c r="CF3" i="8"/>
  <c r="CG3" i="8"/>
  <c r="CH3" i="8"/>
  <c r="CI3" i="8"/>
  <c r="CJ3" i="8"/>
  <c r="BX4" i="8"/>
  <c r="BY4" i="8"/>
  <c r="BZ4" i="8"/>
  <c r="CA4" i="8"/>
  <c r="CB4" i="8"/>
  <c r="CC4" i="8"/>
  <c r="CD4" i="8"/>
  <c r="CE4" i="8"/>
  <c r="CF4" i="8"/>
  <c r="CG4" i="8"/>
  <c r="CH4" i="8"/>
  <c r="CI4" i="8"/>
  <c r="CJ4" i="8"/>
  <c r="BX5" i="8"/>
  <c r="BY5" i="8"/>
  <c r="BZ5" i="8"/>
  <c r="CA5" i="8"/>
  <c r="CB5" i="8"/>
  <c r="CC5" i="8"/>
  <c r="CD5" i="8"/>
  <c r="CE5" i="8"/>
  <c r="CF5" i="8"/>
  <c r="CG5" i="8"/>
  <c r="CH5" i="8"/>
  <c r="CI5" i="8"/>
  <c r="CJ5" i="8"/>
  <c r="BX7" i="8"/>
  <c r="BY7" i="8"/>
  <c r="BZ7" i="8"/>
  <c r="CA7" i="8"/>
  <c r="CB7" i="8"/>
  <c r="CC7" i="8"/>
  <c r="CD7" i="8"/>
  <c r="CE7" i="8"/>
  <c r="CF7" i="8"/>
  <c r="CG7" i="8"/>
  <c r="CH7" i="8"/>
  <c r="CI7" i="8"/>
  <c r="CJ7" i="8"/>
  <c r="CK7" i="8"/>
  <c r="CK5" i="8"/>
  <c r="CK4" i="8"/>
  <c r="CK3" i="8"/>
  <c r="BF3" i="8"/>
  <c r="BG3" i="8"/>
  <c r="BH3" i="8"/>
  <c r="BI3" i="8"/>
  <c r="BJ3" i="8"/>
  <c r="BK3" i="8"/>
  <c r="BL3" i="8"/>
  <c r="BM3" i="8"/>
  <c r="BN3" i="8"/>
  <c r="BO3" i="8"/>
  <c r="BP3" i="8"/>
  <c r="BQ3" i="8"/>
  <c r="BR3" i="8"/>
  <c r="BF4" i="8"/>
  <c r="BG4" i="8"/>
  <c r="BH4" i="8"/>
  <c r="BI4" i="8"/>
  <c r="BJ4" i="8"/>
  <c r="BK4" i="8"/>
  <c r="BL4" i="8"/>
  <c r="BM4" i="8"/>
  <c r="BN4" i="8"/>
  <c r="BO4" i="8"/>
  <c r="BP4" i="8"/>
  <c r="BQ4" i="8"/>
  <c r="BR4" i="8"/>
  <c r="BF5" i="8"/>
  <c r="BG5" i="8"/>
  <c r="BH5" i="8"/>
  <c r="BI5" i="8"/>
  <c r="BJ5" i="8"/>
  <c r="BK5" i="8"/>
  <c r="BL5" i="8"/>
  <c r="BM5" i="8"/>
  <c r="BN5" i="8"/>
  <c r="BO5" i="8"/>
  <c r="BP5" i="8"/>
  <c r="BQ5" i="8"/>
  <c r="BR5" i="8"/>
  <c r="BF6" i="8"/>
  <c r="BG6" i="8"/>
  <c r="BH6" i="8"/>
  <c r="BI6" i="8"/>
  <c r="BJ6" i="8"/>
  <c r="BK6" i="8"/>
  <c r="BL6" i="8"/>
  <c r="BM6" i="8"/>
  <c r="BN6" i="8"/>
  <c r="BO6" i="8"/>
  <c r="BP6" i="8"/>
  <c r="BQ6" i="8"/>
  <c r="BR6" i="8"/>
  <c r="BF7" i="8"/>
  <c r="BG7" i="8"/>
  <c r="BH7" i="8"/>
  <c r="BI7" i="8"/>
  <c r="BJ7" i="8"/>
  <c r="BK7" i="8"/>
  <c r="BL7" i="8"/>
  <c r="BM7" i="8"/>
  <c r="BN7" i="8"/>
  <c r="BO7" i="8"/>
  <c r="BP7" i="8"/>
  <c r="BQ7" i="8"/>
  <c r="BR7" i="8"/>
  <c r="BS5" i="8"/>
  <c r="BS4" i="8"/>
  <c r="BS3" i="8"/>
  <c r="BS6" i="8"/>
  <c r="BS7" i="8"/>
  <c r="AT5" i="8"/>
  <c r="AS5" i="8"/>
  <c r="AT4" i="8"/>
  <c r="AS4" i="8"/>
  <c r="AT3" i="8"/>
  <c r="AS3" i="8"/>
  <c r="AA5" i="8"/>
  <c r="AB5" i="8"/>
  <c r="AC5" i="8"/>
  <c r="AD5" i="8"/>
  <c r="AE5" i="8"/>
  <c r="AF5" i="8"/>
  <c r="AG5" i="8"/>
  <c r="AH5" i="8"/>
  <c r="AI5" i="8"/>
  <c r="AJ5" i="8"/>
  <c r="AK5" i="8"/>
  <c r="AL5" i="8"/>
  <c r="AM5" i="8"/>
  <c r="AN5" i="8"/>
  <c r="AB4" i="8"/>
  <c r="AC4" i="8"/>
  <c r="AD4" i="8"/>
  <c r="AE4" i="8"/>
  <c r="AF4" i="8"/>
  <c r="AG4" i="8"/>
  <c r="AH4" i="8"/>
  <c r="AI4" i="8"/>
  <c r="AJ4" i="8"/>
  <c r="AK4" i="8"/>
  <c r="AL4" i="8"/>
  <c r="AM4" i="8"/>
  <c r="AN4" i="8"/>
  <c r="AA4" i="8"/>
  <c r="AB3" i="8"/>
  <c r="AC3" i="8"/>
  <c r="AD3" i="8"/>
  <c r="AE3" i="8"/>
  <c r="AF3" i="8"/>
  <c r="AG3" i="8"/>
  <c r="AH3" i="8"/>
  <c r="AI3" i="8"/>
  <c r="AJ3" i="8"/>
  <c r="AK3" i="8"/>
  <c r="AL3" i="8"/>
  <c r="AM3" i="8"/>
  <c r="AN3" i="8"/>
  <c r="AA3" i="8"/>
  <c r="CW51" i="8" a="1"/>
  <c r="BI50" i="8" a="1"/>
  <c r="CE50" i="8" a="1"/>
  <c r="C50" i="8" a="1"/>
  <c r="CV51" i="8" a="1"/>
  <c r="AB50" i="8" a="1"/>
  <c r="BG52" i="8" a="1"/>
  <c r="AA50" i="8" a="1"/>
  <c r="BJ51" i="8" a="1"/>
  <c r="CQ50" i="8" a="1"/>
  <c r="BM50" i="8" a="1"/>
  <c r="BW50" i="8" l="1"/>
  <c r="BZ50" i="8"/>
  <c r="CR50" i="8"/>
  <c r="CU50" i="8"/>
  <c r="AD50" i="8"/>
  <c r="AG50" i="8"/>
  <c r="AD51" i="8"/>
  <c r="AG51" i="8"/>
  <c r="CO51" i="8"/>
  <c r="CR51" i="8"/>
  <c r="AB50" i="8"/>
  <c r="AA50" i="8"/>
  <c r="C50" i="8"/>
  <c r="CV51" i="8"/>
  <c r="CQ50" i="8"/>
  <c r="CW51" i="8"/>
  <c r="CE50" i="8"/>
  <c r="BW51" i="8"/>
  <c r="BZ51" i="8"/>
  <c r="BI50" i="8"/>
  <c r="BM50" i="8"/>
  <c r="BG52" i="8"/>
  <c r="BJ51" i="8"/>
  <c r="Z51" i="8"/>
  <c r="AX50" i="8"/>
  <c r="AR51" i="8"/>
  <c r="AU50" i="8"/>
  <c r="AU51" i="8"/>
  <c r="B62" i="8"/>
  <c r="D43" i="8"/>
  <c r="E43" i="8"/>
  <c r="F43" i="8"/>
  <c r="G43" i="8"/>
  <c r="H43" i="8"/>
  <c r="I43" i="8"/>
  <c r="J43" i="8"/>
  <c r="K43" i="8"/>
  <c r="L43" i="8"/>
  <c r="M43" i="8"/>
  <c r="N43" i="8"/>
  <c r="O43" i="8"/>
  <c r="P43" i="8"/>
  <c r="Q43" i="8"/>
  <c r="R43" i="8"/>
  <c r="S43" i="8"/>
  <c r="T43" i="8"/>
  <c r="U43" i="8"/>
  <c r="V43" i="8"/>
  <c r="D44" i="8"/>
  <c r="E44" i="8"/>
  <c r="F44" i="8"/>
  <c r="G44" i="8"/>
  <c r="H44" i="8"/>
  <c r="I44" i="8"/>
  <c r="J44" i="8"/>
  <c r="K44" i="8"/>
  <c r="L44" i="8"/>
  <c r="M44" i="8"/>
  <c r="N44" i="8"/>
  <c r="O44" i="8"/>
  <c r="P44" i="8"/>
  <c r="Q44" i="8"/>
  <c r="R44" i="8"/>
  <c r="S44" i="8"/>
  <c r="T44" i="8"/>
  <c r="U44" i="8"/>
  <c r="V44" i="8"/>
  <c r="D45" i="8"/>
  <c r="E45" i="8"/>
  <c r="F45" i="8"/>
  <c r="G45" i="8"/>
  <c r="H45" i="8"/>
  <c r="I45" i="8"/>
  <c r="J45" i="8"/>
  <c r="K45" i="8"/>
  <c r="L45" i="8"/>
  <c r="M45" i="8"/>
  <c r="N45" i="8"/>
  <c r="O45" i="8"/>
  <c r="P45" i="8"/>
  <c r="Q45" i="8"/>
  <c r="R45" i="8"/>
  <c r="S45" i="8"/>
  <c r="T45" i="8"/>
  <c r="U45" i="8"/>
  <c r="V45" i="8"/>
  <c r="D46" i="8"/>
  <c r="E46" i="8"/>
  <c r="F46" i="8"/>
  <c r="G46" i="8"/>
  <c r="H46" i="8"/>
  <c r="I46" i="8"/>
  <c r="J46" i="8"/>
  <c r="K46" i="8"/>
  <c r="L46" i="8"/>
  <c r="M46" i="8"/>
  <c r="N46" i="8"/>
  <c r="O46" i="8"/>
  <c r="P46" i="8"/>
  <c r="Q46" i="8"/>
  <c r="R46" i="8"/>
  <c r="S46" i="8"/>
  <c r="T46" i="8"/>
  <c r="U46" i="8"/>
  <c r="V46" i="8"/>
  <c r="D47" i="8"/>
  <c r="E47" i="8"/>
  <c r="F47" i="8"/>
  <c r="G47" i="8"/>
  <c r="H47" i="8"/>
  <c r="I47" i="8"/>
  <c r="J47" i="8"/>
  <c r="K47" i="8"/>
  <c r="L47" i="8"/>
  <c r="M47" i="8"/>
  <c r="N47" i="8"/>
  <c r="O47" i="8"/>
  <c r="P47" i="8"/>
  <c r="Q47" i="8"/>
  <c r="R47" i="8"/>
  <c r="S47" i="8"/>
  <c r="T47" i="8"/>
  <c r="U47" i="8"/>
  <c r="V47" i="8"/>
  <c r="C44" i="8"/>
  <c r="C45" i="8"/>
  <c r="C46" i="8"/>
  <c r="C47" i="8"/>
  <c r="E62" i="8"/>
  <c r="F51" i="8"/>
  <c r="CW52" i="8" a="1"/>
  <c r="BF51" i="8" a="1"/>
  <c r="AS50" i="8" a="1"/>
  <c r="AS53" i="8" a="1"/>
  <c r="H51" i="8" a="1"/>
  <c r="CS50" i="8" a="1"/>
  <c r="CE52" i="8" a="1"/>
  <c r="AV51" i="8" a="1"/>
  <c r="BL52" i="8" a="1"/>
  <c r="AW50" i="8" a="1"/>
  <c r="BF53" i="8" a="1"/>
  <c r="CD52" i="8" a="1"/>
  <c r="BI51" i="8" a="1"/>
  <c r="BY50" i="8" a="1"/>
  <c r="AE50" i="8" a="1"/>
  <c r="AT50" i="8" a="1"/>
  <c r="AF51" i="8" a="1"/>
  <c r="CT51" i="8" a="1"/>
  <c r="AY50" i="8" a="1"/>
  <c r="CS51" i="8" a="1"/>
  <c r="AT52" i="8" a="1"/>
  <c r="AH50" i="8" a="1"/>
  <c r="AE51" i="8" a="1"/>
  <c r="CS52" i="8" a="1"/>
  <c r="AT51" i="8" a="1"/>
  <c r="AI51" i="8" a="1"/>
  <c r="AY51" i="8" a="1"/>
  <c r="CW50" i="8" a="1"/>
  <c r="BM52" i="8" a="1"/>
  <c r="CA50" i="8" a="1"/>
  <c r="BF50" i="8" a="1"/>
  <c r="AE52" i="8" a="1"/>
  <c r="AS52" i="8" a="1"/>
  <c r="AA52" i="8" a="1"/>
  <c r="BL51" i="8" a="1"/>
  <c r="AH51" i="8" a="1"/>
  <c r="CP53" i="8" a="1"/>
  <c r="CP51" i="8" a="1"/>
  <c r="AZ51" i="8" a="1"/>
  <c r="CD50" i="8" a="1"/>
  <c r="BI52" i="8" a="1"/>
  <c r="AW51" i="8" a="1"/>
  <c r="AS51" i="8" a="1"/>
  <c r="CV50" i="8" a="1"/>
  <c r="CE51" i="8" a="1"/>
  <c r="CP50" i="8" a="1"/>
  <c r="BF52" i="8" a="1"/>
  <c r="AA53" i="8" a="1"/>
  <c r="AZ50" i="8" a="1"/>
  <c r="CT50" i="8" a="1"/>
  <c r="AI50" i="8" a="1"/>
  <c r="AB52" i="8" a="1"/>
  <c r="AF50" i="8" a="1"/>
  <c r="CP52" i="8" a="1"/>
  <c r="AB51" i="8" a="1"/>
  <c r="CT52" i="8" a="1"/>
  <c r="CQ52" i="8" a="1"/>
  <c r="BG51" i="8" a="1"/>
  <c r="BJ52" i="8" a="1"/>
  <c r="AA51" i="8" a="1"/>
  <c r="AW52" i="8" a="1"/>
  <c r="BM51" i="8" a="1"/>
  <c r="BX50" i="8" a="1"/>
  <c r="G51" i="8" a="1"/>
  <c r="CQ53" i="8" a="1"/>
  <c r="AZ52" i="8" a="1"/>
  <c r="CB50" i="8" a="1"/>
  <c r="AI52" i="8" a="1"/>
  <c r="AH52" i="8" a="1"/>
  <c r="BG50" i="8" a="1"/>
  <c r="AV50" i="8" a="1"/>
  <c r="AF52" i="8" a="1"/>
  <c r="CD51" i="8" a="1"/>
  <c r="AV52" i="8" a="1"/>
  <c r="BG53" i="8" a="1"/>
  <c r="AT53" i="8" a="1"/>
  <c r="D50" i="8" a="1"/>
  <c r="BJ50" i="8" a="1"/>
  <c r="BL50" i="8" a="1"/>
  <c r="CV52" i="8" a="1"/>
  <c r="AB53" i="8" a="1"/>
  <c r="AY52" i="8" a="1"/>
  <c r="CQ51" i="8" a="1"/>
  <c r="AI50" i="8" l="1"/>
  <c r="AH50" i="8"/>
  <c r="AE50" i="8"/>
  <c r="AF50" i="8"/>
  <c r="CV52" i="8"/>
  <c r="CP54" i="8" s="1"/>
  <c r="CW52" i="8"/>
  <c r="CQ54" i="8" s="1"/>
  <c r="CW50" i="8"/>
  <c r="CT50" i="8"/>
  <c r="CA50" i="8"/>
  <c r="CP52" i="8"/>
  <c r="AH51" i="8"/>
  <c r="AI51" i="8"/>
  <c r="AI52" i="8"/>
  <c r="AB54" i="8" s="1"/>
  <c r="AH52" i="8"/>
  <c r="AA54" i="8" s="1"/>
  <c r="CT51" i="8"/>
  <c r="AA53" i="8"/>
  <c r="AE52" i="8"/>
  <c r="AE51" i="8"/>
  <c r="AF51" i="8"/>
  <c r="AF52" i="8"/>
  <c r="AB53" i="8"/>
  <c r="AB51" i="8"/>
  <c r="AA51" i="8"/>
  <c r="AB52" i="8"/>
  <c r="AA52" i="8"/>
  <c r="G51" i="8"/>
  <c r="CS51" i="8"/>
  <c r="CT52" i="8"/>
  <c r="CV50" i="8"/>
  <c r="CQ52" i="8"/>
  <c r="CP53" i="8"/>
  <c r="CS52" i="8"/>
  <c r="CP50" i="8"/>
  <c r="CQ51" i="8"/>
  <c r="CS50" i="8"/>
  <c r="CP51" i="8"/>
  <c r="CQ53" i="8"/>
  <c r="CD52" i="8"/>
  <c r="BX54" i="8" s="1"/>
  <c r="CD50" i="8"/>
  <c r="CB50" i="8"/>
  <c r="CD51" i="8"/>
  <c r="CE51" i="8"/>
  <c r="CE52" i="8"/>
  <c r="BY54" i="8" s="1"/>
  <c r="BY50" i="8"/>
  <c r="BX50" i="8"/>
  <c r="BJ50" i="8"/>
  <c r="BF51" i="8"/>
  <c r="BL52" i="8"/>
  <c r="BF54" i="8" s="1"/>
  <c r="BM52" i="8"/>
  <c r="BG54" i="8" s="1"/>
  <c r="BL51" i="8"/>
  <c r="BF50" i="8"/>
  <c r="BG53" i="8"/>
  <c r="BM51" i="8"/>
  <c r="BI51" i="8"/>
  <c r="BG51" i="8"/>
  <c r="BJ52" i="8"/>
  <c r="BI52" i="8"/>
  <c r="BG50" i="8"/>
  <c r="BL50" i="8"/>
  <c r="BF53" i="8"/>
  <c r="BF52" i="8"/>
  <c r="AZ50" i="8"/>
  <c r="AT52" i="8"/>
  <c r="AS53" i="8"/>
  <c r="AW50" i="8"/>
  <c r="AV50" i="8"/>
  <c r="AS50" i="8"/>
  <c r="AW52" i="8"/>
  <c r="AV52" i="8"/>
  <c r="AW51" i="8"/>
  <c r="AT53" i="8"/>
  <c r="AS51" i="8"/>
  <c r="AT50" i="8"/>
  <c r="AY52" i="8"/>
  <c r="AS54" i="8" s="1"/>
  <c r="AZ51" i="8"/>
  <c r="AZ52" i="8"/>
  <c r="AT54" i="8" s="1"/>
  <c r="AY51" i="8"/>
  <c r="AY50" i="8"/>
  <c r="AV51" i="8"/>
  <c r="AS52" i="8"/>
  <c r="AT51" i="8"/>
  <c r="I50" i="8"/>
  <c r="I51" i="8"/>
  <c r="B51" i="8"/>
  <c r="F50" i="8"/>
  <c r="H51" i="8"/>
  <c r="D50" i="8"/>
  <c r="C52" i="8" a="1"/>
  <c r="D53" i="8" a="1"/>
  <c r="CB52" i="8" a="1"/>
  <c r="BY52" i="8" a="1"/>
  <c r="CA52" i="8" a="1"/>
  <c r="D52" i="8" a="1"/>
  <c r="J52" i="8" a="1"/>
  <c r="D51" i="8" a="1"/>
  <c r="BY53" i="8" a="1"/>
  <c r="K52" i="8" a="1"/>
  <c r="G52" i="8" a="1"/>
  <c r="CA51" i="8" a="1"/>
  <c r="BX51" i="8" a="1"/>
  <c r="BX53" i="8" a="1"/>
  <c r="BY51" i="8" a="1"/>
  <c r="K50" i="8" a="1"/>
  <c r="J50" i="8" a="1"/>
  <c r="C51" i="8" a="1"/>
  <c r="G50" i="8" a="1"/>
  <c r="BX52" i="8" a="1"/>
  <c r="C53" i="8" a="1"/>
  <c r="CB51" i="8" a="1"/>
  <c r="K51" i="8" a="1"/>
  <c r="H52" i="8" a="1"/>
  <c r="J51" i="8" a="1"/>
  <c r="D52" i="8" l="1"/>
  <c r="C52" i="8"/>
  <c r="C51" i="8"/>
  <c r="J51" i="8"/>
  <c r="K51" i="8"/>
  <c r="G52" i="8"/>
  <c r="G50" i="8"/>
  <c r="H52" i="8"/>
  <c r="C53" i="8"/>
  <c r="D53" i="8"/>
  <c r="K52" i="8"/>
  <c r="D54" i="8" s="1"/>
  <c r="K50" i="8"/>
  <c r="J52" i="8"/>
  <c r="J50" i="8"/>
  <c r="CN54" i="8"/>
  <c r="CN52" i="8"/>
  <c r="CN53" i="8"/>
  <c r="CB52" i="8"/>
  <c r="BY51" i="8"/>
  <c r="BX52" i="8"/>
  <c r="BY52" i="8"/>
  <c r="BX51" i="8"/>
  <c r="BX53" i="8"/>
  <c r="CA51" i="8"/>
  <c r="BY53" i="8"/>
  <c r="CB51" i="8"/>
  <c r="CA52" i="8"/>
  <c r="BD52" i="8"/>
  <c r="BD53" i="8"/>
  <c r="BD54" i="8"/>
  <c r="AQ53" i="8"/>
  <c r="AQ54" i="8"/>
  <c r="AQ52" i="8"/>
  <c r="Y52" i="8"/>
  <c r="Y54" i="8"/>
  <c r="B12" i="11" s="1"/>
  <c r="Y53" i="8"/>
  <c r="D51" i="8"/>
  <c r="H50" i="8" a="1"/>
  <c r="H50" i="8" l="1"/>
  <c r="A53" i="8"/>
  <c r="C54" i="8"/>
  <c r="BV54" i="8"/>
  <c r="B10" i="11"/>
  <c r="BV53" i="8"/>
  <c r="BV52" i="8"/>
  <c r="A52" i="8" l="1"/>
  <c r="B18" i="3" s="1"/>
  <c r="A54" i="8"/>
  <c r="G90" i="36" s="1"/>
  <c r="G91" i="32" l="1"/>
  <c r="G91" i="35"/>
  <c r="G99" i="27"/>
  <c r="G100" i="21"/>
  <c r="B19" i="3"/>
  <c r="G90" i="16"/>
  <c r="G58" i="8"/>
  <c r="B1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JumpStart</author>
  </authors>
  <commentList>
    <comment ref="Q3" authorId="0" shapeId="0" xr:uid="{67450411-F23B-4001-AE3C-7C3ABAB88307}">
      <text>
        <r>
          <rPr>
            <b/>
            <sz val="9"/>
            <color indexed="81"/>
            <rFont val="Segoe UI"/>
            <family val="2"/>
          </rPr>
          <t>JumpStart:</t>
        </r>
        <r>
          <rPr>
            <sz val="9"/>
            <color indexed="81"/>
            <rFont val="Segoe UI"/>
            <family val="2"/>
          </rPr>
          <t xml:space="preserve">
Für 2-Säulen Radiatoren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tc={0CDC0D82-9328-44D9-8DEC-37AD79A3D00F}</author>
  </authors>
  <commentList>
    <comment ref="B26" authorId="0" shapeId="0" xr:uid="{0CDC0D82-9328-44D9-8DEC-37AD79A3D00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Ev. wären zwei Formeln je nach Grösse (&lt;1000 und ≥1000) präziser.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JumpStart</author>
  </authors>
  <commentList>
    <comment ref="D2" authorId="0" shapeId="0" xr:uid="{8B7E7BA7-1FD2-46CD-AC4A-8932A4E8D6D2}">
      <text>
        <r>
          <rPr>
            <b/>
            <sz val="9"/>
            <color indexed="81"/>
            <rFont val="Segoe UI"/>
            <family val="2"/>
          </rPr>
          <t>JumpStart:</t>
        </r>
        <r>
          <rPr>
            <sz val="9"/>
            <color indexed="81"/>
            <rFont val="Segoe UI"/>
            <family val="2"/>
          </rPr>
          <t xml:space="preserve">
Realer Wert für Radiatoren mit 2 Säulen</t>
        </r>
      </text>
    </comment>
    <comment ref="D11" authorId="0" shapeId="0" xr:uid="{9C08B91C-0CEA-44E8-A146-3F50E4BFCCFA}">
      <text>
        <r>
          <rPr>
            <b/>
            <sz val="9"/>
            <color indexed="81"/>
            <rFont val="Segoe UI"/>
            <family val="2"/>
          </rPr>
          <t>JumpStart:</t>
        </r>
        <r>
          <rPr>
            <sz val="9"/>
            <color indexed="81"/>
            <rFont val="Segoe UI"/>
            <family val="2"/>
          </rPr>
          <t xml:space="preserve">
Realer Wert für Radiatoren mit 2 Säulen</t>
        </r>
      </text>
    </comment>
    <comment ref="D20" authorId="0" shapeId="0" xr:uid="{B3291AE8-2032-4515-9E4F-E45BEB9102E5}">
      <text>
        <r>
          <rPr>
            <b/>
            <sz val="9"/>
            <color indexed="81"/>
            <rFont val="Segoe UI"/>
            <family val="2"/>
          </rPr>
          <t>JumpStart:</t>
        </r>
        <r>
          <rPr>
            <sz val="9"/>
            <color indexed="81"/>
            <rFont val="Segoe UI"/>
            <family val="2"/>
          </rPr>
          <t xml:space="preserve">
Realer Wert für Radiatoren mit 2 Säulen</t>
        </r>
      </text>
    </comment>
    <comment ref="D29" authorId="0" shapeId="0" xr:uid="{D20DC0B1-3061-4CDC-B9FE-C8098A60530B}">
      <text>
        <r>
          <rPr>
            <b/>
            <sz val="9"/>
            <color indexed="81"/>
            <rFont val="Segoe UI"/>
            <family val="2"/>
          </rPr>
          <t>JumpStart:</t>
        </r>
        <r>
          <rPr>
            <sz val="9"/>
            <color indexed="81"/>
            <rFont val="Segoe UI"/>
            <family val="2"/>
          </rPr>
          <t xml:space="preserve">
Realer Wert für Radiatoren mit 2 Säulen</t>
        </r>
      </text>
    </comment>
    <comment ref="D38" authorId="0" shapeId="0" xr:uid="{472E336B-A169-4F2D-94EF-B78D28A133C6}">
      <text>
        <r>
          <rPr>
            <b/>
            <sz val="9"/>
            <color indexed="81"/>
            <rFont val="Segoe UI"/>
            <family val="2"/>
          </rPr>
          <t>JumpStart:</t>
        </r>
        <r>
          <rPr>
            <sz val="9"/>
            <color indexed="81"/>
            <rFont val="Segoe UI"/>
            <family val="2"/>
          </rPr>
          <t xml:space="preserve">
Realer Wert für Radiatoren mit 2 Säulen</t>
        </r>
      </text>
    </comment>
    <comment ref="D47" authorId="0" shapeId="0" xr:uid="{2AB78F9D-B49A-4758-ACFD-148398E36A59}">
      <text>
        <r>
          <rPr>
            <b/>
            <sz val="9"/>
            <color indexed="81"/>
            <rFont val="Segoe UI"/>
            <family val="2"/>
          </rPr>
          <t>JumpStart:</t>
        </r>
        <r>
          <rPr>
            <sz val="9"/>
            <color indexed="81"/>
            <rFont val="Segoe UI"/>
            <family val="2"/>
          </rPr>
          <t xml:space="preserve">
Realer Wert für Radiatoren mit 2 Säulen</t>
        </r>
      </text>
    </comment>
    <comment ref="D56" authorId="0" shapeId="0" xr:uid="{B95BABC5-ACD5-462B-9453-194E77050562}">
      <text>
        <r>
          <rPr>
            <b/>
            <sz val="9"/>
            <color indexed="81"/>
            <rFont val="Segoe UI"/>
            <family val="2"/>
          </rPr>
          <t>JumpStart:</t>
        </r>
        <r>
          <rPr>
            <sz val="9"/>
            <color indexed="81"/>
            <rFont val="Segoe UI"/>
            <family val="2"/>
          </rPr>
          <t xml:space="preserve">
Realer Wert für Radiatoren mit 2 Säulen</t>
        </r>
      </text>
    </comment>
    <comment ref="D65" authorId="0" shapeId="0" xr:uid="{6D5DE0A0-5801-4657-B142-CEC07EDD939A}">
      <text>
        <r>
          <rPr>
            <b/>
            <sz val="9"/>
            <color indexed="81"/>
            <rFont val="Segoe UI"/>
            <family val="2"/>
          </rPr>
          <t>JumpStart:</t>
        </r>
        <r>
          <rPr>
            <sz val="9"/>
            <color indexed="81"/>
            <rFont val="Segoe UI"/>
            <family val="2"/>
          </rPr>
          <t xml:space="preserve">
Realer Wert für Radiatoren mit 2 Säulen</t>
        </r>
      </text>
    </comment>
    <comment ref="D74" authorId="0" shapeId="0" xr:uid="{4292AF4C-3021-49F9-A93A-C683B0244236}">
      <text>
        <r>
          <rPr>
            <b/>
            <sz val="9"/>
            <color indexed="81"/>
            <rFont val="Segoe UI"/>
            <family val="2"/>
          </rPr>
          <t>JumpStart:</t>
        </r>
        <r>
          <rPr>
            <sz val="9"/>
            <color indexed="81"/>
            <rFont val="Segoe UI"/>
            <family val="2"/>
          </rPr>
          <t xml:space="preserve">
Realer Wert für Radiatoren mit 2 Säulen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JumpStart</author>
  </authors>
  <commentList>
    <comment ref="D2" authorId="0" shapeId="0" xr:uid="{1A569E53-CA87-4D95-82AE-C10CB758179E}">
      <text>
        <r>
          <rPr>
            <b/>
            <sz val="9"/>
            <color indexed="81"/>
            <rFont val="Segoe UI"/>
            <family val="2"/>
          </rPr>
          <t>JumpStart:</t>
        </r>
        <r>
          <rPr>
            <sz val="9"/>
            <color indexed="81"/>
            <rFont val="Segoe UI"/>
            <family val="2"/>
          </rPr>
          <t xml:space="preserve">
Realer Wert für Radiatoren mit 2 Säulen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tc={B8F1024E-5610-4D59-9557-E47F6A7EBA21}</author>
    <author>tc={68B3F8B4-B597-4C51-8D85-C800AE818C50}</author>
  </authors>
  <commentList>
    <comment ref="E30" authorId="0" shapeId="0" xr:uid="{B8F1024E-5610-4D59-9557-E47F6A7EBA2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Tiefe 145 mm</t>
      </text>
    </comment>
    <comment ref="E31" authorId="1" shapeId="0" xr:uid="{68B3F8B4-B597-4C51-8D85-C800AE818C5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Mittelwerz von 3-Glieder (Tiefe 136 mm) und 4-Glieder (Tiefe 173 mm)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<sst xmlns="http://schemas.openxmlformats.org/spreadsheetml/2006/main" count="1867" uniqueCount="712">
  <si>
    <t>n</t>
  </si>
  <si>
    <t>Formulas:</t>
  </si>
  <si>
    <t>Bauhöhe</t>
  </si>
  <si>
    <t>Bautiefe</t>
  </si>
  <si>
    <t>Leistung (W)</t>
  </si>
  <si>
    <t>THGE</t>
  </si>
  <si>
    <t>Pulverbeschichten, Stahl (m2)</t>
  </si>
  <si>
    <t>Stahl (kg)</t>
  </si>
  <si>
    <r>
      <t>Φ</t>
    </r>
    <r>
      <rPr>
        <sz val="10"/>
        <rFont val="Arial"/>
        <family val="2"/>
      </rPr>
      <t xml:space="preserve"> = </t>
    </r>
    <r>
      <rPr>
        <b/>
        <sz val="10"/>
        <rFont val="Arial"/>
        <family val="2"/>
      </rPr>
      <t>Φ</t>
    </r>
    <r>
      <rPr>
        <vertAlign val="subscript"/>
        <sz val="10"/>
        <rFont val="Arial"/>
        <family val="2"/>
      </rPr>
      <t>n</t>
    </r>
    <r>
      <rPr>
        <sz val="10"/>
        <rFont val="Arial"/>
        <family val="2"/>
      </rPr>
      <t xml:space="preserve"> x (</t>
    </r>
    <r>
      <rPr>
        <b/>
        <sz val="10"/>
        <rFont val="Arial"/>
        <family val="2"/>
      </rPr>
      <t>ΔT</t>
    </r>
    <r>
      <rPr>
        <sz val="10"/>
        <rFont val="Arial"/>
        <family val="2"/>
      </rPr>
      <t xml:space="preserve">/ </t>
    </r>
    <r>
      <rPr>
        <b/>
        <sz val="10"/>
        <rFont val="Arial"/>
        <family val="2"/>
      </rPr>
      <t>ΔT</t>
    </r>
    <r>
      <rPr>
        <vertAlign val="subscript"/>
        <sz val="10"/>
        <rFont val="Arial"/>
        <family val="2"/>
      </rPr>
      <t>n</t>
    </r>
    <r>
      <rPr>
        <sz val="10"/>
        <rFont val="Arial"/>
        <family val="2"/>
      </rPr>
      <t>)</t>
    </r>
    <r>
      <rPr>
        <vertAlign val="superscript"/>
        <sz val="10"/>
        <rFont val="Arial"/>
        <family val="2"/>
      </rPr>
      <t>n</t>
    </r>
  </si>
  <si>
    <r>
      <t>ΔT</t>
    </r>
    <r>
      <rPr>
        <sz val="10"/>
        <rFont val="Arial"/>
        <family val="2"/>
      </rPr>
      <t xml:space="preserve"> =  </t>
    </r>
    <r>
      <rPr>
        <b/>
        <sz val="10"/>
        <rFont val="Arial"/>
        <family val="2"/>
      </rPr>
      <t>(</t>
    </r>
    <r>
      <rPr>
        <sz val="10"/>
        <rFont val="Arial"/>
        <family val="2"/>
      </rPr>
      <t>t</t>
    </r>
    <r>
      <rPr>
        <vertAlign val="subscript"/>
        <sz val="10"/>
        <rFont val="Arial"/>
        <family val="2"/>
      </rPr>
      <t>in</t>
    </r>
    <r>
      <rPr>
        <sz val="10"/>
        <rFont val="Arial"/>
        <family val="2"/>
      </rPr>
      <t>–t</t>
    </r>
    <r>
      <rPr>
        <vertAlign val="subscript"/>
        <sz val="10"/>
        <rFont val="Arial"/>
        <family val="2"/>
      </rPr>
      <t>ut</t>
    </r>
    <r>
      <rPr>
        <b/>
        <sz val="10"/>
        <rFont val="Arial"/>
        <family val="2"/>
      </rPr>
      <t>) / (</t>
    </r>
    <r>
      <rPr>
        <sz val="10"/>
        <rFont val="Arial"/>
        <family val="2"/>
      </rPr>
      <t xml:space="preserve">ln </t>
    </r>
    <r>
      <rPr>
        <b/>
        <sz val="10"/>
        <rFont val="Arial"/>
        <family val="2"/>
      </rPr>
      <t>(</t>
    </r>
    <r>
      <rPr>
        <sz val="10"/>
        <rFont val="Arial"/>
        <family val="2"/>
      </rPr>
      <t xml:space="preserve"> </t>
    </r>
    <r>
      <rPr>
        <b/>
        <sz val="10"/>
        <rFont val="Arial"/>
        <family val="2"/>
      </rPr>
      <t>(</t>
    </r>
    <r>
      <rPr>
        <sz val="10"/>
        <rFont val="Arial"/>
        <family val="2"/>
      </rPr>
      <t>t</t>
    </r>
    <r>
      <rPr>
        <vertAlign val="subscript"/>
        <sz val="10"/>
        <rFont val="Arial"/>
        <family val="2"/>
      </rPr>
      <t>in</t>
    </r>
    <r>
      <rPr>
        <sz val="10"/>
        <rFont val="Arial"/>
        <family val="2"/>
      </rPr>
      <t xml:space="preserve"> – t</t>
    </r>
    <r>
      <rPr>
        <vertAlign val="subscript"/>
        <sz val="10"/>
        <rFont val="Arial"/>
        <family val="2"/>
      </rPr>
      <t>rum</t>
    </r>
    <r>
      <rPr>
        <b/>
        <sz val="10"/>
        <rFont val="Arial"/>
        <family val="2"/>
      </rPr>
      <t>)</t>
    </r>
    <r>
      <rPr>
        <sz val="10"/>
        <rFont val="Arial"/>
        <family val="2"/>
      </rPr>
      <t xml:space="preserve"> </t>
    </r>
    <r>
      <rPr>
        <b/>
        <sz val="10"/>
        <rFont val="Arial"/>
        <family val="2"/>
      </rPr>
      <t>/</t>
    </r>
    <r>
      <rPr>
        <sz val="10"/>
        <rFont val="Arial"/>
        <family val="2"/>
      </rPr>
      <t xml:space="preserve"> </t>
    </r>
    <r>
      <rPr>
        <b/>
        <sz val="10"/>
        <rFont val="Arial"/>
        <family val="2"/>
      </rPr>
      <t>(</t>
    </r>
    <r>
      <rPr>
        <sz val="10"/>
        <rFont val="Arial"/>
        <family val="2"/>
      </rPr>
      <t>t</t>
    </r>
    <r>
      <rPr>
        <vertAlign val="subscript"/>
        <sz val="10"/>
        <rFont val="Arial"/>
        <family val="2"/>
      </rPr>
      <t>ut</t>
    </r>
    <r>
      <rPr>
        <sz val="10"/>
        <rFont val="Arial"/>
        <family val="2"/>
      </rPr>
      <t xml:space="preserve"> – t</t>
    </r>
    <r>
      <rPr>
        <vertAlign val="subscript"/>
        <sz val="10"/>
        <rFont val="Arial"/>
        <family val="2"/>
      </rPr>
      <t>rum</t>
    </r>
    <r>
      <rPr>
        <b/>
        <sz val="10"/>
        <rFont val="Arial"/>
        <family val="2"/>
      </rPr>
      <t>) ) )</t>
    </r>
  </si>
  <si>
    <r>
      <t>ΔT</t>
    </r>
    <r>
      <rPr>
        <vertAlign val="subscript"/>
        <sz val="10"/>
        <rFont val="Arial"/>
        <family val="2"/>
      </rPr>
      <t>n</t>
    </r>
  </si>
  <si>
    <t>MK</t>
  </si>
  <si>
    <t>g/m2 (80 micras, 1.5 g/cm3)</t>
  </si>
  <si>
    <t>Gewicht (kg)</t>
  </si>
  <si>
    <t>Oberfläche (m2)</t>
  </si>
  <si>
    <t>THGE (kg CO2)</t>
  </si>
  <si>
    <t>Leistung pro Glieder EN 442</t>
  </si>
  <si>
    <t>Bauhöhe (cm)</t>
  </si>
  <si>
    <t>Bautiefe (cm)</t>
  </si>
  <si>
    <t>Länge (cm)</t>
  </si>
  <si>
    <t>Anzahl Glieder</t>
  </si>
  <si>
    <t>Leistung EN 442</t>
  </si>
  <si>
    <t>Vorlauftemperatur (°C)</t>
  </si>
  <si>
    <t>Rücklauftemperatur (°C)</t>
  </si>
  <si>
    <t>Raumlufttemperatur (°C)</t>
  </si>
  <si>
    <t>Projektspezifische Leitung pro Glieder</t>
  </si>
  <si>
    <t xml:space="preserve">Projektspezifische Leitung </t>
  </si>
  <si>
    <t>THGE pro Glieder</t>
  </si>
  <si>
    <t>Typ 11</t>
  </si>
  <si>
    <t>Breite</t>
  </si>
  <si>
    <t>Typ 20</t>
  </si>
  <si>
    <t>Typ 21</t>
  </si>
  <si>
    <t>Typ 22</t>
  </si>
  <si>
    <t>Typ 33</t>
  </si>
  <si>
    <t>Model</t>
  </si>
  <si>
    <t xml:space="preserve">Projektspezifische Leistung </t>
  </si>
  <si>
    <t>Gussradiatoren nach DIN 4720 (Jan. 1961)</t>
  </si>
  <si>
    <t>Abmessungen und Gewichte</t>
  </si>
  <si>
    <t>Nebenabstand</t>
  </si>
  <si>
    <t>mm</t>
  </si>
  <si>
    <t>m2</t>
  </si>
  <si>
    <t>kg</t>
  </si>
  <si>
    <t>Bautiefe (mm), Heizfläche (m2) und Gewicht pro Glied (kg)</t>
  </si>
  <si>
    <t>Baulänge pro Glied 60 mm</t>
  </si>
  <si>
    <t>Leistung (W) tv: 90 °C, tr: 70 °C, ti: 20 °C</t>
  </si>
  <si>
    <t>Leistung (W) tv: 90 °C, tr: 70 °C, ti: 10 °C</t>
  </si>
  <si>
    <t>ti: 20 °C</t>
  </si>
  <si>
    <t>ti: 10 °C</t>
  </si>
  <si>
    <t>ti: 15 °C</t>
  </si>
  <si>
    <t>Leistung (W) tv: 90 °C, tr: 70 °C, ti: 15 °C</t>
  </si>
  <si>
    <t>Leistung (W) tv: 90 °C, tr: 70 °C, ti: 24 °C</t>
  </si>
  <si>
    <t>ti: 24 °C</t>
  </si>
  <si>
    <t>Stahlradiatoren nach DIN 4720 (Jan. 1961)</t>
  </si>
  <si>
    <t>Baulänge pro Glied 50 mm</t>
  </si>
  <si>
    <t>GUSSRADIATOREN</t>
  </si>
  <si>
    <t>STAHLRADIATOREN</t>
  </si>
  <si>
    <t>Leistung (W) tv: 75 °C, tr: 65 °C, ti: 20 °C</t>
  </si>
  <si>
    <t xml:space="preserve">Leistung (W) </t>
  </si>
  <si>
    <t>tv: 75 °C, tr: 65 °C, ti: 20 °C</t>
  </si>
  <si>
    <t>tv: 90 °C, tr: 70 °C, ti: 20 °C</t>
  </si>
  <si>
    <t>Gliederheizkörper</t>
  </si>
  <si>
    <t>0.21-0.36</t>
  </si>
  <si>
    <t>VDI_Wärmeatlas. 4- Aufl. Düsseldorf: VDI-Verlag 1984</t>
  </si>
  <si>
    <t>[1]</t>
  </si>
  <si>
    <t>[4]</t>
  </si>
  <si>
    <t>[3]</t>
  </si>
  <si>
    <t>[2]</t>
  </si>
  <si>
    <t>Heizfläche</t>
  </si>
  <si>
    <t>Anteil Strahlungswärme</t>
  </si>
  <si>
    <t>(Durchschnitt)</t>
  </si>
  <si>
    <t>Flächenheizung</t>
  </si>
  <si>
    <t>Fußbodenheizung</t>
  </si>
  <si>
    <t>Wandheizung</t>
  </si>
  <si>
    <t>DIN Radiator</t>
  </si>
  <si>
    <t>Stahl</t>
  </si>
  <si>
    <t>Guss</t>
  </si>
  <si>
    <t>Röhrenradiator</t>
  </si>
  <si>
    <t>2-Säuler</t>
  </si>
  <si>
    <t>4-Säuler</t>
  </si>
  <si>
    <t>6-Säuler</t>
  </si>
  <si>
    <t>Plattenheizkörper</t>
  </si>
  <si>
    <t>Typ 10</t>
  </si>
  <si>
    <t>Konvektor</t>
  </si>
  <si>
    <t>mit Stahlblechverkleidung</t>
  </si>
  <si>
    <t>Unterflurkonvektor</t>
  </si>
  <si>
    <t>&lt;5 %</t>
  </si>
  <si>
    <t>https://www.heizsparer.de/heizung/heizkorper/die-wichtigsten-heizkoerper-typen-im-ueberblick</t>
  </si>
  <si>
    <t>[2, 3]</t>
  </si>
  <si>
    <t>Schlapmann. Wärmestrahlung von Raumheizkörper. Haustechnische Rundschau (1987) Heft 2</t>
  </si>
  <si>
    <t>Kast &amp; Klan. Energieeinsparungsmöglichkeiten in Zentralheizungsanlagen - Einfluss der Vorlauftemperatur des Heizsystems auf den Energieverbrauch und die Wärmeabgabe von Heizkörper. Forschungsbericht des Bundesministeriums dür Forschung und Technologie. 1984</t>
  </si>
  <si>
    <t>Einreihige Plattenheizkörper ohne Konvektionsteil</t>
  </si>
  <si>
    <t>0.4-0.57</t>
  </si>
  <si>
    <t>0.33-0.42</t>
  </si>
  <si>
    <t>0.18-0.30</t>
  </si>
  <si>
    <t>Einreihige Plattenheizkörper mit Konvektionsteil und zweireihige Plattenheizkörper ohne Konvektionsteil</t>
  </si>
  <si>
    <t>Zwei- und mehrreihige Plattenheizkörper mit Konvektionsteil</t>
  </si>
  <si>
    <t>Konvektoren</t>
  </si>
  <si>
    <t>Füssbodenheizungen</t>
  </si>
  <si>
    <t>0.55-.70</t>
  </si>
  <si>
    <t>Heizflächenexponent (n)</t>
  </si>
  <si>
    <t>Radiatoren</t>
  </si>
  <si>
    <t>Konvektortruhen</t>
  </si>
  <si>
    <t>1.25-1.38</t>
  </si>
  <si>
    <t>1.30-1.40</t>
  </si>
  <si>
    <t>Rohre</t>
  </si>
  <si>
    <t>Strahlplatten</t>
  </si>
  <si>
    <t>Fussbodenheizung</t>
  </si>
  <si>
    <t>1.00-1.15</t>
  </si>
  <si>
    <t>1.25-1.26</t>
  </si>
  <si>
    <t>1.15-1.25</t>
  </si>
  <si>
    <t>Diese Exponent kann maximal im èbertemperaturbereich von 30 K &lt;  Δtlog &lt; 100 K</t>
  </si>
  <si>
    <t>Bei kurzen Heizkörpern (geringe Gliedzahlen) ist wegen der relativ günstigeren Abstrahlung die Leistung geringfügig höher als bei langen Heizkörper.</t>
  </si>
  <si>
    <t>Die Unterschied kann aber vernachlässigt werden, so dass man mit einer konstanten Gliederleistung rechnen kann</t>
  </si>
  <si>
    <t>PS</t>
  </si>
  <si>
    <t>Plattenheizkörper: P (Plattengrundkörper), S (Sekundärheizfläche))</t>
  </si>
  <si>
    <t>PSSP</t>
  </si>
  <si>
    <t>PSPSSP</t>
  </si>
  <si>
    <t>SPSSPSSPS</t>
  </si>
  <si>
    <t>0.30-0.40</t>
  </si>
  <si>
    <t>0.15-0.20</t>
  </si>
  <si>
    <t>Glück. Wärmeübertragung. Wärmeabgabe von Raumheizflächen und Rohren</t>
  </si>
  <si>
    <t>Durchmesser</t>
  </si>
  <si>
    <t>Atlog</t>
  </si>
  <si>
    <t>Zoll</t>
  </si>
  <si>
    <t>DN</t>
  </si>
  <si>
    <t>Aussendurchmesser [mm]</t>
  </si>
  <si>
    <t>Innendurchmesser [mm]</t>
  </si>
  <si>
    <t>3/8"</t>
  </si>
  <si>
    <t>DN 10</t>
  </si>
  <si>
    <t>1/2"</t>
  </si>
  <si>
    <t>DN 15</t>
  </si>
  <si>
    <t>3/4"</t>
  </si>
  <si>
    <t>DN 20</t>
  </si>
  <si>
    <t>1"</t>
  </si>
  <si>
    <t>DN 25</t>
  </si>
  <si>
    <t>1 1/4"</t>
  </si>
  <si>
    <t>DN 32</t>
  </si>
  <si>
    <t>1 1/2"</t>
  </si>
  <si>
    <t>DN 40</t>
  </si>
  <si>
    <t>2"</t>
  </si>
  <si>
    <t>DN 50</t>
  </si>
  <si>
    <t>Waagerechtes Rohr</t>
  </si>
  <si>
    <t>Seite 351. Bild 8.24 Wärmestrome (W/m) von wasserbeheizten, ungedämmten Stahlrohrleitungen an die Umgebung in Abhängigkeit von der Temperatur und den Nenndurchmesser</t>
  </si>
  <si>
    <t>Senrechtes Rohr</t>
  </si>
  <si>
    <r>
      <t xml:space="preserve">Basis: W: 0.5 m/s; λR: 50 W/(mK); </t>
    </r>
    <r>
      <rPr>
        <b/>
        <sz val="10"/>
        <rFont val="Verdana"/>
        <family val="2"/>
      </rPr>
      <t>ε: 0.92</t>
    </r>
  </si>
  <si>
    <t>Norm-Wärmeleistung je Glied von Stahlrohrradiatoresn in W bei Warmwasser mit tm: 80 °C und Ti: 20 °C. Rohrdurchmesser 25 mm und Gliedbaulänge 45 mm</t>
  </si>
  <si>
    <t>Typen</t>
  </si>
  <si>
    <t>Baulange</t>
  </si>
  <si>
    <t>45 mm pro Glieder</t>
  </si>
  <si>
    <t>75/65/20 °C</t>
  </si>
  <si>
    <t>Exponent</t>
  </si>
  <si>
    <t>Masse (kg/Gl.)
pro Glied</t>
  </si>
  <si>
    <t>M</t>
  </si>
  <si>
    <r>
      <t>Fläche
pro Glied (m</t>
    </r>
    <r>
      <rPr>
        <b/>
        <vertAlign val="superscript"/>
        <sz val="10"/>
        <rFont val="Arial"/>
        <family val="2"/>
      </rPr>
      <t>2</t>
    </r>
    <r>
      <rPr>
        <b/>
        <sz val="10"/>
        <rFont val="Arial"/>
        <family val="2"/>
      </rPr>
      <t>/Gl.)</t>
    </r>
  </si>
  <si>
    <t>A</t>
  </si>
  <si>
    <t>Wasserinhalt
pro Glied (l/Gl.)</t>
  </si>
  <si>
    <t>W</t>
  </si>
  <si>
    <t>Norm-
Wasserstrom
pro Glied (kg/h Gl.)</t>
  </si>
  <si>
    <t>qm</t>
  </si>
  <si>
    <t>Strahlungsanteil (%)</t>
  </si>
  <si>
    <t>s</t>
  </si>
  <si>
    <t>Preis
pro Glied (CHF/Gl.)</t>
  </si>
  <si>
    <t>Modell</t>
  </si>
  <si>
    <r>
      <rPr>
        <b/>
        <sz val="10"/>
        <color rgb="FFF07D00"/>
        <rFont val="Arial"/>
        <family val="2"/>
      </rPr>
      <t>TECHNISCHE DATEN UND PREIS PRO GLIED - Bauhöhe 180–500 mm</t>
    </r>
  </si>
  <si>
    <r>
      <rPr>
        <b/>
        <sz val="10"/>
        <color rgb="FFF07D00"/>
        <rFont val="Arial"/>
        <family val="2"/>
      </rPr>
      <t>TECHNISCHE DATEN UND PREIS PRO GLIED - Bauhöhe 550–1200 mm</t>
    </r>
  </si>
  <si>
    <r>
      <rPr>
        <b/>
        <sz val="10"/>
        <color rgb="FFF07D00"/>
        <rFont val="Arial"/>
        <family val="2"/>
      </rPr>
      <t>TECHNISCHE DATEN UND PREIS PRO GLIED - Bauhöhe 1500–3000 mm</t>
    </r>
  </si>
  <si>
    <t>Wärmeleistung EN 442</t>
  </si>
  <si>
    <t>H</t>
  </si>
  <si>
    <t>T</t>
  </si>
  <si>
    <t>[Watt/Gl.]</t>
  </si>
  <si>
    <t xml:space="preserve">Bau- höhe </t>
  </si>
  <si>
    <t>Bau- tiefe</t>
  </si>
  <si>
    <t>[mm]</t>
  </si>
  <si>
    <r>
      <t>Ф</t>
    </r>
    <r>
      <rPr>
        <b/>
        <vertAlign val="subscript"/>
        <sz val="8"/>
        <rFont val="Arial"/>
        <family val="2"/>
      </rPr>
      <t xml:space="preserve">L  </t>
    </r>
    <r>
      <rPr>
        <b/>
        <sz val="8"/>
        <rFont val="Arial"/>
        <family val="2"/>
      </rPr>
      <t>ΔT 50K 75/65/20°C</t>
    </r>
  </si>
  <si>
    <r>
      <t>Ф</t>
    </r>
    <r>
      <rPr>
        <vertAlign val="subscript"/>
        <sz val="8"/>
        <rFont val="Arial"/>
        <family val="2"/>
      </rPr>
      <t xml:space="preserve">L  </t>
    </r>
    <r>
      <rPr>
        <sz val="8"/>
        <rFont val="Arial"/>
        <family val="2"/>
      </rPr>
      <t>ΔT 42K 50/40/20°C</t>
    </r>
  </si>
  <si>
    <r>
      <t>Ф</t>
    </r>
    <r>
      <rPr>
        <vertAlign val="subscript"/>
        <sz val="8"/>
        <rFont val="Arial"/>
        <family val="2"/>
      </rPr>
      <t xml:space="preserve">L  </t>
    </r>
    <r>
      <rPr>
        <sz val="8"/>
        <rFont val="Arial"/>
        <family val="2"/>
      </rPr>
      <t>ΔT 25K 50/40/20°C</t>
    </r>
  </si>
  <si>
    <r>
      <t>Ф</t>
    </r>
    <r>
      <rPr>
        <vertAlign val="subscript"/>
        <sz val="8"/>
        <rFont val="Arial"/>
        <family val="2"/>
      </rPr>
      <t xml:space="preserve">L  </t>
    </r>
    <r>
      <rPr>
        <sz val="8"/>
        <rFont val="Arial"/>
        <family val="2"/>
      </rPr>
      <t>ΔT 16K 40/32/20°C</t>
    </r>
  </si>
  <si>
    <r>
      <t>q</t>
    </r>
    <r>
      <rPr>
        <vertAlign val="subscript"/>
        <sz val="8"/>
        <color rgb="FF000000"/>
        <rFont val="Arial"/>
        <family val="2"/>
      </rPr>
      <t>m</t>
    </r>
  </si>
  <si>
    <t>[%]</t>
  </si>
  <si>
    <t>[CHF/Gl.]</t>
  </si>
  <si>
    <t>[kg/h Gl.]</t>
  </si>
  <si>
    <t>[l/Gl.]</t>
  </si>
  <si>
    <t>Norm- Wasser- strom</t>
  </si>
  <si>
    <t>Strahlungs- anteil</t>
  </si>
  <si>
    <t>[m²/Gl.]</t>
  </si>
  <si>
    <t>Fläche pro Glied</t>
  </si>
  <si>
    <t>Wasser- inhalt pro Glied</t>
  </si>
  <si>
    <t>[kg/Gl.]</t>
  </si>
  <si>
    <t>Ø
Masse pro Glied</t>
  </si>
  <si>
    <t>[ ]</t>
  </si>
  <si>
    <t>THGE pro Glied (kg CO2/Gl.)</t>
  </si>
  <si>
    <t>Preis pro Glied 2022</t>
  </si>
  <si>
    <t>[Euro/Gl.]</t>
  </si>
  <si>
    <t>Preis pro Glied 2025</t>
  </si>
  <si>
    <r>
      <rPr>
        <b/>
        <sz val="9"/>
        <rFont val="Arial"/>
        <family val="2"/>
      </rPr>
      <t>Modelle 2-Säuler</t>
    </r>
  </si>
  <si>
    <r>
      <rPr>
        <sz val="7.5"/>
        <rFont val="Arial"/>
        <family val="2"/>
      </rPr>
      <t xml:space="preserve">H      =  Bauhöhe
</t>
    </r>
    <r>
      <rPr>
        <sz val="7.5"/>
        <rFont val="Arial"/>
        <family val="2"/>
      </rPr>
      <t xml:space="preserve">L      =  Baulänge (inkl. Stopfen) N      =  Nabenabstand
</t>
    </r>
    <r>
      <rPr>
        <sz val="7.5"/>
        <rFont val="Arial"/>
        <family val="2"/>
      </rPr>
      <t xml:space="preserve">T      =  Bautiefe Heizkörper A      =  Oberfläche
</t>
    </r>
    <r>
      <rPr>
        <sz val="7.5"/>
        <rFont val="Arial"/>
        <family val="2"/>
      </rPr>
      <t xml:space="preserve">V      =  Wasserinhalt M     =  Gewicht
</t>
    </r>
    <r>
      <rPr>
        <sz val="7.5"/>
        <rFont val="Arial"/>
        <family val="2"/>
      </rPr>
      <t>s</t>
    </r>
    <r>
      <rPr>
        <vertAlign val="subscript"/>
        <sz val="4"/>
        <rFont val="Arial"/>
        <family val="2"/>
      </rPr>
      <t xml:space="preserve">k          </t>
    </r>
    <r>
      <rPr>
        <sz val="7.5"/>
        <rFont val="Arial"/>
        <family val="2"/>
      </rPr>
      <t>=  Strahlungsanteil q</t>
    </r>
    <r>
      <rPr>
        <vertAlign val="subscript"/>
        <sz val="4"/>
        <rFont val="Arial"/>
        <family val="2"/>
      </rPr>
      <t xml:space="preserve">ms      </t>
    </r>
    <r>
      <rPr>
        <sz val="7.5"/>
        <rFont val="Arial"/>
        <family val="2"/>
      </rPr>
      <t xml:space="preserve">=  Normwasserstrom n      =  Exponent
</t>
    </r>
    <r>
      <rPr>
        <sz val="7.5"/>
        <rFont val="Symbol"/>
        <family val="1"/>
      </rPr>
      <t></t>
    </r>
    <r>
      <rPr>
        <vertAlign val="subscript"/>
        <sz val="4"/>
        <rFont val="Arial"/>
        <family val="2"/>
      </rPr>
      <t xml:space="preserve">S        </t>
    </r>
    <r>
      <rPr>
        <sz val="7.5"/>
        <rFont val="Arial"/>
        <family val="2"/>
      </rPr>
      <t>=  Norm-Wärmeleistung nach EN 442 (75/65/20 °C)</t>
    </r>
  </si>
  <si>
    <r>
      <rPr>
        <sz val="7.5"/>
        <rFont val="Arial"/>
        <family val="2"/>
      </rPr>
      <t>Masse in mm</t>
    </r>
  </si>
  <si>
    <r>
      <rPr>
        <sz val="7.5"/>
        <rFont val="Arial"/>
        <family val="2"/>
      </rPr>
      <t>Technische Daten pro Element</t>
    </r>
  </si>
  <si>
    <r>
      <rPr>
        <sz val="7.5"/>
        <rFont val="Arial"/>
        <family val="2"/>
      </rPr>
      <t>Modell</t>
    </r>
  </si>
  <si>
    <r>
      <rPr>
        <sz val="7.5"/>
        <rFont val="Arial"/>
        <family val="2"/>
      </rPr>
      <t>H</t>
    </r>
  </si>
  <si>
    <r>
      <rPr>
        <sz val="7.5"/>
        <rFont val="Arial"/>
        <family val="2"/>
      </rPr>
      <t xml:space="preserve">N
</t>
    </r>
    <r>
      <rPr>
        <sz val="7.5"/>
        <rFont val="Arial"/>
        <family val="2"/>
      </rPr>
      <t>(mm)</t>
    </r>
  </si>
  <si>
    <r>
      <rPr>
        <sz val="7.5"/>
        <rFont val="Arial"/>
        <family val="2"/>
      </rPr>
      <t xml:space="preserve">T
</t>
    </r>
    <r>
      <rPr>
        <sz val="7.5"/>
        <rFont val="Arial"/>
        <family val="2"/>
      </rPr>
      <t>(mm)</t>
    </r>
  </si>
  <si>
    <r>
      <rPr>
        <sz val="7.5"/>
        <rFont val="Arial"/>
        <family val="2"/>
      </rPr>
      <t>A (m</t>
    </r>
    <r>
      <rPr>
        <vertAlign val="superscript"/>
        <sz val="4"/>
        <rFont val="Arial"/>
        <family val="2"/>
      </rPr>
      <t>2</t>
    </r>
    <r>
      <rPr>
        <sz val="7.5"/>
        <rFont val="Arial"/>
        <family val="2"/>
      </rPr>
      <t>)</t>
    </r>
  </si>
  <si>
    <r>
      <rPr>
        <sz val="7.5"/>
        <rFont val="Arial"/>
        <family val="2"/>
      </rPr>
      <t xml:space="preserve">V
</t>
    </r>
    <r>
      <rPr>
        <sz val="7.5"/>
        <rFont val="Arial"/>
        <family val="2"/>
      </rPr>
      <t>(dm</t>
    </r>
    <r>
      <rPr>
        <vertAlign val="superscript"/>
        <sz val="4"/>
        <rFont val="Arial"/>
        <family val="2"/>
      </rPr>
      <t>3</t>
    </r>
    <r>
      <rPr>
        <sz val="7.5"/>
        <rFont val="Arial"/>
        <family val="2"/>
      </rPr>
      <t>)</t>
    </r>
  </si>
  <si>
    <r>
      <rPr>
        <sz val="7.5"/>
        <rFont val="Arial"/>
        <family val="2"/>
      </rPr>
      <t xml:space="preserve">M
</t>
    </r>
    <r>
      <rPr>
        <sz val="7.5"/>
        <rFont val="Arial"/>
        <family val="2"/>
      </rPr>
      <t>(kg)</t>
    </r>
  </si>
  <si>
    <r>
      <rPr>
        <sz val="7.5"/>
        <rFont val="Arial"/>
        <family val="2"/>
      </rPr>
      <t>S</t>
    </r>
    <r>
      <rPr>
        <vertAlign val="subscript"/>
        <sz val="4"/>
        <rFont val="Arial"/>
        <family val="2"/>
      </rPr>
      <t xml:space="preserve">k </t>
    </r>
    <r>
      <rPr>
        <sz val="7.5"/>
        <rFont val="Arial"/>
        <family val="2"/>
      </rPr>
      <t>(%)</t>
    </r>
  </si>
  <si>
    <r>
      <rPr>
        <vertAlign val="superscript"/>
        <sz val="7.5"/>
        <rFont val="Arial"/>
        <family val="2"/>
      </rPr>
      <t>q</t>
    </r>
    <r>
      <rPr>
        <sz val="4"/>
        <rFont val="Arial"/>
        <family val="2"/>
      </rPr>
      <t xml:space="preserve">ms </t>
    </r>
    <r>
      <rPr>
        <sz val="7.5"/>
        <rFont val="Arial"/>
        <family val="2"/>
      </rPr>
      <t>(kg/h)</t>
    </r>
  </si>
  <si>
    <r>
      <rPr>
        <sz val="7.5"/>
        <rFont val="Arial"/>
        <family val="2"/>
      </rPr>
      <t>Exp. (n)</t>
    </r>
  </si>
  <si>
    <r>
      <rPr>
        <sz val="7.5"/>
        <rFont val="Symbol"/>
        <family val="1"/>
      </rPr>
      <t></t>
    </r>
    <r>
      <rPr>
        <vertAlign val="subscript"/>
        <sz val="4"/>
        <rFont val="Arial"/>
        <family val="2"/>
      </rPr>
      <t>L</t>
    </r>
    <r>
      <rPr>
        <sz val="7.5"/>
        <rFont val="Arial"/>
        <family val="2"/>
      </rPr>
      <t>=</t>
    </r>
    <r>
      <rPr>
        <sz val="7.5"/>
        <rFont val="Symbol"/>
        <family val="1"/>
      </rPr>
      <t></t>
    </r>
    <r>
      <rPr>
        <sz val="7.5"/>
        <rFont val="Arial"/>
        <family val="2"/>
      </rPr>
      <t xml:space="preserve">T 50K EN 442
</t>
    </r>
    <r>
      <rPr>
        <sz val="7.5"/>
        <rFont val="Arial"/>
        <family val="2"/>
      </rPr>
      <t>(Watt)</t>
    </r>
  </si>
  <si>
    <r>
      <rPr>
        <b/>
        <sz val="9"/>
        <rFont val="Arial"/>
        <family val="2"/>
      </rPr>
      <t>Modelle 3-Säuler</t>
    </r>
  </si>
  <si>
    <r>
      <rPr>
        <b/>
        <sz val="9"/>
        <rFont val="Arial"/>
        <family val="2"/>
      </rPr>
      <t>Modelle 4-Säuler</t>
    </r>
  </si>
  <si>
    <r>
      <rPr>
        <b/>
        <sz val="9"/>
        <rFont val="Arial"/>
        <family val="2"/>
      </rPr>
      <t>Modelle 5-Säuler</t>
    </r>
  </si>
  <si>
    <r>
      <rPr>
        <sz val="7.5"/>
        <rFont val="Arial"/>
        <family val="2"/>
      </rPr>
      <t>S (%)</t>
    </r>
  </si>
  <si>
    <r>
      <rPr>
        <sz val="7.5"/>
        <rFont val="Arial"/>
        <family val="2"/>
      </rPr>
      <t>q (kg/h)</t>
    </r>
  </si>
  <si>
    <r>
      <rPr>
        <b/>
        <sz val="9"/>
        <rFont val="Arial"/>
        <family val="2"/>
      </rPr>
      <t>Modelle 2-Säuler Clinic</t>
    </r>
  </si>
  <si>
    <r>
      <rPr>
        <sz val="7.5"/>
        <rFont val="Arial"/>
        <family val="2"/>
      </rPr>
      <t>K2026</t>
    </r>
  </si>
  <si>
    <r>
      <rPr>
        <sz val="7.5"/>
        <rFont val="Arial"/>
        <family val="2"/>
      </rPr>
      <t>K2030</t>
    </r>
  </si>
  <si>
    <r>
      <rPr>
        <sz val="7.5"/>
        <rFont val="Arial"/>
        <family val="2"/>
      </rPr>
      <t>K2035</t>
    </r>
  </si>
  <si>
    <r>
      <rPr>
        <sz val="7.5"/>
        <rFont val="Arial"/>
        <family val="2"/>
      </rPr>
      <t>K2040</t>
    </r>
  </si>
  <si>
    <r>
      <rPr>
        <sz val="7.5"/>
        <rFont val="Arial"/>
        <family val="2"/>
      </rPr>
      <t>K2045</t>
    </r>
  </si>
  <si>
    <r>
      <rPr>
        <sz val="7.5"/>
        <rFont val="Arial"/>
        <family val="2"/>
      </rPr>
      <t>K2050</t>
    </r>
  </si>
  <si>
    <r>
      <rPr>
        <sz val="7.5"/>
        <rFont val="Arial"/>
        <family val="2"/>
      </rPr>
      <t>K2055</t>
    </r>
  </si>
  <si>
    <r>
      <rPr>
        <sz val="7.5"/>
        <rFont val="Arial"/>
        <family val="2"/>
      </rPr>
      <t>K2060</t>
    </r>
  </si>
  <si>
    <r>
      <rPr>
        <sz val="7.5"/>
        <rFont val="Arial"/>
        <family val="2"/>
      </rPr>
      <t>K2075</t>
    </r>
  </si>
  <si>
    <r>
      <rPr>
        <sz val="7.5"/>
        <rFont val="Arial"/>
        <family val="2"/>
      </rPr>
      <t>K2090</t>
    </r>
  </si>
  <si>
    <r>
      <rPr>
        <sz val="7.5"/>
        <rFont val="Arial"/>
        <family val="2"/>
      </rPr>
      <t>K2100</t>
    </r>
  </si>
  <si>
    <r>
      <rPr>
        <sz val="7.5"/>
        <rFont val="Arial"/>
        <family val="2"/>
      </rPr>
      <t>K2110</t>
    </r>
  </si>
  <si>
    <r>
      <rPr>
        <sz val="7.5"/>
        <rFont val="Arial"/>
        <family val="2"/>
      </rPr>
      <t>K2120</t>
    </r>
  </si>
  <si>
    <r>
      <rPr>
        <sz val="7.5"/>
        <rFont val="Arial"/>
        <family val="2"/>
      </rPr>
      <t>K2150</t>
    </r>
  </si>
  <si>
    <r>
      <rPr>
        <sz val="7.5"/>
        <rFont val="Arial"/>
        <family val="2"/>
      </rPr>
      <t>K2180</t>
    </r>
  </si>
  <si>
    <r>
      <rPr>
        <sz val="7.5"/>
        <rFont val="Arial"/>
        <family val="2"/>
      </rPr>
      <t>K2200</t>
    </r>
  </si>
  <si>
    <r>
      <rPr>
        <sz val="7.5"/>
        <rFont val="Arial"/>
        <family val="2"/>
      </rPr>
      <t>K2220</t>
    </r>
  </si>
  <si>
    <r>
      <rPr>
        <sz val="7.5"/>
        <rFont val="Arial"/>
        <family val="2"/>
      </rPr>
      <t>K2250</t>
    </r>
  </si>
  <si>
    <r>
      <rPr>
        <sz val="7.5"/>
        <rFont val="Arial"/>
        <family val="2"/>
      </rPr>
      <t>K2280</t>
    </r>
  </si>
  <si>
    <r>
      <rPr>
        <sz val="7.5"/>
        <rFont val="Arial"/>
        <family val="2"/>
      </rPr>
      <t>K2300</t>
    </r>
  </si>
  <si>
    <r>
      <rPr>
        <b/>
        <sz val="9"/>
        <rFont val="Arial"/>
        <family val="2"/>
      </rPr>
      <t>Modelle 3-Säuler Clinic</t>
    </r>
  </si>
  <si>
    <r>
      <rPr>
        <sz val="7.5"/>
        <rFont val="Arial"/>
        <family val="2"/>
      </rPr>
      <t>K3026</t>
    </r>
  </si>
  <si>
    <r>
      <rPr>
        <sz val="7.5"/>
        <rFont val="Arial"/>
        <family val="2"/>
      </rPr>
      <t>K3030</t>
    </r>
  </si>
  <si>
    <r>
      <rPr>
        <sz val="7.5"/>
        <rFont val="Arial"/>
        <family val="2"/>
      </rPr>
      <t>K3035</t>
    </r>
  </si>
  <si>
    <r>
      <rPr>
        <sz val="7.5"/>
        <rFont val="Arial"/>
        <family val="2"/>
      </rPr>
      <t>K3040</t>
    </r>
  </si>
  <si>
    <r>
      <rPr>
        <sz val="7.5"/>
        <rFont val="Arial"/>
        <family val="2"/>
      </rPr>
      <t>K3045</t>
    </r>
  </si>
  <si>
    <r>
      <rPr>
        <sz val="7.5"/>
        <rFont val="Arial"/>
        <family val="2"/>
      </rPr>
      <t>K3050</t>
    </r>
  </si>
  <si>
    <r>
      <rPr>
        <sz val="7.5"/>
        <rFont val="Arial"/>
        <family val="2"/>
      </rPr>
      <t>K3055</t>
    </r>
  </si>
  <si>
    <r>
      <rPr>
        <sz val="7.5"/>
        <rFont val="Arial"/>
        <family val="2"/>
      </rPr>
      <t>K3060</t>
    </r>
  </si>
  <si>
    <r>
      <rPr>
        <sz val="7.5"/>
        <rFont val="Arial"/>
        <family val="2"/>
      </rPr>
      <t>K3075</t>
    </r>
  </si>
  <si>
    <r>
      <rPr>
        <sz val="7.5"/>
        <rFont val="Arial"/>
        <family val="2"/>
      </rPr>
      <t>K3090</t>
    </r>
  </si>
  <si>
    <r>
      <rPr>
        <sz val="7.5"/>
        <rFont val="Arial"/>
        <family val="2"/>
      </rPr>
      <t>K3100</t>
    </r>
  </si>
  <si>
    <r>
      <rPr>
        <sz val="7.5"/>
        <rFont val="Arial"/>
        <family val="2"/>
      </rPr>
      <t>K3110</t>
    </r>
  </si>
  <si>
    <r>
      <rPr>
        <sz val="7.5"/>
        <rFont val="Arial"/>
        <family val="2"/>
      </rPr>
      <t>K3120</t>
    </r>
  </si>
  <si>
    <r>
      <rPr>
        <sz val="7.5"/>
        <rFont val="Arial"/>
        <family val="2"/>
      </rPr>
      <t>K3150</t>
    </r>
  </si>
  <si>
    <r>
      <rPr>
        <sz val="7.5"/>
        <rFont val="Arial"/>
        <family val="2"/>
      </rPr>
      <t>K3180</t>
    </r>
  </si>
  <si>
    <r>
      <rPr>
        <sz val="7.5"/>
        <rFont val="Arial"/>
        <family val="2"/>
      </rPr>
      <t>K3200</t>
    </r>
  </si>
  <si>
    <r>
      <rPr>
        <sz val="7.5"/>
        <rFont val="Arial"/>
        <family val="2"/>
      </rPr>
      <t>K3220</t>
    </r>
  </si>
  <si>
    <r>
      <rPr>
        <sz val="7.5"/>
        <rFont val="Arial"/>
        <family val="2"/>
      </rPr>
      <t>K3250</t>
    </r>
  </si>
  <si>
    <r>
      <rPr>
        <sz val="7.5"/>
        <rFont val="Arial"/>
        <family val="2"/>
      </rPr>
      <t>K3280</t>
    </r>
  </si>
  <si>
    <r>
      <rPr>
        <sz val="7.5"/>
        <rFont val="Arial"/>
        <family val="2"/>
      </rPr>
      <t>K3300</t>
    </r>
  </si>
  <si>
    <r>
      <rPr>
        <b/>
        <sz val="9"/>
        <rFont val="Arial"/>
        <family val="2"/>
      </rPr>
      <t>Modelle 4-Säuler Clinic</t>
    </r>
  </si>
  <si>
    <r>
      <rPr>
        <sz val="7.5"/>
        <rFont val="Arial"/>
        <family val="2"/>
      </rPr>
      <t>K4026</t>
    </r>
  </si>
  <si>
    <r>
      <rPr>
        <sz val="7.5"/>
        <rFont val="Arial"/>
        <family val="2"/>
      </rPr>
      <t>K4030</t>
    </r>
  </si>
  <si>
    <r>
      <rPr>
        <sz val="7.5"/>
        <rFont val="Arial"/>
        <family val="2"/>
      </rPr>
      <t>K4035</t>
    </r>
  </si>
  <si>
    <r>
      <rPr>
        <sz val="7.5"/>
        <rFont val="Arial"/>
        <family val="2"/>
      </rPr>
      <t>K4040</t>
    </r>
  </si>
  <si>
    <r>
      <rPr>
        <sz val="7.5"/>
        <rFont val="Arial"/>
        <family val="2"/>
      </rPr>
      <t>K4045</t>
    </r>
  </si>
  <si>
    <r>
      <rPr>
        <sz val="7.5"/>
        <rFont val="Arial"/>
        <family val="2"/>
      </rPr>
      <t>K4050</t>
    </r>
  </si>
  <si>
    <r>
      <rPr>
        <sz val="7.5"/>
        <rFont val="Arial"/>
        <family val="2"/>
      </rPr>
      <t>K4055</t>
    </r>
  </si>
  <si>
    <r>
      <rPr>
        <sz val="7.5"/>
        <rFont val="Arial"/>
        <family val="2"/>
      </rPr>
      <t>K4060</t>
    </r>
  </si>
  <si>
    <r>
      <rPr>
        <sz val="7.5"/>
        <rFont val="Arial"/>
        <family val="2"/>
      </rPr>
      <t>K4075</t>
    </r>
  </si>
  <si>
    <r>
      <rPr>
        <sz val="7.5"/>
        <rFont val="Arial"/>
        <family val="2"/>
      </rPr>
      <t>K4090</t>
    </r>
  </si>
  <si>
    <r>
      <rPr>
        <sz val="7.5"/>
        <rFont val="Arial"/>
        <family val="2"/>
      </rPr>
      <t>K4100</t>
    </r>
  </si>
  <si>
    <r>
      <rPr>
        <sz val="7.5"/>
        <rFont val="Arial"/>
        <family val="2"/>
      </rPr>
      <t>K4110</t>
    </r>
  </si>
  <si>
    <r>
      <rPr>
        <sz val="7.5"/>
        <rFont val="Arial"/>
        <family val="2"/>
      </rPr>
      <t>K4120</t>
    </r>
  </si>
  <si>
    <r>
      <rPr>
        <sz val="7.5"/>
        <rFont val="Arial"/>
        <family val="2"/>
      </rPr>
      <t>K4150</t>
    </r>
  </si>
  <si>
    <r>
      <rPr>
        <sz val="7.5"/>
        <rFont val="Arial"/>
        <family val="2"/>
      </rPr>
      <t>K4180</t>
    </r>
  </si>
  <si>
    <r>
      <rPr>
        <sz val="7.5"/>
        <rFont val="Arial"/>
        <family val="2"/>
      </rPr>
      <t>K4200</t>
    </r>
  </si>
  <si>
    <r>
      <rPr>
        <sz val="7.5"/>
        <rFont val="Arial"/>
        <family val="2"/>
      </rPr>
      <t>K4220</t>
    </r>
  </si>
  <si>
    <r>
      <rPr>
        <sz val="7.5"/>
        <rFont val="Arial"/>
        <family val="2"/>
      </rPr>
      <t>K4250</t>
    </r>
  </si>
  <si>
    <r>
      <rPr>
        <sz val="7.5"/>
        <rFont val="Arial"/>
        <family val="2"/>
      </rPr>
      <t>K4280</t>
    </r>
  </si>
  <si>
    <r>
      <rPr>
        <sz val="7.5"/>
        <rFont val="Arial"/>
        <family val="2"/>
      </rPr>
      <t>K4300</t>
    </r>
  </si>
  <si>
    <r>
      <rPr>
        <b/>
        <sz val="9"/>
        <rFont val="Arial"/>
        <family val="2"/>
      </rPr>
      <t>Modelle 5-Säuler Clinic</t>
    </r>
  </si>
  <si>
    <r>
      <rPr>
        <sz val="7.5"/>
        <rFont val="Arial"/>
        <family val="2"/>
      </rPr>
      <t>K5026</t>
    </r>
  </si>
  <si>
    <r>
      <rPr>
        <sz val="7.5"/>
        <rFont val="Arial"/>
        <family val="2"/>
      </rPr>
      <t>K5030</t>
    </r>
  </si>
  <si>
    <r>
      <rPr>
        <sz val="7.5"/>
        <rFont val="Arial"/>
        <family val="2"/>
      </rPr>
      <t>K5035</t>
    </r>
  </si>
  <si>
    <r>
      <rPr>
        <sz val="7.5"/>
        <rFont val="Arial"/>
        <family val="2"/>
      </rPr>
      <t>K5040</t>
    </r>
  </si>
  <si>
    <r>
      <rPr>
        <sz val="7.5"/>
        <rFont val="Arial"/>
        <family val="2"/>
      </rPr>
      <t>K5045</t>
    </r>
  </si>
  <si>
    <r>
      <rPr>
        <sz val="7.5"/>
        <rFont val="Arial"/>
        <family val="2"/>
      </rPr>
      <t>K5050</t>
    </r>
  </si>
  <si>
    <r>
      <rPr>
        <sz val="7.5"/>
        <rFont val="Arial"/>
        <family val="2"/>
      </rPr>
      <t>K5055</t>
    </r>
  </si>
  <si>
    <r>
      <rPr>
        <sz val="7.5"/>
        <rFont val="Arial"/>
        <family val="2"/>
      </rPr>
      <t>K5060</t>
    </r>
  </si>
  <si>
    <r>
      <rPr>
        <sz val="7.5"/>
        <rFont val="Arial"/>
        <family val="2"/>
      </rPr>
      <t>K5075</t>
    </r>
  </si>
  <si>
    <r>
      <rPr>
        <sz val="7.5"/>
        <rFont val="Arial"/>
        <family val="2"/>
      </rPr>
      <t>K5090</t>
    </r>
  </si>
  <si>
    <r>
      <rPr>
        <sz val="7.5"/>
        <rFont val="Arial"/>
        <family val="2"/>
      </rPr>
      <t>K5100</t>
    </r>
  </si>
  <si>
    <r>
      <rPr>
        <sz val="7.5"/>
        <rFont val="Arial"/>
        <family val="2"/>
      </rPr>
      <t>K5110</t>
    </r>
  </si>
  <si>
    <r>
      <rPr>
        <sz val="7.5"/>
        <rFont val="Arial"/>
        <family val="2"/>
      </rPr>
      <t>K5120</t>
    </r>
  </si>
  <si>
    <r>
      <rPr>
        <sz val="7.5"/>
        <rFont val="Arial"/>
        <family val="2"/>
      </rPr>
      <t>K5150</t>
    </r>
  </si>
  <si>
    <r>
      <rPr>
        <sz val="7.5"/>
        <rFont val="Arial"/>
        <family val="2"/>
      </rPr>
      <t>K5180</t>
    </r>
  </si>
  <si>
    <r>
      <rPr>
        <sz val="7.5"/>
        <rFont val="Arial"/>
        <family val="2"/>
      </rPr>
      <t>K5200</t>
    </r>
  </si>
  <si>
    <r>
      <rPr>
        <sz val="7.5"/>
        <rFont val="Arial"/>
        <family val="2"/>
      </rPr>
      <t>K5220</t>
    </r>
  </si>
  <si>
    <r>
      <rPr>
        <sz val="7.5"/>
        <rFont val="Arial"/>
        <family val="2"/>
      </rPr>
      <t>K5250</t>
    </r>
  </si>
  <si>
    <r>
      <rPr>
        <sz val="7.5"/>
        <rFont val="Arial"/>
        <family val="2"/>
      </rPr>
      <t>K5280</t>
    </r>
  </si>
  <si>
    <r>
      <rPr>
        <sz val="7.5"/>
        <rFont val="Arial"/>
        <family val="2"/>
      </rPr>
      <t>K5300</t>
    </r>
  </si>
  <si>
    <r>
      <rPr>
        <b/>
        <sz val="9"/>
        <rFont val="Arial"/>
        <family val="2"/>
      </rPr>
      <t>Modelle 6-Säuler Clinic</t>
    </r>
  </si>
  <si>
    <r>
      <rPr>
        <sz val="7.5"/>
        <rFont val="Arial"/>
        <family val="2"/>
      </rPr>
      <t>K6026</t>
    </r>
  </si>
  <si>
    <r>
      <rPr>
        <sz val="7.5"/>
        <rFont val="Arial"/>
        <family val="2"/>
      </rPr>
      <t>K6030</t>
    </r>
  </si>
  <si>
    <r>
      <rPr>
        <sz val="7.5"/>
        <rFont val="Arial"/>
        <family val="2"/>
      </rPr>
      <t>K6035</t>
    </r>
  </si>
  <si>
    <r>
      <rPr>
        <sz val="7.5"/>
        <rFont val="Arial"/>
        <family val="2"/>
      </rPr>
      <t>K6040</t>
    </r>
  </si>
  <si>
    <r>
      <rPr>
        <sz val="7.5"/>
        <rFont val="Arial"/>
        <family val="2"/>
      </rPr>
      <t>K6045</t>
    </r>
  </si>
  <si>
    <r>
      <rPr>
        <sz val="7.5"/>
        <rFont val="Arial"/>
        <family val="2"/>
      </rPr>
      <t>K6050</t>
    </r>
  </si>
  <si>
    <r>
      <rPr>
        <sz val="7.5"/>
        <rFont val="Arial"/>
        <family val="2"/>
      </rPr>
      <t>K6055</t>
    </r>
  </si>
  <si>
    <r>
      <rPr>
        <sz val="7.5"/>
        <rFont val="Arial"/>
        <family val="2"/>
      </rPr>
      <t>K6060</t>
    </r>
  </si>
  <si>
    <r>
      <rPr>
        <sz val="7.5"/>
        <rFont val="Arial"/>
        <family val="2"/>
      </rPr>
      <t>K6075</t>
    </r>
  </si>
  <si>
    <r>
      <rPr>
        <sz val="7.5"/>
        <rFont val="Arial"/>
        <family val="2"/>
      </rPr>
      <t>K6090</t>
    </r>
  </si>
  <si>
    <r>
      <rPr>
        <sz val="7.5"/>
        <rFont val="Arial"/>
        <family val="2"/>
      </rPr>
      <t>K6100</t>
    </r>
  </si>
  <si>
    <r>
      <rPr>
        <sz val="7.5"/>
        <rFont val="Arial"/>
        <family val="2"/>
      </rPr>
      <t>K6110</t>
    </r>
  </si>
  <si>
    <r>
      <rPr>
        <sz val="7.5"/>
        <rFont val="Arial"/>
        <family val="2"/>
      </rPr>
      <t>K6120</t>
    </r>
  </si>
  <si>
    <r>
      <rPr>
        <sz val="7.5"/>
        <rFont val="Arial"/>
        <family val="2"/>
      </rPr>
      <t>K6150</t>
    </r>
  </si>
  <si>
    <r>
      <rPr>
        <sz val="7.5"/>
        <rFont val="Arial"/>
        <family val="2"/>
      </rPr>
      <t>K6180</t>
    </r>
  </si>
  <si>
    <r>
      <rPr>
        <sz val="7.5"/>
        <rFont val="Arial"/>
        <family val="2"/>
      </rPr>
      <t>K6200</t>
    </r>
  </si>
  <si>
    <r>
      <rPr>
        <sz val="7.5"/>
        <rFont val="Arial"/>
        <family val="2"/>
      </rPr>
      <t>K6220</t>
    </r>
  </si>
  <si>
    <r>
      <rPr>
        <sz val="7.5"/>
        <rFont val="Arial"/>
        <family val="2"/>
      </rPr>
      <t>K6250</t>
    </r>
  </si>
  <si>
    <r>
      <rPr>
        <sz val="7.5"/>
        <rFont val="Arial"/>
        <family val="2"/>
      </rPr>
      <t>K6280</t>
    </r>
  </si>
  <si>
    <r>
      <rPr>
        <sz val="7.5"/>
        <rFont val="Arial"/>
        <family val="2"/>
      </rPr>
      <t>K6300</t>
    </r>
  </si>
  <si>
    <r>
      <rPr>
        <sz val="16"/>
        <rFont val="Arial"/>
        <family val="2"/>
      </rPr>
      <t>Zehnder Charleston Turned</t>
    </r>
  </si>
  <si>
    <r>
      <rPr>
        <b/>
        <sz val="9"/>
        <rFont val="Arial"/>
        <family val="2"/>
      </rPr>
      <t>Horizontale Modelle 2- und 3-Säuler</t>
    </r>
  </si>
  <si>
    <r>
      <rPr>
        <sz val="6"/>
        <rFont val="Arial"/>
        <family val="2"/>
      </rPr>
      <t>30                   WA</t>
    </r>
  </si>
  <si>
    <r>
      <rPr>
        <sz val="7.5"/>
        <rFont val="Arial"/>
        <family val="2"/>
      </rPr>
      <t>Technische Daten pro Heizkörper</t>
    </r>
  </si>
  <si>
    <r>
      <rPr>
        <sz val="7.5"/>
        <rFont val="Arial"/>
        <family val="2"/>
      </rPr>
      <t xml:space="preserve">L
</t>
    </r>
    <r>
      <rPr>
        <sz val="7.5"/>
        <rFont val="Arial"/>
        <family val="2"/>
      </rPr>
      <t>(mm)</t>
    </r>
  </si>
  <si>
    <r>
      <rPr>
        <sz val="7.5"/>
        <rFont val="Arial"/>
        <family val="2"/>
      </rPr>
      <t>N</t>
    </r>
    <r>
      <rPr>
        <vertAlign val="subscript"/>
        <sz val="4"/>
        <rFont val="Arial"/>
        <family val="2"/>
      </rPr>
      <t xml:space="preserve">1
</t>
    </r>
    <r>
      <rPr>
        <sz val="7.5"/>
        <rFont val="Arial"/>
        <family val="2"/>
      </rPr>
      <t>(mm)</t>
    </r>
  </si>
  <si>
    <r>
      <rPr>
        <sz val="7.5"/>
        <rFont val="Arial"/>
        <family val="2"/>
      </rPr>
      <t>N</t>
    </r>
    <r>
      <rPr>
        <vertAlign val="subscript"/>
        <sz val="4"/>
        <rFont val="Arial"/>
        <family val="2"/>
      </rPr>
      <t xml:space="preserve">2
</t>
    </r>
    <r>
      <rPr>
        <sz val="7.5"/>
        <rFont val="Arial"/>
        <family val="2"/>
      </rPr>
      <t>(mm)</t>
    </r>
  </si>
  <si>
    <r>
      <rPr>
        <sz val="7.5"/>
        <rFont val="Arial"/>
        <family val="2"/>
      </rPr>
      <t>T 2150/6</t>
    </r>
  </si>
  <si>
    <r>
      <rPr>
        <sz val="7.5"/>
        <rFont val="Arial"/>
        <family val="2"/>
      </rPr>
      <t>T 2150/8</t>
    </r>
  </si>
  <si>
    <r>
      <rPr>
        <sz val="7.5"/>
        <rFont val="Arial"/>
        <family val="2"/>
      </rPr>
      <t>T 2150/10</t>
    </r>
  </si>
  <si>
    <r>
      <rPr>
        <sz val="7.5"/>
        <rFont val="Arial"/>
        <family val="2"/>
      </rPr>
      <t>T 2150/12</t>
    </r>
  </si>
  <si>
    <r>
      <rPr>
        <sz val="7.5"/>
        <rFont val="Arial"/>
        <family val="2"/>
      </rPr>
      <t>T 2180/6</t>
    </r>
  </si>
  <si>
    <r>
      <rPr>
        <sz val="7.5"/>
        <rFont val="Arial"/>
        <family val="2"/>
      </rPr>
      <t>T 2180/8</t>
    </r>
  </si>
  <si>
    <r>
      <rPr>
        <sz val="7.5"/>
        <rFont val="Arial"/>
        <family val="2"/>
      </rPr>
      <t>T 2180/10</t>
    </r>
  </si>
  <si>
    <r>
      <rPr>
        <sz val="7.5"/>
        <rFont val="Arial"/>
        <family val="2"/>
      </rPr>
      <t>T 2180/12</t>
    </r>
  </si>
  <si>
    <r>
      <rPr>
        <sz val="7.5"/>
        <rFont val="Arial"/>
        <family val="2"/>
      </rPr>
      <t>T 3150/6</t>
    </r>
  </si>
  <si>
    <r>
      <rPr>
        <sz val="7.5"/>
        <rFont val="Arial"/>
        <family val="2"/>
      </rPr>
      <t>T 3150/8</t>
    </r>
  </si>
  <si>
    <r>
      <rPr>
        <sz val="7.5"/>
        <rFont val="Arial"/>
        <family val="2"/>
      </rPr>
      <t>T 3150/10</t>
    </r>
  </si>
  <si>
    <r>
      <rPr>
        <sz val="7.5"/>
        <rFont val="Arial"/>
        <family val="2"/>
      </rPr>
      <t>T 3150/12</t>
    </r>
  </si>
  <si>
    <r>
      <rPr>
        <sz val="7.5"/>
        <rFont val="Arial"/>
        <family val="2"/>
      </rPr>
      <t>T 3180/6</t>
    </r>
  </si>
  <si>
    <r>
      <rPr>
        <sz val="7.5"/>
        <rFont val="Arial"/>
        <family val="2"/>
      </rPr>
      <t>T 3180/8</t>
    </r>
  </si>
  <si>
    <r>
      <rPr>
        <sz val="7.5"/>
        <rFont val="Arial"/>
        <family val="2"/>
      </rPr>
      <t>T 3180/10</t>
    </r>
  </si>
  <si>
    <r>
      <rPr>
        <sz val="7.5"/>
        <rFont val="Arial"/>
        <family val="2"/>
      </rPr>
      <t>T 3180/12</t>
    </r>
  </si>
  <si>
    <t>Arbonia (Prolux, Kermi, etc.)</t>
  </si>
  <si>
    <t>Zehnder</t>
  </si>
  <si>
    <t>46 mm pro Glieder</t>
  </si>
  <si>
    <t>65 mm pro Glieder</t>
  </si>
  <si>
    <t>Zehnder Charleston</t>
  </si>
  <si>
    <t>Zehnder Charleston clinic</t>
  </si>
  <si>
    <t>Preis 2025 (CHF)</t>
  </si>
  <si>
    <t>Modelle 6-Säuler</t>
  </si>
  <si>
    <r>
      <rPr>
        <b/>
        <sz val="9"/>
        <rFont val="Arial"/>
        <family val="2"/>
      </rPr>
      <t>Zwischenbauhöhen</t>
    </r>
  </si>
  <si>
    <r>
      <rPr>
        <sz val="7.5"/>
        <rFont val="Arial"/>
        <family val="2"/>
      </rPr>
      <t xml:space="preserve">Preis nächste Standardhöhe                                      </t>
    </r>
    <r>
      <rPr>
        <b/>
        <sz val="7.5"/>
        <rFont val="Arial"/>
        <family val="2"/>
      </rPr>
      <t>+ 25 %</t>
    </r>
  </si>
  <si>
    <r>
      <rPr>
        <b/>
        <sz val="9"/>
        <rFont val="Arial"/>
        <family val="2"/>
      </rPr>
      <t>Hochdruck</t>
    </r>
  </si>
  <si>
    <r>
      <rPr>
        <sz val="7.5"/>
        <rFont val="Arial"/>
        <family val="2"/>
      </rPr>
      <t xml:space="preserve">Betriebsdruck max. 18 bar                                          </t>
    </r>
    <r>
      <rPr>
        <b/>
        <sz val="7.5"/>
        <rFont val="Arial"/>
        <family val="2"/>
      </rPr>
      <t>+ 13 %</t>
    </r>
  </si>
  <si>
    <r>
      <rPr>
        <b/>
        <sz val="9"/>
        <rFont val="Arial"/>
        <family val="2"/>
      </rPr>
      <t>Anschlüsse</t>
    </r>
  </si>
  <si>
    <r>
      <rPr>
        <b/>
        <sz val="7.5"/>
        <rFont val="Arial"/>
        <family val="2"/>
      </rPr>
      <t xml:space="preserve">Einhrohranschlüsse vertikal                                        CHF    40.95
</t>
    </r>
    <r>
      <rPr>
        <sz val="7.5"/>
        <rFont val="Arial"/>
        <family val="2"/>
      </rPr>
      <t xml:space="preserve">System TKM
</t>
    </r>
    <r>
      <rPr>
        <b/>
        <sz val="7.5"/>
        <rFont val="Arial"/>
        <family val="2"/>
      </rPr>
      <t>Einrohranschlüsse horizontal                                      nicht möglich</t>
    </r>
  </si>
  <si>
    <r>
      <rPr>
        <b/>
        <sz val="7.5"/>
        <rFont val="Arial"/>
        <family val="2"/>
      </rPr>
      <t xml:space="preserve">Spezialanschlüsse wechselseitig
</t>
    </r>
    <r>
      <rPr>
        <sz val="7.5"/>
        <rFont val="Arial"/>
        <family val="2"/>
      </rPr>
      <t>nach unten, pro Anschlusspaar</t>
    </r>
  </si>
  <si>
    <r>
      <rPr>
        <b/>
        <sz val="7.5"/>
        <rFont val="Arial"/>
        <family val="2"/>
      </rPr>
      <t>CHF</t>
    </r>
  </si>
  <si>
    <r>
      <rPr>
        <b/>
        <sz val="7.5"/>
        <rFont val="Arial"/>
        <family val="2"/>
      </rPr>
      <t xml:space="preserve">Spezialanschlüsse gleichseitig
</t>
    </r>
    <r>
      <rPr>
        <sz val="7.5"/>
        <rFont val="Arial"/>
        <family val="2"/>
      </rPr>
      <t>nach unten, 50 mm Anschlussmass, Anordnung links, rechts oder mittig, pro Anschlusspaar</t>
    </r>
  </si>
  <si>
    <r>
      <rPr>
        <b/>
        <sz val="9"/>
        <rFont val="Arial"/>
        <family val="2"/>
      </rPr>
      <t>Einsatzrohre</t>
    </r>
  </si>
  <si>
    <r>
      <rPr>
        <sz val="7.5"/>
        <rFont val="Arial"/>
        <family val="2"/>
      </rPr>
      <t xml:space="preserve">Grundpreis pro HK                                                       </t>
    </r>
    <r>
      <rPr>
        <b/>
        <sz val="7.5"/>
        <rFont val="Arial"/>
        <family val="2"/>
      </rPr>
      <t>CHF   167.45</t>
    </r>
  </si>
  <si>
    <r>
      <rPr>
        <b/>
        <sz val="9"/>
        <rFont val="Arial"/>
        <family val="2"/>
      </rPr>
      <t>Sonderausführungen</t>
    </r>
  </si>
  <si>
    <r>
      <rPr>
        <sz val="7.5"/>
        <rFont val="Arial"/>
        <family val="2"/>
      </rPr>
      <t xml:space="preserve">Bauhöhe über 3000 mm                                             </t>
    </r>
    <r>
      <rPr>
        <b/>
        <sz val="7.5"/>
        <rFont val="Arial"/>
        <family val="2"/>
      </rPr>
      <t>auf Anfrage Weitere Sonderausführungen auf Anfrage</t>
    </r>
  </si>
  <si>
    <r>
      <rPr>
        <b/>
        <sz val="9"/>
        <rFont val="Arial"/>
        <family val="2"/>
      </rPr>
      <t>Sonderlackierung</t>
    </r>
  </si>
  <si>
    <r>
      <rPr>
        <b/>
        <sz val="9"/>
        <rFont val="Arial"/>
        <family val="2"/>
      </rPr>
      <t>Fusskonsolen / Befestigungszubehör</t>
    </r>
  </si>
  <si>
    <r>
      <rPr>
        <b/>
        <sz val="7.5"/>
        <rFont val="Arial"/>
        <family val="2"/>
      </rPr>
      <t>Fusskonsolen / Befestigungszubehör                  siehe Rubrik Zubehör</t>
    </r>
  </si>
  <si>
    <r>
      <rPr>
        <b/>
        <sz val="9"/>
        <rFont val="Arial"/>
        <family val="2"/>
      </rPr>
      <t>Thermostatventil</t>
    </r>
  </si>
  <si>
    <r>
      <rPr>
        <sz val="7.5"/>
        <rFont val="Arial"/>
        <family val="2"/>
      </rPr>
      <t xml:space="preserve">Nur für Zehnder Charleston Completto:
</t>
    </r>
    <r>
      <rPr>
        <b/>
        <sz val="7.5"/>
        <rFont val="Arial"/>
        <family val="2"/>
      </rPr>
      <t xml:space="preserve">Regulierventil Typ UNI-A                                             CHF 372.60
</t>
    </r>
    <r>
      <rPr>
        <sz val="7.5"/>
        <rFont val="Arial"/>
        <family val="2"/>
      </rPr>
      <t>Mit festem Fühler, werkseitig, Typ LH2</t>
    </r>
  </si>
  <si>
    <t>Zehnder Charleston Clinic</t>
  </si>
  <si>
    <r>
      <rPr>
        <b/>
        <sz val="7.5"/>
        <rFont val="Arial"/>
        <family val="2"/>
      </rPr>
      <t xml:space="preserve">Einhrohranschlüsse vertikal
</t>
    </r>
    <r>
      <rPr>
        <sz val="7.5"/>
        <rFont val="Arial"/>
        <family val="2"/>
      </rPr>
      <t>System TKM</t>
    </r>
  </si>
  <si>
    <r>
      <rPr>
        <b/>
        <sz val="7.5"/>
        <rFont val="Arial"/>
        <family val="2"/>
      </rPr>
      <t>nicht möglich</t>
    </r>
  </si>
  <si>
    <r>
      <rPr>
        <b/>
        <sz val="7.5"/>
        <rFont val="Arial"/>
        <family val="2"/>
      </rPr>
      <t xml:space="preserve">Zweirohranschlüsse seitlich
</t>
    </r>
    <r>
      <rPr>
        <sz val="7.5"/>
        <rFont val="Arial"/>
        <family val="2"/>
      </rPr>
      <t>Code 1280, 1680, 7290, 7690</t>
    </r>
  </si>
  <si>
    <r>
      <rPr>
        <b/>
        <sz val="7.5"/>
        <rFont val="Arial"/>
        <family val="2"/>
      </rPr>
      <t>CHF    53.35</t>
    </r>
  </si>
  <si>
    <r>
      <rPr>
        <b/>
        <sz val="7.5"/>
        <rFont val="Arial"/>
        <family val="2"/>
      </rPr>
      <t>Einrohranschlüsse horizontal</t>
    </r>
  </si>
  <si>
    <r>
      <rPr>
        <b/>
        <sz val="7.5"/>
        <rFont val="Arial"/>
        <family val="2"/>
      </rPr>
      <t xml:space="preserve">Zweirohranschlüsse nach unten
</t>
    </r>
    <r>
      <rPr>
        <sz val="7.5"/>
        <rFont val="Arial"/>
        <family val="2"/>
      </rPr>
      <t>Code 3580, 5390</t>
    </r>
  </si>
  <si>
    <r>
      <rPr>
        <b/>
        <sz val="7.5"/>
        <rFont val="Arial"/>
        <family val="2"/>
      </rPr>
      <t>kein Mehrpreis</t>
    </r>
  </si>
  <si>
    <r>
      <rPr>
        <b/>
        <sz val="7.5"/>
        <rFont val="Arial"/>
        <family val="2"/>
      </rPr>
      <t>Thermolackierung</t>
    </r>
  </si>
  <si>
    <r>
      <rPr>
        <b/>
        <sz val="7.5"/>
        <rFont val="Arial"/>
        <family val="2"/>
      </rPr>
      <t>Grundierte Ausführung</t>
    </r>
  </si>
  <si>
    <r>
      <rPr>
        <b/>
        <sz val="7.5"/>
        <rFont val="Arial"/>
        <family val="2"/>
      </rPr>
      <t>Preis Standardausführung</t>
    </r>
  </si>
  <si>
    <r>
      <rPr>
        <b/>
        <sz val="9"/>
        <rFont val="Arial"/>
        <family val="2"/>
      </rPr>
      <t>Befestigungszubehör</t>
    </r>
  </si>
  <si>
    <r>
      <rPr>
        <b/>
        <sz val="7.5"/>
        <rFont val="Arial"/>
        <family val="2"/>
      </rPr>
      <t>Befestigungszubehör                                             siehe Rubrik Zubehör</t>
    </r>
  </si>
  <si>
    <t>Zehnder Charleston Turned</t>
  </si>
  <si>
    <r>
      <rPr>
        <b/>
        <sz val="7.5"/>
        <rFont val="Arial"/>
        <family val="2"/>
      </rPr>
      <t xml:space="preserve">Grundierte Ausführung                                    Preis Standardausführung 
</t>
    </r>
    <r>
      <rPr>
        <sz val="7.5"/>
        <rFont val="Arial"/>
        <family val="2"/>
      </rPr>
      <t xml:space="preserve">Die Grundierung schützt den Heizkörper während des Transportes und auf der Baustelle bei trockener Lagerung und eignet sich für
das Auftragen eines Deckanstriches. Auf der Baustelle entstandene Schäden und Rostbildungen müssen bauseits gereinigt und vor dem Auftragen der Deckfarbe nachgrundiert werden.
</t>
    </r>
    <r>
      <rPr>
        <b/>
        <sz val="7.5"/>
        <rFont val="Arial"/>
        <family val="2"/>
      </rPr>
      <t xml:space="preserve">Verzinkte Ausführungen                                              + 90 % 
</t>
    </r>
    <r>
      <rPr>
        <sz val="7.5"/>
        <rFont val="Arial"/>
        <family val="2"/>
      </rPr>
      <t>Galvanische Verzinkung mit anschliessender Thermolackierung bis Abmessungen von max. 3000 x 850 x 450 mm. Liefertermin auf Anfrage.</t>
    </r>
  </si>
  <si>
    <r>
      <rPr>
        <b/>
        <sz val="7.5"/>
        <rFont val="Arial"/>
        <family val="2"/>
      </rPr>
      <t>Thermolackierung</t>
    </r>
    <r>
      <rPr>
        <sz val="7.5"/>
        <rFont val="Arial"/>
        <family val="2"/>
      </rPr>
      <t xml:space="preserve">
Standardausführung RAL 9016 Verkehrsweiss                                </t>
    </r>
    <r>
      <rPr>
        <b/>
        <sz val="7.5"/>
        <rFont val="Arial"/>
        <family val="2"/>
      </rPr>
      <t xml:space="preserve">Listenpreis
Sonderlackierungen / Oberflächen                           + 22 %
</t>
    </r>
    <r>
      <rPr>
        <sz val="7.5"/>
        <rFont val="Arial"/>
        <family val="2"/>
      </rPr>
      <t xml:space="preserve">Farben gemäss Zehnder Farbkarte
</t>
    </r>
    <r>
      <rPr>
        <b/>
        <sz val="7.5"/>
        <rFont val="Arial"/>
        <family val="2"/>
      </rPr>
      <t xml:space="preserve">Übrige RAL-, NCS-S- und Sanitärfarben                 + 22 % zzgl. Bearbeitungsgebühr pauschal CHF 230.00
netto pro Auftrag und Farbe
</t>
    </r>
    <r>
      <rPr>
        <sz val="7.5"/>
        <rFont val="Arial"/>
        <family val="2"/>
      </rPr>
      <t xml:space="preserve">Geringe Farbunterschiede gegenüber den RAL- oder NCS-Originalfarben sind aufgrund unterschiedlichen Glanzes und anderer Herstellungstechnik möglich.
</t>
    </r>
    <r>
      <rPr>
        <b/>
        <sz val="7.5"/>
        <rFont val="Arial"/>
        <family val="2"/>
      </rPr>
      <t xml:space="preserve">Transparentlackierung                                                 + 32 % 
Ausnahmen
</t>
    </r>
    <r>
      <rPr>
        <sz val="7.5"/>
        <rFont val="Arial"/>
        <family val="2"/>
      </rPr>
      <t xml:space="preserve">Metallic-Lackierungen und RAL-Leuchtfarben                             </t>
    </r>
    <r>
      <rPr>
        <b/>
        <sz val="7.5"/>
        <rFont val="Arial"/>
        <family val="2"/>
      </rPr>
      <t>auf Anfrage</t>
    </r>
  </si>
  <si>
    <r>
      <rPr>
        <b/>
        <sz val="7.5"/>
        <color rgb="FF000000"/>
        <rFont val="Arial"/>
        <family val="2"/>
      </rPr>
      <t>Grundierte Ausführung                                       Preis Standardausführung</t>
    </r>
    <r>
      <rPr>
        <sz val="7.5"/>
        <color rgb="FF000000"/>
        <rFont val="Arial"/>
        <family val="2"/>
      </rPr>
      <t xml:space="preserve">
Die Grundierung schützt den Heizkörper während des Transportes
und auf der Baustelle bei trockener Lagerung und eignet sich für das Auftragen eines Deckanstriches. Auf der Baustelle entstandene Schäden und Rostbildungen müssen bauseits gereinigt und vor dem Auftragen der Deckfarbe nachgrundiert werden.
</t>
    </r>
    <r>
      <rPr>
        <b/>
        <sz val="7.5"/>
        <color rgb="FF000000"/>
        <rFont val="Arial"/>
        <family val="2"/>
      </rPr>
      <t xml:space="preserve">Verzinkte Ausführungen                                     + 90 % </t>
    </r>
    <r>
      <rPr>
        <sz val="7.5"/>
        <color rgb="FF000000"/>
        <rFont val="Arial"/>
        <family val="2"/>
      </rPr>
      <t xml:space="preserve">
Galvanische Verzinkung mit anschliessender Thermolackierung bis Abmessungen von max. 3000 x 850 x 450 mm. Liefertermin auf Anfrage.</t>
    </r>
  </si>
  <si>
    <r>
      <rPr>
        <b/>
        <sz val="7.5"/>
        <rFont val="Arial"/>
        <family val="2"/>
      </rPr>
      <t xml:space="preserve">Thermolackierung
</t>
    </r>
    <r>
      <rPr>
        <sz val="7.5"/>
        <rFont val="Arial"/>
        <family val="2"/>
      </rPr>
      <t xml:space="preserve">Standardausführung RAL 9016 Verkehrsweiss         </t>
    </r>
    <r>
      <rPr>
        <b/>
        <sz val="7.5"/>
        <rFont val="Arial"/>
        <family val="2"/>
      </rPr>
      <t xml:space="preserve">Listenpreis
Sonderlackierungen / Oberflächen                             + 22 %
</t>
    </r>
    <r>
      <rPr>
        <sz val="7.5"/>
        <rFont val="Arial"/>
        <family val="2"/>
      </rPr>
      <t xml:space="preserve">Farben CORE und TREND gemäss Zehnder Farbkarte
</t>
    </r>
    <r>
      <rPr>
        <b/>
        <sz val="7.5"/>
        <rFont val="Arial"/>
        <family val="2"/>
      </rPr>
      <t xml:space="preserve">Übrige RAL-, NCS-S- und Sanitärfarben                    + 22 % zzgl. Bearbeitungsgebühr pauschal CHF 230.00
netto pro Auftrag und Farbe
</t>
    </r>
    <r>
      <rPr>
        <sz val="7.5"/>
        <rFont val="Arial"/>
        <family val="2"/>
      </rPr>
      <t xml:space="preserve">Geringe Farbunterschiede gegenüber den RAL- oder NCS-Originalfarben sind aufgrund unterschiedlichen Glanzes und anderer Herstellungstechnik möglich.
</t>
    </r>
    <r>
      <rPr>
        <b/>
        <sz val="7.5"/>
        <rFont val="Arial"/>
        <family val="2"/>
      </rPr>
      <t xml:space="preserve">Transparentlackierung                                                 + 32 %
</t>
    </r>
    <r>
      <rPr>
        <sz val="7.5"/>
        <rFont val="Arial"/>
        <family val="2"/>
      </rPr>
      <t xml:space="preserve">Gebogene und gewinkelte Ausführungen nicht möglich
</t>
    </r>
    <r>
      <rPr>
        <b/>
        <sz val="7.5"/>
        <rFont val="Arial"/>
        <family val="2"/>
      </rPr>
      <t xml:space="preserve">Ausnahmen
</t>
    </r>
    <r>
      <rPr>
        <sz val="7.5"/>
        <rFont val="Arial"/>
        <family val="2"/>
      </rPr>
      <t xml:space="preserve">Metallic-Lackierungen und RAL-Leuchtfarben                     </t>
    </r>
    <r>
      <rPr>
        <b/>
        <sz val="7.5"/>
        <rFont val="Arial"/>
        <family val="2"/>
      </rPr>
      <t>auf Anfrage</t>
    </r>
  </si>
  <si>
    <r>
      <rPr>
        <b/>
        <sz val="7.5"/>
        <rFont val="Arial"/>
        <family val="2"/>
      </rPr>
      <t xml:space="preserve">Spezialanschlüsse gleichseitig (Easy Access)
</t>
    </r>
    <r>
      <rPr>
        <sz val="7.5"/>
        <rFont val="Arial"/>
        <family val="2"/>
      </rPr>
      <t>seitlich mit vordefinierten Nabenabständen</t>
    </r>
    <r>
      <rPr>
        <sz val="7.5"/>
        <color rgb="FF000000"/>
        <rFont val="Arial"/>
        <family val="2"/>
      </rPr>
      <t xml:space="preserve"> für Austauschmodelle oder barrierefreie Ausführungen (Rücklauf auf Standardposition)</t>
    </r>
  </si>
  <si>
    <t>Stahlradiatoren</t>
  </si>
  <si>
    <t>DIN 4722</t>
  </si>
  <si>
    <t>DIN 4722 Stahlradiatoren</t>
  </si>
  <si>
    <t>DIN 4722 Gussradiatoren</t>
  </si>
  <si>
    <r>
      <t>Nabenabstand h</t>
    </r>
    <r>
      <rPr>
        <vertAlign val="subscript"/>
        <sz val="10"/>
        <rFont val="Arial"/>
        <family val="2"/>
      </rPr>
      <t>1</t>
    </r>
    <r>
      <rPr>
        <sz val="10"/>
        <rFont val="Arial"/>
        <family val="2"/>
      </rPr>
      <t>,
Zul. Abweichung +- 0.3</t>
    </r>
  </si>
  <si>
    <t>Bautiefe c
Zul. Abweichung +- 2.0</t>
  </si>
  <si>
    <r>
      <t>Heizfläche je Glied in m</t>
    </r>
    <r>
      <rPr>
        <vertAlign val="superscript"/>
        <sz val="10"/>
        <rFont val="Arial"/>
        <family val="2"/>
      </rPr>
      <t>2</t>
    </r>
    <r>
      <rPr>
        <sz val="10"/>
        <rFont val="Arial"/>
        <family val="2"/>
      </rPr>
      <t xml:space="preserve">
für Bautiefe c</t>
    </r>
  </si>
  <si>
    <t>Heizleistung von Heizkörpern bei tv = 90 °C, tr = 70 °C und
ti = 20 °C</t>
  </si>
  <si>
    <t>Heizleistung von Heizkörpern bei tm = 80 °C, traum = 20 °C</t>
  </si>
  <si>
    <t>Heizleistung von Heizkörpern bei tm = 100 °C, traum = 20 °C</t>
  </si>
  <si>
    <t>50 mm/Glieder</t>
  </si>
  <si>
    <t>60 mm/Glieder</t>
  </si>
  <si>
    <t>Arbonia</t>
  </si>
  <si>
    <t>ARB 2-Säule</t>
  </si>
  <si>
    <t>ARB 3-Säule</t>
  </si>
  <si>
    <t>ARB 4-Säule</t>
  </si>
  <si>
    <t>ARB 5-Säule</t>
  </si>
  <si>
    <t>ARB 6-Säule</t>
  </si>
  <si>
    <t>ZEHN 2-Säule</t>
  </si>
  <si>
    <t>ZEHN 6-Säule</t>
  </si>
  <si>
    <t>ZEHN 5-Säule</t>
  </si>
  <si>
    <t>ZEHN 4-Säule</t>
  </si>
  <si>
    <t>ZEHN 3-Säule</t>
  </si>
  <si>
    <t>2-Säule</t>
  </si>
  <si>
    <t>y = 0.066x + 5.1012</t>
  </si>
  <si>
    <t>3-Säule</t>
  </si>
  <si>
    <t>4-Säule</t>
  </si>
  <si>
    <t>y = 0.0874x + 7.5286</t>
  </si>
  <si>
    <t>y = 0.1116x + 11.375</t>
  </si>
  <si>
    <t>y = 0.1288x + 22.511</t>
  </si>
  <si>
    <t>5-Säule</t>
  </si>
  <si>
    <t>6-Säule</t>
  </si>
  <si>
    <t>y = 0.1351x + 15.436</t>
  </si>
  <si>
    <t>y = 0.1575x + 19.8</t>
  </si>
  <si>
    <t>Arbonia Formel</t>
  </si>
  <si>
    <t>Zehnder Formel</t>
  </si>
  <si>
    <t>max</t>
  </si>
  <si>
    <t>min</t>
  </si>
  <si>
    <t>Heizleistung</t>
  </si>
  <si>
    <t>Strahlungsanteil</t>
  </si>
  <si>
    <t>EN 442 ФL  ΔT 50K 75/65/20°C</t>
  </si>
  <si>
    <t>Spanien</t>
  </si>
  <si>
    <t>A00B07C36F28BROCH2es02pdf.pdf</t>
  </si>
  <si>
    <t>Baxi - Radiador por elementos (Seite 12)</t>
  </si>
  <si>
    <t>Glieder</t>
  </si>
  <si>
    <r>
      <t xml:space="preserve">Leistung </t>
    </r>
    <r>
      <rPr>
        <sz val="10"/>
        <rFont val="Franklin Gothic Book"/>
        <family val="2"/>
      </rPr>
      <t>∆</t>
    </r>
    <r>
      <rPr>
        <sz val="8.5"/>
        <rFont val="Arial"/>
        <family val="2"/>
      </rPr>
      <t>T = 50 °C</t>
    </r>
  </si>
  <si>
    <t>60-2</t>
  </si>
  <si>
    <t>75-2</t>
  </si>
  <si>
    <t>45-3</t>
  </si>
  <si>
    <t>60-3</t>
  </si>
  <si>
    <t>75-3</t>
  </si>
  <si>
    <t>90-3</t>
  </si>
  <si>
    <t>Differenz Arbonia</t>
  </si>
  <si>
    <t>Differenz Zehnder</t>
  </si>
  <si>
    <t>IRSAP</t>
  </si>
  <si>
    <t>Thermal Power</t>
  </si>
  <si>
    <t>Code</t>
  </si>
  <si>
    <t>Depth</t>
  </si>
  <si>
    <t>Height</t>
  </si>
  <si>
    <t>Conn. Centre</t>
  </si>
  <si>
    <t>Weigh</t>
  </si>
  <si>
    <t>Capacity</t>
  </si>
  <si>
    <r>
      <rPr>
        <sz val="7"/>
        <rFont val="Franklin Gothic Book"/>
        <family val="2"/>
      </rPr>
      <t>∆</t>
    </r>
    <r>
      <rPr>
        <sz val="7"/>
        <rFont val="Arial Narrow"/>
        <family val="2"/>
      </rPr>
      <t xml:space="preserve">t=50°C </t>
    </r>
  </si>
  <si>
    <r>
      <rPr>
        <sz val="7"/>
        <rFont val="Franklin Gothic Book"/>
        <family val="2"/>
      </rPr>
      <t>∆</t>
    </r>
    <r>
      <rPr>
        <sz val="7"/>
        <rFont val="Arial Narrow"/>
        <family val="2"/>
      </rPr>
      <t xml:space="preserve">t=40°C </t>
    </r>
  </si>
  <si>
    <r>
      <rPr>
        <sz val="7"/>
        <rFont val="Franklin Gothic Book"/>
        <family val="2"/>
      </rPr>
      <t>∆</t>
    </r>
    <r>
      <rPr>
        <sz val="7"/>
        <rFont val="Arial Narrow"/>
        <family val="2"/>
      </rPr>
      <t xml:space="preserve">t=30°C </t>
    </r>
  </si>
  <si>
    <r>
      <rPr>
        <sz val="7"/>
        <rFont val="Franklin Gothic Book"/>
        <family val="2"/>
      </rPr>
      <t>∆</t>
    </r>
    <r>
      <rPr>
        <sz val="7"/>
        <rFont val="Arial Narrow"/>
        <family val="2"/>
      </rPr>
      <t xml:space="preserve">t=20°C </t>
    </r>
  </si>
  <si>
    <t>Exp.</t>
  </si>
  <si>
    <t>Max. number of elements</t>
  </si>
  <si>
    <t>H mm</t>
  </si>
  <si>
    <t>H' mm</t>
  </si>
  <si>
    <t>l</t>
  </si>
  <si>
    <t>Btu/h</t>
  </si>
  <si>
    <t>Watt</t>
  </si>
  <si>
    <t>RT 2 0200 YY 01 A4 02 N</t>
  </si>
  <si>
    <t>RT 2 0300 YY 01 A4 02 N</t>
  </si>
  <si>
    <t>RT 2 0350 YY 01 A4 02 N</t>
  </si>
  <si>
    <t>RT 2 0365 YY 01 A4 02 N</t>
  </si>
  <si>
    <t>RT 2 0400 YY 01 A4 02 N</t>
  </si>
  <si>
    <t>RT 2 0450 YY 01 A4 02 N</t>
  </si>
  <si>
    <t>RT 2 0500 YY 01 A4 02 N</t>
  </si>
  <si>
    <t>RT 2 0535 YY 01 A4 02 N</t>
  </si>
  <si>
    <t>RT 2 0550 YY 01 A4 02 N</t>
  </si>
  <si>
    <t>RT 2 0565 YY 01 A4 02 N</t>
  </si>
  <si>
    <t>RT 2 0600 YY 01 A4 02 N</t>
  </si>
  <si>
    <t>RT 2 0650 YY 01 A4 02 N</t>
  </si>
  <si>
    <t>RT 2 0665 YY 01 A4 02 N</t>
  </si>
  <si>
    <t>RT 2 0685 YY 01 A4 02 N</t>
  </si>
  <si>
    <t>RT 2 0750 YY 01 A4 02 N</t>
  </si>
  <si>
    <t>RT 2 0765 YY 01 A4 02 N</t>
  </si>
  <si>
    <t>RT 2 0815 YY 01 A4 02 N</t>
  </si>
  <si>
    <t>RT 2 0865 YY 01 A4 02 N</t>
  </si>
  <si>
    <t>RT 2 0885 YY 01 A4 02 N</t>
  </si>
  <si>
    <t>RT 2 0900 YY 01 A4 02 N</t>
  </si>
  <si>
    <t>RT 2 1000 YY 01 A4 02 N</t>
  </si>
  <si>
    <t>RT 2 1200 YY 01 A4 02 N</t>
  </si>
  <si>
    <t>RT 2 1500 YY 01 A4 02 N</t>
  </si>
  <si>
    <t>RT 2 1800 YY 01 A4 02 N</t>
  </si>
  <si>
    <t>RT 2 2000 YY 01 A4 02 N</t>
  </si>
  <si>
    <t>RT 2 2200 YY 01 A4 02 N</t>
  </si>
  <si>
    <t>RT 2 2500 YY 01 A4 02 N</t>
  </si>
  <si>
    <t>RT 3 0200 YY 01 A4 02 N</t>
  </si>
  <si>
    <t>RT 3 0300 YY 01 A4 02 N</t>
  </si>
  <si>
    <t>RT 3 0350 YY 01 A4 02 N</t>
  </si>
  <si>
    <t>RT 3 0365 YY 01 A4 02 N</t>
  </si>
  <si>
    <t>RT 3 0400 YY 01 A4 02 N</t>
  </si>
  <si>
    <t>RT 3 0450 YY 01 A4 02 N</t>
  </si>
  <si>
    <t>RT 3 0500 YY 01 A4 02 N</t>
  </si>
  <si>
    <t>RT 3 0535 YY 01 A4 02 N</t>
  </si>
  <si>
    <t>RT 3 0550 YY 01 A4 02 N</t>
  </si>
  <si>
    <t>RT 3 0565 YY 01 A4 02 N</t>
  </si>
  <si>
    <t>RT 3 0600 YY 01 A4 02 N</t>
  </si>
  <si>
    <t>RT 3 0650 YY 01 A4 02 N</t>
  </si>
  <si>
    <t>RT 3 0665 YY 01 A4 02 N</t>
  </si>
  <si>
    <t>RT 3 0685 YY 01 A4 02 N</t>
  </si>
  <si>
    <t>RT 3 0750 YY 01 A4 02 N</t>
  </si>
  <si>
    <t>RT 3 0765 YY 01 A4 02 N</t>
  </si>
  <si>
    <t>RT 3 0815 YY 01 A4 02 N</t>
  </si>
  <si>
    <t>RT 3 0865 YY 01 A4 02 N</t>
  </si>
  <si>
    <t>RT 3 0885 YY 01 A4 02 N</t>
  </si>
  <si>
    <t>RT 3 0900 YY 01 A4 02 N</t>
  </si>
  <si>
    <t>RT 3 1000 YY 01 A4 02 N</t>
  </si>
  <si>
    <t>RT 3 1200 YY 01 A4 02 N</t>
  </si>
  <si>
    <t>RT 3 1500 YY 01 A4 02 N</t>
  </si>
  <si>
    <t>RT 3 1800 YY 01 A4 02 N</t>
  </si>
  <si>
    <t>RT 3 2000 YY 01 A4 02 N</t>
  </si>
  <si>
    <t>RT 3 2200 YY 01 A4 02 N</t>
  </si>
  <si>
    <t>RT 3 2500 YY 01 A4 02 N</t>
  </si>
  <si>
    <t>RT 4 0200 YY 01 A4 02 N</t>
  </si>
  <si>
    <t>RT 4 0300 YY 01 A4 02 N</t>
  </si>
  <si>
    <t>RT 4 0350 YY 01 A4 02 N</t>
  </si>
  <si>
    <t>RT 4 0365 YY 01 A4 02 N</t>
  </si>
  <si>
    <t>RT 4 0400 YY 01 A4 02 N</t>
  </si>
  <si>
    <t>RT 4 0450 YY 01 A4 02 N</t>
  </si>
  <si>
    <t>RT 4 0500 YY 01 A4 02 N</t>
  </si>
  <si>
    <t>RT 4 0535 YY 01 A4 02 N</t>
  </si>
  <si>
    <t>RT 4 0550 YY 01 A4 02 N</t>
  </si>
  <si>
    <t>RT 4 0565 YY 01 A4 02 N</t>
  </si>
  <si>
    <t>RT 4 0600 YY 01 A4 02 N</t>
  </si>
  <si>
    <t>RT 4 0650 YY 01 A4 02 N</t>
  </si>
  <si>
    <t>RT 4 0665 YY 01 A4 02 N</t>
  </si>
  <si>
    <t>RT 4 0685 YY 01 A4 02 N</t>
  </si>
  <si>
    <t>RT 4 0750 YY 01 A4 02 N</t>
  </si>
  <si>
    <t>RT 4 0765 YY 01 A4 02 N</t>
  </si>
  <si>
    <t>RT 4 0815 YY 01 A4 02 N</t>
  </si>
  <si>
    <t>RT 4 0865 YY 01 A4 02 N</t>
  </si>
  <si>
    <t>RT 4 0885 YY 01 A4 02 N</t>
  </si>
  <si>
    <t>RT 4 0900 YY 01 A4 02 N</t>
  </si>
  <si>
    <t>RT 4 1000 YY 01 A4 02 N</t>
  </si>
  <si>
    <t>RT 4 1200 YY 01 A4 02 N</t>
  </si>
  <si>
    <t>RT 4 1500 YY 01 A4 02 N</t>
  </si>
  <si>
    <t>RT 4 1800 YY 01 A4 02 N</t>
  </si>
  <si>
    <t>RT 4 2000 YY 01 A4 02 N</t>
  </si>
  <si>
    <t>RT 4 2200 YY 01 A4 02 N</t>
  </si>
  <si>
    <t>RT 4 2500 YY 01 A4 02 N</t>
  </si>
  <si>
    <t>RT 5 0200 YY 01 A4 02 N</t>
  </si>
  <si>
    <t>RT 5 0300 YY 01 A4 02 N</t>
  </si>
  <si>
    <t>RT 5 0350 YY 01 A4 02 N</t>
  </si>
  <si>
    <t>RT 5 0365 YY 01 A4 02 N</t>
  </si>
  <si>
    <t>RT 5 0400 YY 01 A4 02 N</t>
  </si>
  <si>
    <t>RT 5 0450 YY 01 A4 02 N</t>
  </si>
  <si>
    <t>RT 5 0500 YY 01 A4 02 N</t>
  </si>
  <si>
    <t>RT 5 0535 YY 01 A4 02 N</t>
  </si>
  <si>
    <t>RT 5 0550 YY 01 A4 02 N</t>
  </si>
  <si>
    <t>RT 5 0565 YY 01 A4 02 N</t>
  </si>
  <si>
    <t>RT 5 0600 YY 01 A4 02 N</t>
  </si>
  <si>
    <t>RT 5 0650 YY 01 A4 02 N</t>
  </si>
  <si>
    <t>RT 5 0665 YY 01 A4 02 N</t>
  </si>
  <si>
    <t>RT 5 0685 YY 01 A4 02 N</t>
  </si>
  <si>
    <t>RT 5 0750 YY 01 A4 02 N</t>
  </si>
  <si>
    <t>RT 5 0765 YY 01 A4 02 N</t>
  </si>
  <si>
    <t>RT 5 0815 YY 01 A4 02 N</t>
  </si>
  <si>
    <t>RT 5 0865 YY 01 A4 02 N</t>
  </si>
  <si>
    <t>RT 5 0885 YY 01 A4 02 N</t>
  </si>
  <si>
    <t>RT 5 0900 YY 01 A4 02 N</t>
  </si>
  <si>
    <t>RT 5 1000 YY 01 A4 02 N</t>
  </si>
  <si>
    <t>RT 5 1200 YY 01 A4 02 N</t>
  </si>
  <si>
    <t>RT 5 1500 YY 01 A4 02 N</t>
  </si>
  <si>
    <t>RT 5 1800 YY 01 A4 02 N</t>
  </si>
  <si>
    <t>RT 5 2000 YY 01 A4 02 N</t>
  </si>
  <si>
    <t>RT 5 2200 YY 01 A4 02 N</t>
  </si>
  <si>
    <t>RT 5 2500 YY 01 A4 02 N</t>
  </si>
  <si>
    <t>1.040.2</t>
  </si>
  <si>
    <t>RT 6 0200 YY 01 A4 02 N</t>
  </si>
  <si>
    <t>RT 6 0300 YY 01 A4 02 N</t>
  </si>
  <si>
    <t>RT 6 0350 YY 01 A4 02 N</t>
  </si>
  <si>
    <t>RT 6 0365 YY 01 A4 02 N</t>
  </si>
  <si>
    <t>RT 6 0400 YY 01 A4 02 N</t>
  </si>
  <si>
    <t>RT 6 0450 YY 01 A4 02 N</t>
  </si>
  <si>
    <t>RT 6 0500 YY 01 A4 02 N</t>
  </si>
  <si>
    <t>RT 6 0535 YY 01 A4 02 N</t>
  </si>
  <si>
    <t>RT 6 0550 YY 01 A4 02 N</t>
  </si>
  <si>
    <t>RT 6 0565 YY 01 A4 02 N</t>
  </si>
  <si>
    <t>RT 6 0600 YY 01 A4 02 N</t>
  </si>
  <si>
    <t>RT 6 0650 YY 01 A4 02 N</t>
  </si>
  <si>
    <t>RT 6 0665 YY 01 A4 02 N</t>
  </si>
  <si>
    <t>RT 6 0685 YY 01 A4 02 N</t>
  </si>
  <si>
    <t>RT 6 0750 YY 01 A4 02 N</t>
  </si>
  <si>
    <t>RT 6 0765 YY 01 A4 02 N</t>
  </si>
  <si>
    <t>RT 6 0815 YY 01 A4 02 N</t>
  </si>
  <si>
    <t>RT 6 0865 YY 01 A4 02 N</t>
  </si>
  <si>
    <t>RT 6 0885 YY 01 A4 02 N</t>
  </si>
  <si>
    <t>RT 6 0900 YY 01 A4 02 N</t>
  </si>
  <si>
    <t>RT 6 1000 YY 01 A4 02 N</t>
  </si>
  <si>
    <t>RT 6 1200 YY 01 A4 02 N</t>
  </si>
  <si>
    <t>RT 6 1500 YY 01 A4 02 N</t>
  </si>
  <si>
    <t>RT 6 1800 YY 01 A4 02 N</t>
  </si>
  <si>
    <t>RT 6 2000 YY 01 A4 02 N</t>
  </si>
  <si>
    <t>RT 6 2200 YY 01 A4 02 N</t>
  </si>
  <si>
    <t>1.083.5</t>
  </si>
  <si>
    <t>RT 6 2500 YY 01 A4 02 N</t>
  </si>
  <si>
    <t>1.221.3</t>
  </si>
  <si>
    <t>IRSAP 2-Säule</t>
  </si>
  <si>
    <t>IRSAP 3-Säule</t>
  </si>
  <si>
    <t>IRSAP 4-Säule</t>
  </si>
  <si>
    <t>IRSAP 5-Säule</t>
  </si>
  <si>
    <t>IRSAP 6-Säule</t>
  </si>
  <si>
    <t>Fir Iron (IT)</t>
  </si>
  <si>
    <t>Cordivari (IT)</t>
  </si>
  <si>
    <t>IRSAP (IT)</t>
  </si>
  <si>
    <t>Glieder (mm)</t>
  </si>
  <si>
    <t xml:space="preserve">Altezza H [mm]                 </t>
  </si>
  <si>
    <t>ardesia 2 Colonne</t>
  </si>
  <si>
    <r>
      <rPr>
        <sz val="8"/>
        <color rgb="FF3C3C3B"/>
        <rFont val="Roboto"/>
      </rPr>
      <t>(90/70/20°C) ΔT 60 = W</t>
    </r>
  </si>
  <si>
    <r>
      <rPr>
        <b/>
        <sz val="8"/>
        <color rgb="FF3C3C3B"/>
        <rFont val="Roboto"/>
      </rPr>
      <t>(75/65/20°C) ΔT 50 = W</t>
    </r>
  </si>
  <si>
    <r>
      <rPr>
        <sz val="8"/>
        <color rgb="FF3C3C3B"/>
        <rFont val="Roboto"/>
      </rPr>
      <t>(55/45/20°C) ΔT 30 = W</t>
    </r>
  </si>
  <si>
    <r>
      <rPr>
        <sz val="8"/>
        <color rgb="FF3C3C3B"/>
        <rFont val="Roboto"/>
      </rPr>
      <t>Contenuto acqua [lt]</t>
    </r>
  </si>
  <si>
    <r>
      <rPr>
        <sz val="8"/>
        <color rgb="FF3C3C3B"/>
        <rFont val="Roboto"/>
      </rPr>
      <t>Peso a vuoto [kg]</t>
    </r>
  </si>
  <si>
    <r>
      <rPr>
        <sz val="8"/>
        <color rgb="FF3C3C3B"/>
        <rFont val="Roboto"/>
      </rPr>
      <t>Esponente [n]</t>
    </r>
  </si>
  <si>
    <r>
      <rPr>
        <sz val="8"/>
        <color rgb="FF3C3C3B"/>
        <rFont val="Roboto"/>
      </rPr>
      <t>Portata nominale [kg/h]</t>
    </r>
  </si>
  <si>
    <r>
      <rPr>
        <sz val="8"/>
        <color rgb="FF3C3C3B"/>
        <rFont val="Roboto"/>
      </rPr>
      <t>Quota d’irraggiamento [%]</t>
    </r>
  </si>
  <si>
    <r>
      <rPr>
        <sz val="8"/>
        <color rgb="FF3C3C3B"/>
        <rFont val="Roboto"/>
      </rPr>
      <t>Superficie [m</t>
    </r>
    <r>
      <rPr>
        <vertAlign val="superscript"/>
        <sz val="4.5"/>
        <color rgb="FF3C3C3B"/>
        <rFont val="Roboto"/>
      </rPr>
      <t>²</t>
    </r>
    <r>
      <rPr>
        <sz val="8"/>
        <color rgb="FF3C3C3B"/>
        <rFont val="Roboto"/>
      </rPr>
      <t>]</t>
    </r>
  </si>
  <si>
    <r>
      <rPr>
        <b/>
        <sz val="7"/>
        <color rgb="FF575756"/>
        <rFont val="Roboto"/>
      </rPr>
      <t>ALTEZZE PER SOSTITUZIONI</t>
    </r>
  </si>
  <si>
    <r>
      <rPr>
        <sz val="7"/>
        <color rgb="FF575756"/>
        <rFont val="Roboto"/>
      </rPr>
      <t xml:space="preserve">Interassi per sostituzione radiatori in </t>
    </r>
    <r>
      <rPr>
        <b/>
        <sz val="7"/>
        <color rgb="FF575756"/>
        <rFont val="Roboto"/>
      </rPr>
      <t>GHISA</t>
    </r>
  </si>
  <si>
    <r>
      <rPr>
        <sz val="7"/>
        <color rgb="FF575756"/>
        <rFont val="Roboto"/>
      </rPr>
      <t xml:space="preserve">Interassi per sostituzione radiatori </t>
    </r>
    <r>
      <rPr>
        <b/>
        <sz val="7"/>
        <color rgb="FF575756"/>
        <rFont val="Roboto"/>
      </rPr>
      <t>LAMELLARI e STAMPATI</t>
    </r>
  </si>
  <si>
    <t>Interassi per sostituzione
radiatori in ALLUMINIO</t>
  </si>
  <si>
    <t xml:space="preserve">Interasse I [mm]                 </t>
  </si>
  <si>
    <t>ardesia 3 Colonne</t>
  </si>
  <si>
    <r>
      <rPr>
        <b/>
        <sz val="10"/>
        <color rgb="FFFFFFFF"/>
        <rFont val="Roboto"/>
      </rPr>
      <t>DATI TECNICI PER SINGOLO ELEMENTO</t>
    </r>
  </si>
  <si>
    <t>ardesia 4 Colonne</t>
  </si>
  <si>
    <t>ardesia 5 Colonne</t>
  </si>
  <si>
    <t>ardesia 6 Colonne</t>
  </si>
  <si>
    <t>Tiefe</t>
  </si>
  <si>
    <t>Cordivari 2-Säule</t>
  </si>
  <si>
    <t>Cordivari 3-Säule</t>
  </si>
  <si>
    <t>Cordivari 4-Säule</t>
  </si>
  <si>
    <t>Cordivari 5-Säule</t>
  </si>
  <si>
    <t>Cordivari 6-Säule</t>
  </si>
  <si>
    <t>FIR Iron</t>
  </si>
  <si>
    <t>Cordivari</t>
  </si>
  <si>
    <t>FIR Iron 2-Säule</t>
  </si>
  <si>
    <t>FIR Iron 3-Säule</t>
  </si>
  <si>
    <t>FIR Iron 4-Säule</t>
  </si>
  <si>
    <t>FIR Iron 5-Säule</t>
  </si>
  <si>
    <t>FIR Iron 6-Säule</t>
  </si>
  <si>
    <t>FIR</t>
  </si>
  <si>
    <t>y = 0.0704x + 3.1521</t>
  </si>
  <si>
    <t>IRSAP Formel</t>
  </si>
  <si>
    <t>Cordivari Formel</t>
  </si>
  <si>
    <t>FIR Iron Formel</t>
  </si>
  <si>
    <t>Mittelwert</t>
  </si>
  <si>
    <t>Mittelwert Formel</t>
  </si>
  <si>
    <t>y = 0.069x + 1.5026</t>
  </si>
  <si>
    <t>y = 0.0739x + 2.2582</t>
  </si>
  <si>
    <t>y = 0.0727x + 2.9525</t>
  </si>
  <si>
    <t>y = 0.0701x + 3.1231</t>
  </si>
  <si>
    <t>y = 0.0893x + 8.8262</t>
  </si>
  <si>
    <t>y = 0.0912x + 5.4758</t>
  </si>
  <si>
    <t>y = 0.0959x + 7.5701</t>
  </si>
  <si>
    <t>y = 0.0956x + 6.9839</t>
  </si>
  <si>
    <t>y = 0.0911x + 7.6769</t>
  </si>
  <si>
    <t>y = 0.1127x + 12.391</t>
  </si>
  <si>
    <t>y = 0.1145x + 9.7</t>
  </si>
  <si>
    <t>y = 0.1191x + 12.684</t>
  </si>
  <si>
    <t>y = 0.1186x + 11.012</t>
  </si>
  <si>
    <t>y = 0.1145x + 11.758</t>
  </si>
  <si>
    <t>y = 0.1383x + 12.141</t>
  </si>
  <si>
    <t>y = 0.141x + 17.647</t>
  </si>
  <si>
    <t>y = 0.1458x + 13.878</t>
  </si>
  <si>
    <t>y = 0.137x + 16.647</t>
  </si>
  <si>
    <t>y = 0.1578x + 17.294</t>
  </si>
  <si>
    <t>y = 0.1609x + 20.129</t>
  </si>
  <si>
    <t>y = 0.1621x + 14.609</t>
  </si>
  <si>
    <t>y = 0.1544x + 31.894</t>
  </si>
  <si>
    <t>y = 0.173x + 16.889</t>
  </si>
  <si>
    <t>Anzahl Säule</t>
  </si>
  <si>
    <t>bis 70 mm</t>
  </si>
  <si>
    <t>bis 110 mm</t>
  </si>
  <si>
    <t>bis 250 mm</t>
  </si>
  <si>
    <t>bis 150 mm</t>
  </si>
  <si>
    <t>bis 200 mm</t>
  </si>
  <si>
    <t>y = 0.0017x + 0.0548</t>
  </si>
  <si>
    <t>y = 0.0016x + 0.0868</t>
  </si>
  <si>
    <t>y = 0.0016x + 0.0148</t>
  </si>
  <si>
    <t>y = 0.0031x + 0.1839</t>
  </si>
  <si>
    <t>y = 0.0023x + 0.1434</t>
  </si>
  <si>
    <t>y = 0.0039x + 0.2803</t>
  </si>
  <si>
    <t>y = 0.0047x + 0.3345</t>
  </si>
  <si>
    <t>y = 0.0049x + 0.149</t>
  </si>
  <si>
    <t>y = 0.0041x + 0.0735</t>
  </si>
  <si>
    <t>y = 0.0032x + 0.0739</t>
  </si>
  <si>
    <t>y = 0.0024x + 0.0206</t>
  </si>
  <si>
    <t>y = 0.005x + 0.2186</t>
  </si>
  <si>
    <t>y = 0.0042x + 0.1701</t>
  </si>
  <si>
    <t>y = 0.0034x + 0.1412</t>
  </si>
  <si>
    <t>y = 0.0025x + 0.0946</t>
  </si>
  <si>
    <t>y = 0.0016x + 0.0569</t>
  </si>
  <si>
    <t>y = 0.0024x + 0.0988</t>
  </si>
  <si>
    <t>y = 0.0032x + 0.1482</t>
  </si>
  <si>
    <t>y = 0.004x + 0.1919</t>
  </si>
  <si>
    <t>y = 0.0048x + 0.2597</t>
  </si>
  <si>
    <t>INPUT</t>
  </si>
  <si>
    <t>OUTPUT</t>
  </si>
  <si>
    <t>Hersteller</t>
  </si>
  <si>
    <t>2-Säulen</t>
  </si>
  <si>
    <t>3-Säulen</t>
  </si>
  <si>
    <t>4-Säulen</t>
  </si>
  <si>
    <t>5-Säulen</t>
  </si>
  <si>
    <t>6-Säulen</t>
  </si>
  <si>
    <t>y = -2E-8x^2+8E-05x + 1.2298</t>
  </si>
  <si>
    <t>y = -1E-8x^2+6E-05x + 1.2636</t>
  </si>
  <si>
    <t>y = -2E-8x^2+6E-05x + 1.2931</t>
  </si>
  <si>
    <t>y = -2E-8x^2+7E-05x + 1.2826</t>
  </si>
  <si>
    <t>y = -2E-8x^2+8E-05x + 1.2608</t>
  </si>
  <si>
    <t>Obligatorische Werte</t>
  </si>
  <si>
    <t>Ergänzende Werte: Sie ermöglichen es, die Anzahl der Glieder und Säulen zu validieren, falls nur die Abmessungen des Heizkörpers als Eingabefelder verwendet werden sollen. Können wir diese mit den folgenden Formeln umgerechnet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</si>
</sst>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
    <numFmt numFmtId="166" formatCode="#,##0.000"/>
    <numFmt numFmtId="167" formatCode="0.0\ &quot;W&quot;"/>
    <numFmt numFmtId="168" formatCode="0.0\ &quot;°C&quot;"/>
    <numFmt numFmtId="169" formatCode="0.0\ &quot;kg CO2-eq&quot;"/>
    <numFmt numFmtId="170" formatCode="0.000"/>
    <numFmt numFmtId="171" formatCode="0\ &quot;mm&quot;"/>
    <numFmt numFmtId="172" formatCode="0\ &quot;Säulen&quot;"/>
    <numFmt numFmtId="173" formatCode="0\ &quot;Glieder&quot;"/>
    <numFmt numFmtId="174" formatCode="0.0\ &quot;mm&quot;"/>
    <numFmt numFmtId="175" formatCode="0.0%"/>
  </numFmts>
  <fonts count="69" x14ac:knownFonts="1">
    <font>
      <sz val="10"/>
      <name val="Arial"/>
    </font>
    <font>
      <sz val="8"/>
      <name val="Arial"/>
    </font>
    <font>
      <b/>
      <sz val="10"/>
      <name val="Arial"/>
      <family val="2"/>
    </font>
    <font>
      <vertAlign val="superscript"/>
      <sz val="10"/>
      <name val="Arial"/>
      <family val="2"/>
    </font>
    <font>
      <sz val="10"/>
      <name val="Arial"/>
      <family val="2"/>
    </font>
    <font>
      <b/>
      <sz val="10"/>
      <color theme="0"/>
      <name val="Aptos Narrow"/>
      <family val="2"/>
      <scheme val="minor"/>
    </font>
    <font>
      <vertAlign val="subscript"/>
      <sz val="10"/>
      <name val="Arial"/>
      <family val="2"/>
    </font>
    <font>
      <sz val="10"/>
      <color rgb="FFFF0000"/>
      <name val="Arial"/>
      <family val="2"/>
    </font>
    <font>
      <b/>
      <sz val="10"/>
      <color rgb="FFFFFFFF"/>
      <name val="Arial"/>
      <family val="2"/>
    </font>
    <font>
      <sz val="10"/>
      <color rgb="FF333333"/>
      <name val="Arial"/>
      <family val="2"/>
    </font>
    <font>
      <u/>
      <sz val="10"/>
      <color theme="10"/>
      <name val="Arial"/>
      <family val="2"/>
    </font>
    <font>
      <b/>
      <sz val="10"/>
      <color rgb="FF333333"/>
      <name val="Arial"/>
      <family val="2"/>
    </font>
    <font>
      <b/>
      <sz val="10"/>
      <name val="Verdana"/>
      <family val="2"/>
    </font>
    <font>
      <sz val="11"/>
      <name val="Calibri"/>
      <family val="2"/>
    </font>
    <font>
      <b/>
      <vertAlign val="superscript"/>
      <sz val="10"/>
      <name val="Arial"/>
      <family val="2"/>
    </font>
    <font>
      <b/>
      <sz val="10"/>
      <color rgb="FFF07D00"/>
      <name val="Arial"/>
      <family val="2"/>
    </font>
    <font>
      <sz val="8"/>
      <name val="Arial"/>
      <family val="2"/>
    </font>
    <font>
      <b/>
      <sz val="8"/>
      <name val="Arial"/>
      <family val="2"/>
    </font>
    <font>
      <b/>
      <sz val="8"/>
      <color rgb="FF000000"/>
      <name val="Arial"/>
      <family val="2"/>
    </font>
    <font>
      <sz val="8"/>
      <color rgb="FF000000"/>
      <name val="Arial"/>
      <family val="2"/>
    </font>
    <font>
      <b/>
      <sz val="16"/>
      <color rgb="FFFFFFFF"/>
      <name val="Arial"/>
      <family val="2"/>
    </font>
    <font>
      <sz val="10"/>
      <color rgb="FF000000"/>
      <name val="Arial"/>
      <family val="2"/>
    </font>
    <font>
      <vertAlign val="subscript"/>
      <sz val="8"/>
      <name val="Arial"/>
      <family val="2"/>
    </font>
    <font>
      <b/>
      <vertAlign val="subscript"/>
      <sz val="8"/>
      <name val="Arial"/>
      <family val="2"/>
    </font>
    <font>
      <vertAlign val="subscript"/>
      <sz val="8"/>
      <color rgb="FF000000"/>
      <name val="Arial"/>
      <family val="2"/>
    </font>
    <font>
      <b/>
      <sz val="8"/>
      <color rgb="FFFFFFFF"/>
      <name val="Arial"/>
      <family val="2"/>
    </font>
    <font>
      <vertAlign val="subscript"/>
      <sz val="4"/>
      <name val="Arial"/>
      <family val="2"/>
    </font>
    <font>
      <b/>
      <sz val="9"/>
      <name val="Arial"/>
      <family val="2"/>
    </font>
    <font>
      <sz val="7.5"/>
      <name val="Arial"/>
      <family val="2"/>
    </font>
    <font>
      <sz val="7.5"/>
      <name val="Symbol"/>
      <family val="1"/>
    </font>
    <font>
      <vertAlign val="superscript"/>
      <sz val="4"/>
      <name val="Arial"/>
      <family val="2"/>
    </font>
    <font>
      <vertAlign val="superscript"/>
      <sz val="7.5"/>
      <name val="Arial"/>
      <family val="2"/>
    </font>
    <font>
      <sz val="4"/>
      <name val="Arial"/>
      <family val="2"/>
    </font>
    <font>
      <sz val="7.5"/>
      <color rgb="FF000000"/>
      <name val="Arial"/>
      <family val="2"/>
    </font>
    <font>
      <sz val="16"/>
      <name val="Arial"/>
      <family val="2"/>
    </font>
    <font>
      <sz val="6"/>
      <name val="Arial"/>
      <family val="2"/>
    </font>
    <font>
      <sz val="10"/>
      <color rgb="FF000000"/>
      <name val="Times New Roman"/>
      <family val="1"/>
    </font>
    <font>
      <b/>
      <sz val="7.5"/>
      <name val="Arial"/>
      <family val="2"/>
    </font>
    <font>
      <b/>
      <sz val="7.5"/>
      <color rgb="FF000000"/>
      <name val="Arial"/>
      <family val="2"/>
    </font>
    <font>
      <sz val="9"/>
      <color indexed="81"/>
      <name val="Segoe UI"/>
      <family val="2"/>
    </font>
    <font>
      <b/>
      <sz val="9"/>
      <color indexed="81"/>
      <name val="Segoe UI"/>
      <family val="2"/>
    </font>
    <font>
      <sz val="10"/>
      <name val="Arial"/>
    </font>
    <font>
      <sz val="10"/>
      <name val="Franklin Gothic Book"/>
      <family val="2"/>
    </font>
    <font>
      <sz val="8.5"/>
      <name val="Arial"/>
      <family val="2"/>
    </font>
    <font>
      <sz val="7"/>
      <color rgb="FF231F20"/>
      <name val="Arial Narrow"/>
      <family val="2"/>
    </font>
    <font>
      <b/>
      <sz val="7"/>
      <name val="Trebuchet MS"/>
      <family val="2"/>
    </font>
    <font>
      <sz val="7"/>
      <name val="Arial Narrow"/>
      <family val="2"/>
    </font>
    <font>
      <sz val="7"/>
      <name val="Franklin Gothic Book"/>
      <family val="2"/>
    </font>
    <font>
      <sz val="7"/>
      <name val="Arial"/>
      <family val="2"/>
    </font>
    <font>
      <b/>
      <sz val="10"/>
      <color rgb="FF575756"/>
      <name val="Roboto"/>
    </font>
    <font>
      <b/>
      <sz val="12"/>
      <color rgb="FF575756"/>
      <name val="Roboto"/>
      <family val="2"/>
    </font>
    <font>
      <sz val="10"/>
      <name val="Roboto"/>
    </font>
    <font>
      <sz val="10"/>
      <color rgb="FF575756"/>
      <name val="Roboto"/>
    </font>
    <font>
      <sz val="10"/>
      <color rgb="FF575756"/>
      <name val="Roboto"/>
      <family val="2"/>
    </font>
    <font>
      <sz val="8"/>
      <name val="Roboto"/>
    </font>
    <font>
      <sz val="8"/>
      <color rgb="FF3C3C3B"/>
      <name val="Roboto"/>
    </font>
    <font>
      <sz val="7.5"/>
      <name val="Roboto"/>
    </font>
    <font>
      <b/>
      <sz val="8"/>
      <name val="Roboto"/>
    </font>
    <font>
      <b/>
      <sz val="8"/>
      <color rgb="FF3C3C3B"/>
      <name val="Roboto"/>
    </font>
    <font>
      <b/>
      <sz val="7.5"/>
      <name val="Roboto"/>
    </font>
    <font>
      <b/>
      <sz val="7.5"/>
      <color rgb="FF000000"/>
      <name val="Roboto"/>
      <family val="2"/>
    </font>
    <font>
      <sz val="7.5"/>
      <color rgb="FF000000"/>
      <name val="Roboto"/>
      <family val="2"/>
    </font>
    <font>
      <vertAlign val="superscript"/>
      <sz val="4.5"/>
      <color rgb="FF3C3C3B"/>
      <name val="Roboto"/>
    </font>
    <font>
      <b/>
      <sz val="7"/>
      <name val="Roboto"/>
    </font>
    <font>
      <b/>
      <sz val="7"/>
      <color rgb="FF575756"/>
      <name val="Roboto"/>
    </font>
    <font>
      <sz val="7"/>
      <color rgb="FF575756"/>
      <name val="Roboto"/>
    </font>
    <font>
      <b/>
      <sz val="10"/>
      <name val="Roboto"/>
    </font>
    <font>
      <b/>
      <sz val="10"/>
      <color rgb="FFFFFFFF"/>
      <name val="Roboto"/>
    </font>
    <font>
      <sz val="9"/>
      <color rgb="FF595959"/>
      <name val="Aptos Narrow"/>
      <family val="2"/>
    </font>
  </fonts>
  <fills count="24">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rgb="FFFFFFFF"/>
        <bgColor indexed="64"/>
      </patternFill>
    </fill>
    <fill>
      <patternFill patternType="solid">
        <fgColor rgb="FF1DAFED"/>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EDEDED"/>
        <bgColor rgb="FFFFFFFF"/>
      </patternFill>
    </fill>
    <fill>
      <patternFill patternType="solid">
        <fgColor rgb="FFFCD7B8"/>
        <bgColor rgb="FFFFFFFF"/>
      </patternFill>
    </fill>
    <fill>
      <patternFill patternType="solid">
        <fgColor rgb="FFFAC28A"/>
        <bgColor rgb="FFFFFFFF"/>
      </patternFill>
    </fill>
    <fill>
      <patternFill patternType="solid">
        <fgColor theme="3" tint="0.89996032593768116"/>
        <bgColor indexed="64"/>
      </patternFill>
    </fill>
    <fill>
      <patternFill patternType="solid">
        <fgColor rgb="FFDADADA"/>
      </patternFill>
    </fill>
    <fill>
      <patternFill patternType="solid">
        <fgColor rgb="FFE2E8EA"/>
      </patternFill>
    </fill>
    <fill>
      <patternFill patternType="solid">
        <fgColor theme="2"/>
        <bgColor indexed="64"/>
      </patternFill>
    </fill>
    <fill>
      <patternFill patternType="solid">
        <fgColor rgb="FFFFE9AF"/>
      </patternFill>
    </fill>
    <fill>
      <patternFill patternType="solid">
        <fgColor rgb="FFD6E292"/>
      </patternFill>
    </fill>
    <fill>
      <patternFill patternType="solid">
        <fgColor rgb="FFE2F3FD"/>
      </patternFill>
    </fill>
    <fill>
      <patternFill patternType="solid">
        <fgColor rgb="FF878787"/>
      </patternFill>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CC"/>
        <bgColor indexed="64"/>
      </patternFill>
    </fill>
    <fill>
      <patternFill patternType="solid">
        <fgColor theme="7" tint="0.79998168889431442"/>
        <bgColor indexed="64"/>
      </patternFill>
    </fill>
  </fills>
  <borders count="38">
    <border>
      <left/>
      <right/>
      <top/>
      <bottom/>
      <diagonal/>
    </border>
    <border>
      <left style="thin">
        <color auto="1"/>
      </left>
      <right/>
      <top/>
      <bottom/>
      <diagonal/>
    </border>
    <border>
      <left/>
      <right style="thin">
        <color auto="1"/>
      </right>
      <top/>
      <bottom/>
      <diagonal/>
    </border>
    <border>
      <left style="medium">
        <color rgb="FF000000"/>
      </left>
      <right style="medium">
        <color rgb="FF000000"/>
      </right>
      <top style="medium">
        <color rgb="FF000000"/>
      </top>
      <bottom style="medium">
        <color rgb="FF000000"/>
      </bottom>
      <diagonal/>
    </border>
    <border>
      <left style="medium">
        <color rgb="FFE0E0E0"/>
      </left>
      <right style="medium">
        <color rgb="FF000000"/>
      </right>
      <top style="medium">
        <color rgb="FFE0E0E0"/>
      </top>
      <bottom style="medium">
        <color rgb="FF000000"/>
      </bottom>
      <diagonal/>
    </border>
    <border>
      <left style="medium">
        <color rgb="FF000000"/>
      </left>
      <right style="medium">
        <color rgb="FF000000"/>
      </right>
      <top style="medium">
        <color rgb="FFE0E0E0"/>
      </top>
      <bottom style="medium">
        <color rgb="FF000000"/>
      </bottom>
      <diagonal/>
    </border>
    <border>
      <left style="medium">
        <color rgb="FF000000"/>
      </left>
      <right style="medium">
        <color rgb="FFE0E0E0"/>
      </right>
      <top style="medium">
        <color rgb="FFE0E0E0"/>
      </top>
      <bottom style="medium">
        <color rgb="FF000000"/>
      </bottom>
      <diagonal/>
    </border>
    <border>
      <left style="medium">
        <color rgb="FFE0E0E0"/>
      </left>
      <right style="medium">
        <color rgb="FF000000"/>
      </right>
      <top style="medium">
        <color rgb="FF000000"/>
      </top>
      <bottom style="medium">
        <color rgb="FF000000"/>
      </bottom>
      <diagonal/>
    </border>
    <border>
      <left style="medium">
        <color rgb="FF000000"/>
      </left>
      <right style="medium">
        <color rgb="FFE0E0E0"/>
      </right>
      <top style="medium">
        <color rgb="FF000000"/>
      </top>
      <bottom style="medium">
        <color rgb="FF000000"/>
      </bottom>
      <diagonal/>
    </border>
    <border>
      <left style="medium">
        <color rgb="FFE0E0E0"/>
      </left>
      <right style="medium">
        <color rgb="FF000000"/>
      </right>
      <top style="medium">
        <color rgb="FF000000"/>
      </top>
      <bottom style="medium">
        <color rgb="FFE0E0E0"/>
      </bottom>
      <diagonal/>
    </border>
    <border>
      <left style="medium">
        <color rgb="FF000000"/>
      </left>
      <right style="medium">
        <color rgb="FF000000"/>
      </right>
      <top style="medium">
        <color rgb="FF000000"/>
      </top>
      <bottom style="medium">
        <color rgb="FFE0E0E0"/>
      </bottom>
      <diagonal/>
    </border>
    <border>
      <left style="medium">
        <color rgb="FF000000"/>
      </left>
      <right style="medium">
        <color rgb="FFE0E0E0"/>
      </right>
      <top style="medium">
        <color rgb="FF000000"/>
      </top>
      <bottom style="medium">
        <color rgb="FFE0E0E0"/>
      </bottom>
      <diagonal/>
    </border>
    <border>
      <left/>
      <right/>
      <top/>
      <bottom style="thin">
        <color rgb="FFF07D00"/>
      </bottom>
      <diagonal/>
    </border>
    <border>
      <left/>
      <right/>
      <top style="thin">
        <color rgb="FFF07D00"/>
      </top>
      <bottom/>
      <diagonal/>
    </border>
    <border>
      <left/>
      <right/>
      <top style="thin">
        <color rgb="FFF07D00"/>
      </top>
      <bottom style="thin">
        <color rgb="FF706F6F"/>
      </bottom>
      <diagonal/>
    </border>
    <border>
      <left/>
      <right/>
      <top/>
      <bottom style="thin">
        <color rgb="FF706F6F"/>
      </bottom>
      <diagonal/>
    </border>
    <border>
      <left/>
      <right/>
      <top style="thin">
        <color rgb="FF706F6F"/>
      </top>
      <bottom style="thin">
        <color rgb="FF706F6F"/>
      </bottom>
      <diagonal/>
    </border>
    <border>
      <left/>
      <right/>
      <top style="thin">
        <color rgb="FF706F6F"/>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style="thin">
        <color auto="1"/>
      </top>
      <bottom style="thin">
        <color auto="1"/>
      </bottom>
      <diagonal/>
    </border>
    <border>
      <left/>
      <right/>
      <top style="thin">
        <color rgb="FF000000"/>
      </top>
      <bottom style="thin">
        <color auto="1"/>
      </bottom>
      <diagonal/>
    </border>
    <border>
      <left/>
      <right/>
      <top style="thin">
        <color rgb="FF231F20"/>
      </top>
      <bottom style="thin">
        <color rgb="FF231F20"/>
      </bottom>
      <diagonal/>
    </border>
    <border>
      <left style="thin">
        <color rgb="FFFFFFFF"/>
      </left>
      <right style="thin">
        <color rgb="FFFFFFFF"/>
      </right>
      <top/>
      <bottom style="thin">
        <color rgb="FF000000"/>
      </bottom>
      <diagonal/>
    </border>
    <border>
      <left style="thin">
        <color rgb="FFFFFFFF"/>
      </left>
      <right/>
      <top/>
      <bottom style="thin">
        <color rgb="FF000000"/>
      </bottom>
      <diagonal/>
    </border>
    <border>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top style="thin">
        <color rgb="FF000000"/>
      </top>
      <bottom style="thin">
        <color rgb="FF000000"/>
      </bottom>
      <diagonal/>
    </border>
    <border>
      <left/>
      <right/>
      <top style="thin">
        <color rgb="FF000000"/>
      </top>
      <bottom style="thin">
        <color rgb="FF575756"/>
      </bottom>
      <diagonal/>
    </border>
    <border>
      <left/>
      <right style="thin">
        <color rgb="FFFFFFFF"/>
      </right>
      <top/>
      <bottom style="thin">
        <color rgb="FF000000"/>
      </bottom>
      <diagonal/>
    </border>
    <border>
      <left/>
      <right/>
      <top/>
      <bottom style="thin">
        <color indexed="64"/>
      </bottom>
      <diagonal/>
    </border>
    <border>
      <left/>
      <right/>
      <top style="thin">
        <color indexed="64"/>
      </top>
      <bottom/>
      <diagonal/>
    </border>
  </borders>
  <cellStyleXfs count="5">
    <xf numFmtId="0" fontId="0" fillId="0" borderId="0"/>
    <xf numFmtId="0" fontId="4" fillId="0" borderId="0"/>
    <xf numFmtId="0" fontId="10" fillId="0" borderId="0" applyNumberFormat="0" applyFill="0" applyBorder="0" applyAlignment="0" applyProtection="0"/>
    <xf numFmtId="0" fontId="36" fillId="0" borderId="0"/>
    <xf numFmtId="9" fontId="41" fillId="0" borderId="0" applyFont="0" applyFill="0" applyBorder="0" applyAlignment="0" applyProtection="0"/>
  </cellStyleXfs>
  <cellXfs count="350">
    <xf numFmtId="0" fontId="0" fillId="0" borderId="0" xfId="0"/>
    <xf numFmtId="0" fontId="2" fillId="0" borderId="0" xfId="0" applyFont="1"/>
    <xf numFmtId="0" fontId="4" fillId="0" borderId="0" xfId="0" applyFont="1"/>
    <xf numFmtId="164" fontId="2" fillId="0" borderId="0" xfId="0" applyNumberFormat="1" applyFont="1"/>
    <xf numFmtId="0" fontId="5" fillId="2" borderId="0" xfId="0" applyFont="1" applyFill="1" applyAlignment="1">
      <alignment horizontal="center" wrapText="1"/>
    </xf>
    <xf numFmtId="3" fontId="4" fillId="0" borderId="0" xfId="0" applyNumberFormat="1" applyFont="1"/>
    <xf numFmtId="165" fontId="4" fillId="0" borderId="0" xfId="0" applyNumberFormat="1" applyFont="1"/>
    <xf numFmtId="4" fontId="4" fillId="0" borderId="0" xfId="0" applyNumberFormat="1" applyFont="1"/>
    <xf numFmtId="166" fontId="4" fillId="0" borderId="0" xfId="0" applyNumberFormat="1" applyFont="1"/>
    <xf numFmtId="2" fontId="4" fillId="0" borderId="0" xfId="0" applyNumberFormat="1" applyFont="1"/>
    <xf numFmtId="2" fontId="2" fillId="0" borderId="0" xfId="0" applyNumberFormat="1" applyFont="1"/>
    <xf numFmtId="164" fontId="4" fillId="0" borderId="0" xfId="0" applyNumberFormat="1" applyFont="1"/>
    <xf numFmtId="167" fontId="0" fillId="0" borderId="0" xfId="0" applyNumberFormat="1"/>
    <xf numFmtId="0" fontId="7" fillId="0" borderId="0" xfId="0" applyFont="1"/>
    <xf numFmtId="168" fontId="0" fillId="0" borderId="0" xfId="0" applyNumberFormat="1"/>
    <xf numFmtId="169" fontId="0" fillId="0" borderId="0" xfId="0" applyNumberFormat="1"/>
    <xf numFmtId="167" fontId="2" fillId="0" borderId="0" xfId="0" applyNumberFormat="1" applyFont="1"/>
    <xf numFmtId="0" fontId="4" fillId="0" borderId="1" xfId="0" applyFont="1" applyBorder="1" applyAlignment="1">
      <alignment horizontal="center" vertical="top" wrapText="1"/>
    </xf>
    <xf numFmtId="0" fontId="4" fillId="0" borderId="2" xfId="0" applyFont="1" applyBorder="1"/>
    <xf numFmtId="0" fontId="4" fillId="0" borderId="1" xfId="0" applyFont="1" applyBorder="1" applyAlignment="1">
      <alignment horizontal="center" vertical="top"/>
    </xf>
    <xf numFmtId="0" fontId="0" fillId="0" borderId="1" xfId="0" applyBorder="1" applyAlignment="1">
      <alignment horizontal="center"/>
    </xf>
    <xf numFmtId="0" fontId="4" fillId="0" borderId="1" xfId="0"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4" fillId="0" borderId="2" xfId="0" applyFont="1" applyBorder="1" applyAlignment="1">
      <alignment horizontal="center"/>
    </xf>
    <xf numFmtId="0" fontId="4" fillId="0" borderId="0" xfId="0" applyFont="1" applyAlignment="1">
      <alignment horizontal="center"/>
    </xf>
    <xf numFmtId="170" fontId="4" fillId="0" borderId="0" xfId="0" applyNumberFormat="1" applyFont="1"/>
    <xf numFmtId="1" fontId="4" fillId="0" borderId="0" xfId="0" applyNumberFormat="1" applyFont="1"/>
    <xf numFmtId="170" fontId="0" fillId="0" borderId="0" xfId="0" applyNumberFormat="1"/>
    <xf numFmtId="164" fontId="0" fillId="0" borderId="0" xfId="0" applyNumberFormat="1"/>
    <xf numFmtId="3" fontId="0" fillId="0" borderId="0" xfId="0" applyNumberFormat="1"/>
    <xf numFmtId="0" fontId="9" fillId="6" borderId="3" xfId="0" applyFont="1" applyFill="1" applyBorder="1" applyAlignment="1">
      <alignment horizontal="left" vertical="center" wrapText="1" indent="1" readingOrder="1"/>
    </xf>
    <xf numFmtId="0" fontId="9" fillId="4" borderId="3" xfId="0" applyFont="1" applyFill="1" applyBorder="1" applyAlignment="1">
      <alignment horizontal="left" vertical="center" wrapText="1" indent="1" readingOrder="1"/>
    </xf>
    <xf numFmtId="0" fontId="8" fillId="5" borderId="4" xfId="0" applyFont="1" applyFill="1" applyBorder="1" applyAlignment="1">
      <alignment horizontal="left" vertical="center" wrapText="1" indent="1" readingOrder="1"/>
    </xf>
    <xf numFmtId="0" fontId="8" fillId="5" borderId="5" xfId="0" applyFont="1" applyFill="1" applyBorder="1" applyAlignment="1">
      <alignment horizontal="left" vertical="center" wrapText="1" indent="1" readingOrder="1"/>
    </xf>
    <xf numFmtId="0" fontId="8" fillId="5" borderId="6" xfId="0" applyFont="1" applyFill="1" applyBorder="1" applyAlignment="1">
      <alignment horizontal="left" vertical="center" wrapText="1" indent="1" readingOrder="1"/>
    </xf>
    <xf numFmtId="0" fontId="9" fillId="6" borderId="7" xfId="0" applyFont="1" applyFill="1" applyBorder="1" applyAlignment="1">
      <alignment horizontal="left" vertical="center" wrapText="1" indent="1" readingOrder="1"/>
    </xf>
    <xf numFmtId="9" fontId="9" fillId="6" borderId="8" xfId="0" applyNumberFormat="1" applyFont="1" applyFill="1" applyBorder="1" applyAlignment="1">
      <alignment horizontal="left" vertical="center" wrapText="1" indent="1" readingOrder="1"/>
    </xf>
    <xf numFmtId="0" fontId="9" fillId="4" borderId="7" xfId="0" applyFont="1" applyFill="1" applyBorder="1" applyAlignment="1">
      <alignment horizontal="left" vertical="center" wrapText="1" indent="1" readingOrder="1"/>
    </xf>
    <xf numFmtId="9" fontId="9" fillId="4" borderId="8" xfId="0" applyNumberFormat="1" applyFont="1" applyFill="1" applyBorder="1" applyAlignment="1">
      <alignment horizontal="left" vertical="center" wrapText="1" indent="1" readingOrder="1"/>
    </xf>
    <xf numFmtId="0" fontId="9" fillId="4" borderId="9" xfId="0" applyFont="1" applyFill="1" applyBorder="1" applyAlignment="1">
      <alignment horizontal="left" vertical="center" wrapText="1" indent="1" readingOrder="1"/>
    </xf>
    <xf numFmtId="0" fontId="9" fillId="4" borderId="10" xfId="0" applyFont="1" applyFill="1" applyBorder="1" applyAlignment="1">
      <alignment horizontal="left" vertical="center" wrapText="1" indent="1" readingOrder="1"/>
    </xf>
    <xf numFmtId="0" fontId="9" fillId="4" borderId="11" xfId="0" applyFont="1" applyFill="1" applyBorder="1" applyAlignment="1">
      <alignment horizontal="left" vertical="center" wrapText="1" indent="1" readingOrder="1"/>
    </xf>
    <xf numFmtId="0" fontId="10" fillId="0" borderId="0" xfId="2"/>
    <xf numFmtId="0" fontId="8" fillId="5" borderId="0" xfId="0" applyFont="1" applyFill="1" applyAlignment="1">
      <alignment horizontal="left" vertical="center" wrapText="1" indent="1" readingOrder="1"/>
    </xf>
    <xf numFmtId="0" fontId="11" fillId="6" borderId="7" xfId="0" applyFont="1" applyFill="1" applyBorder="1" applyAlignment="1">
      <alignment horizontal="left" vertical="center" wrapText="1" indent="1" readingOrder="1"/>
    </xf>
    <xf numFmtId="0" fontId="2"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right" vertical="center" wrapText="1"/>
    </xf>
    <xf numFmtId="0" fontId="0" fillId="7" borderId="0" xfId="0" applyFill="1"/>
    <xf numFmtId="11" fontId="0" fillId="0" borderId="0" xfId="0" applyNumberFormat="1"/>
    <xf numFmtId="2" fontId="0" fillId="0" borderId="0" xfId="0" applyNumberFormat="1"/>
    <xf numFmtId="2" fontId="0" fillId="7" borderId="0" xfId="0" applyNumberFormat="1" applyFill="1"/>
    <xf numFmtId="171" fontId="0" fillId="0" borderId="0" xfId="0" applyNumberFormat="1"/>
    <xf numFmtId="172" fontId="13" fillId="0" borderId="0" xfId="0" applyNumberFormat="1" applyFont="1" applyAlignment="1">
      <alignment vertical="center"/>
    </xf>
    <xf numFmtId="173" fontId="0" fillId="0" borderId="0" xfId="0" applyNumberFormat="1"/>
    <xf numFmtId="174" fontId="0" fillId="0" borderId="0" xfId="0" applyNumberFormat="1"/>
    <xf numFmtId="0" fontId="2" fillId="0" borderId="0" xfId="0" applyFont="1" applyAlignment="1">
      <alignment wrapText="1"/>
    </xf>
    <xf numFmtId="0" fontId="16" fillId="0" borderId="16" xfId="0" applyFont="1" applyBorder="1" applyAlignment="1">
      <alignment horizontal="right" vertical="top" wrapText="1" indent="1"/>
    </xf>
    <xf numFmtId="0" fontId="16" fillId="11" borderId="14" xfId="0" applyFont="1" applyFill="1" applyBorder="1" applyAlignment="1">
      <alignment horizontal="right" vertical="top" wrapText="1" indent="1"/>
    </xf>
    <xf numFmtId="0" fontId="16" fillId="11" borderId="16" xfId="0" applyFont="1" applyFill="1" applyBorder="1" applyAlignment="1">
      <alignment horizontal="right" vertical="top" wrapText="1" indent="1"/>
    </xf>
    <xf numFmtId="0" fontId="16" fillId="11" borderId="16" xfId="0" applyFont="1" applyFill="1" applyBorder="1" applyAlignment="1">
      <alignment vertical="top" wrapText="1"/>
    </xf>
    <xf numFmtId="1" fontId="19" fillId="11" borderId="16" xfId="0" applyNumberFormat="1" applyFont="1" applyFill="1" applyBorder="1" applyAlignment="1">
      <alignment vertical="top" shrinkToFit="1"/>
    </xf>
    <xf numFmtId="1" fontId="18" fillId="11" borderId="16" xfId="0" applyNumberFormat="1" applyFont="1" applyFill="1" applyBorder="1" applyAlignment="1">
      <alignment vertical="top" shrinkToFit="1"/>
    </xf>
    <xf numFmtId="1" fontId="18" fillId="11" borderId="17" xfId="0" applyNumberFormat="1" applyFont="1" applyFill="1" applyBorder="1" applyAlignment="1">
      <alignment vertical="center" shrinkToFit="1"/>
    </xf>
    <xf numFmtId="1" fontId="18" fillId="11" borderId="0" xfId="0" applyNumberFormat="1" applyFont="1" applyFill="1" applyAlignment="1">
      <alignment vertical="center" shrinkToFit="1"/>
    </xf>
    <xf numFmtId="1" fontId="18" fillId="11" borderId="15" xfId="0" applyNumberFormat="1" applyFont="1" applyFill="1" applyBorder="1" applyAlignment="1">
      <alignment vertical="center" shrinkToFit="1"/>
    </xf>
    <xf numFmtId="0" fontId="16" fillId="0" borderId="16" xfId="0" applyFont="1" applyBorder="1" applyAlignment="1">
      <alignment vertical="top" wrapText="1"/>
    </xf>
    <xf numFmtId="1" fontId="19" fillId="0" borderId="16" xfId="0" applyNumberFormat="1" applyFont="1" applyBorder="1" applyAlignment="1">
      <alignment vertical="top" shrinkToFit="1"/>
    </xf>
    <xf numFmtId="1" fontId="18" fillId="0" borderId="16" xfId="0" applyNumberFormat="1" applyFont="1" applyBorder="1" applyAlignment="1">
      <alignment vertical="top" shrinkToFit="1"/>
    </xf>
    <xf numFmtId="1" fontId="18" fillId="0" borderId="17" xfId="0" applyNumberFormat="1" applyFont="1" applyBorder="1" applyAlignment="1">
      <alignment vertical="center" shrinkToFit="1"/>
    </xf>
    <xf numFmtId="1" fontId="18" fillId="0" borderId="0" xfId="0" applyNumberFormat="1" applyFont="1" applyAlignment="1">
      <alignment vertical="center" shrinkToFit="1"/>
    </xf>
    <xf numFmtId="1" fontId="18" fillId="0" borderId="15" xfId="0" applyNumberFormat="1" applyFont="1" applyBorder="1" applyAlignment="1">
      <alignment vertical="center" shrinkToFit="1"/>
    </xf>
    <xf numFmtId="0" fontId="16" fillId="11" borderId="17" xfId="0" applyFont="1" applyFill="1" applyBorder="1" applyAlignment="1">
      <alignment vertical="top" wrapText="1"/>
    </xf>
    <xf numFmtId="1" fontId="19" fillId="11" borderId="17" xfId="0" applyNumberFormat="1" applyFont="1" applyFill="1" applyBorder="1" applyAlignment="1">
      <alignment vertical="top" shrinkToFit="1"/>
    </xf>
    <xf numFmtId="1" fontId="18" fillId="11" borderId="17" xfId="0" applyNumberFormat="1" applyFont="1" applyFill="1" applyBorder="1" applyAlignment="1">
      <alignment vertical="top" shrinkToFit="1"/>
    </xf>
    <xf numFmtId="0" fontId="16" fillId="0" borderId="17" xfId="0" applyFont="1" applyBorder="1" applyAlignment="1">
      <alignment vertical="top" wrapText="1"/>
    </xf>
    <xf numFmtId="1" fontId="19" fillId="0" borderId="17" xfId="0" applyNumberFormat="1" applyFont="1" applyBorder="1" applyAlignment="1">
      <alignment vertical="top" shrinkToFit="1"/>
    </xf>
    <xf numFmtId="1" fontId="18" fillId="0" borderId="17" xfId="0" applyNumberFormat="1" applyFont="1" applyBorder="1" applyAlignment="1">
      <alignment vertical="top" shrinkToFit="1"/>
    </xf>
    <xf numFmtId="1" fontId="19" fillId="11" borderId="14" xfId="0" applyNumberFormat="1" applyFont="1" applyFill="1" applyBorder="1" applyAlignment="1">
      <alignment vertical="top" shrinkToFit="1"/>
    </xf>
    <xf numFmtId="0" fontId="16" fillId="11" borderId="14" xfId="0" applyFont="1" applyFill="1" applyBorder="1" applyAlignment="1">
      <alignment vertical="top" wrapText="1"/>
    </xf>
    <xf numFmtId="1" fontId="18" fillId="11" borderId="13" xfId="0" applyNumberFormat="1" applyFont="1" applyFill="1" applyBorder="1" applyAlignment="1">
      <alignment vertical="center" shrinkToFit="1"/>
    </xf>
    <xf numFmtId="1" fontId="18" fillId="11" borderId="14" xfId="0" applyNumberFormat="1" applyFont="1" applyFill="1" applyBorder="1" applyAlignment="1">
      <alignment vertical="top" shrinkToFit="1"/>
    </xf>
    <xf numFmtId="1" fontId="18" fillId="11" borderId="13" xfId="0" applyNumberFormat="1" applyFont="1" applyFill="1" applyBorder="1" applyAlignment="1">
      <alignment horizontal="right" vertical="center" shrinkToFit="1"/>
    </xf>
    <xf numFmtId="1" fontId="19" fillId="11" borderId="14" xfId="0" applyNumberFormat="1" applyFont="1" applyFill="1" applyBorder="1" applyAlignment="1">
      <alignment horizontal="right" vertical="top" shrinkToFit="1"/>
    </xf>
    <xf numFmtId="1" fontId="18" fillId="11" borderId="14" xfId="0" applyNumberFormat="1" applyFont="1" applyFill="1" applyBorder="1" applyAlignment="1">
      <alignment horizontal="right" vertical="top" shrinkToFit="1"/>
    </xf>
    <xf numFmtId="0" fontId="16" fillId="11" borderId="14" xfId="0" applyFont="1" applyFill="1" applyBorder="1" applyAlignment="1">
      <alignment horizontal="right" vertical="top" wrapText="1"/>
    </xf>
    <xf numFmtId="1" fontId="18" fillId="11" borderId="0" xfId="0" applyNumberFormat="1" applyFont="1" applyFill="1" applyAlignment="1">
      <alignment horizontal="right" vertical="center" shrinkToFit="1"/>
    </xf>
    <xf numFmtId="1" fontId="19" fillId="11" borderId="16" xfId="0" applyNumberFormat="1" applyFont="1" applyFill="1" applyBorder="1" applyAlignment="1">
      <alignment horizontal="right" vertical="top" shrinkToFit="1"/>
    </xf>
    <xf numFmtId="1" fontId="18" fillId="11" borderId="16" xfId="0" applyNumberFormat="1" applyFont="1" applyFill="1" applyBorder="1" applyAlignment="1">
      <alignment horizontal="right" vertical="top" shrinkToFit="1"/>
    </xf>
    <xf numFmtId="0" fontId="16" fillId="11" borderId="16" xfId="0" applyFont="1" applyFill="1" applyBorder="1" applyAlignment="1">
      <alignment horizontal="right" vertical="top" wrapText="1"/>
    </xf>
    <xf numFmtId="1" fontId="18" fillId="11" borderId="15" xfId="0" applyNumberFormat="1" applyFont="1" applyFill="1" applyBorder="1" applyAlignment="1">
      <alignment horizontal="right" vertical="center" shrinkToFit="1"/>
    </xf>
    <xf numFmtId="1" fontId="18" fillId="0" borderId="17" xfId="0" applyNumberFormat="1" applyFont="1" applyBorder="1" applyAlignment="1">
      <alignment horizontal="right" vertical="center" shrinkToFit="1"/>
    </xf>
    <xf numFmtId="1" fontId="19" fillId="0" borderId="16" xfId="0" applyNumberFormat="1" applyFont="1" applyBorder="1" applyAlignment="1">
      <alignment horizontal="right" vertical="top" shrinkToFit="1"/>
    </xf>
    <xf numFmtId="1" fontId="18" fillId="0" borderId="16" xfId="0" applyNumberFormat="1" applyFont="1" applyBorder="1" applyAlignment="1">
      <alignment horizontal="right" vertical="top" shrinkToFit="1"/>
    </xf>
    <xf numFmtId="0" fontId="16" fillId="0" borderId="16" xfId="0" applyFont="1" applyBorder="1" applyAlignment="1">
      <alignment horizontal="right" vertical="top" wrapText="1"/>
    </xf>
    <xf numFmtId="1" fontId="18" fillId="0" borderId="0" xfId="0" applyNumberFormat="1" applyFont="1" applyAlignment="1">
      <alignment horizontal="right" vertical="center" shrinkToFit="1"/>
    </xf>
    <xf numFmtId="1" fontId="18" fillId="0" borderId="15" xfId="0" applyNumberFormat="1" applyFont="1" applyBorder="1" applyAlignment="1">
      <alignment horizontal="right" vertical="center" shrinkToFit="1"/>
    </xf>
    <xf numFmtId="1" fontId="18" fillId="11" borderId="17" xfId="0" applyNumberFormat="1" applyFont="1" applyFill="1" applyBorder="1" applyAlignment="1">
      <alignment horizontal="right" vertical="center" shrinkToFit="1"/>
    </xf>
    <xf numFmtId="0" fontId="16" fillId="8" borderId="12" xfId="0" applyFont="1" applyFill="1" applyBorder="1" applyAlignment="1">
      <alignment horizontal="center" vertical="top" wrapText="1"/>
    </xf>
    <xf numFmtId="0" fontId="16" fillId="8" borderId="0" xfId="0" applyFont="1" applyFill="1" applyAlignment="1">
      <alignment horizontal="center" vertical="top" wrapText="1"/>
    </xf>
    <xf numFmtId="0" fontId="21" fillId="0" borderId="0" xfId="0" applyFont="1" applyAlignment="1">
      <alignment horizontal="left" vertical="top"/>
    </xf>
    <xf numFmtId="0" fontId="21" fillId="0" borderId="0" xfId="0" applyFont="1" applyAlignment="1">
      <alignment horizontal="left" vertical="top" wrapText="1"/>
    </xf>
    <xf numFmtId="0" fontId="17" fillId="8" borderId="12" xfId="0" applyFont="1" applyFill="1" applyBorder="1" applyAlignment="1">
      <alignment horizontal="left" vertical="top" wrapText="1"/>
    </xf>
    <xf numFmtId="0" fontId="16" fillId="8" borderId="12" xfId="0" applyFont="1" applyFill="1" applyBorder="1" applyAlignment="1">
      <alignment horizontal="left" vertical="top" wrapText="1"/>
    </xf>
    <xf numFmtId="0" fontId="19" fillId="8" borderId="0" xfId="0" applyFont="1" applyFill="1" applyAlignment="1">
      <alignment horizontal="center" vertical="top" wrapText="1"/>
    </xf>
    <xf numFmtId="0" fontId="19" fillId="8" borderId="0" xfId="0" applyFont="1" applyFill="1" applyAlignment="1">
      <alignment horizontal="left" vertical="top" wrapText="1"/>
    </xf>
    <xf numFmtId="0" fontId="19" fillId="0" borderId="0" xfId="0" applyFont="1" applyAlignment="1">
      <alignment horizontal="left" vertical="top" wrapText="1"/>
    </xf>
    <xf numFmtId="0" fontId="19" fillId="0" borderId="0" xfId="0" applyFont="1" applyAlignment="1">
      <alignment horizontal="left" vertical="top"/>
    </xf>
    <xf numFmtId="0" fontId="16" fillId="0" borderId="0" xfId="0" applyFont="1"/>
    <xf numFmtId="2" fontId="16" fillId="9" borderId="14" xfId="0" applyNumberFormat="1" applyFont="1" applyFill="1" applyBorder="1" applyAlignment="1">
      <alignment vertical="top" wrapText="1"/>
    </xf>
    <xf numFmtId="2" fontId="16" fillId="9" borderId="16" xfId="0" applyNumberFormat="1" applyFont="1" applyFill="1" applyBorder="1" applyAlignment="1">
      <alignment vertical="top" wrapText="1"/>
    </xf>
    <xf numFmtId="2" fontId="16" fillId="9" borderId="17" xfId="0" applyNumberFormat="1" applyFont="1" applyFill="1" applyBorder="1" applyAlignment="1">
      <alignment vertical="top" wrapText="1"/>
    </xf>
    <xf numFmtId="2" fontId="16" fillId="9" borderId="14" xfId="0" applyNumberFormat="1" applyFont="1" applyFill="1" applyBorder="1" applyAlignment="1">
      <alignment horizontal="right" vertical="top" wrapText="1"/>
    </xf>
    <xf numFmtId="2" fontId="16" fillId="9" borderId="16" xfId="0" applyNumberFormat="1" applyFont="1" applyFill="1" applyBorder="1" applyAlignment="1">
      <alignment horizontal="right" vertical="top" wrapText="1"/>
    </xf>
    <xf numFmtId="0" fontId="36" fillId="0" borderId="0" xfId="3" applyAlignment="1">
      <alignment horizontal="left" vertical="top"/>
    </xf>
    <xf numFmtId="0" fontId="36" fillId="0" borderId="21" xfId="3" applyBorder="1" applyAlignment="1">
      <alignment horizontal="left" vertical="top" wrapText="1"/>
    </xf>
    <xf numFmtId="0" fontId="36" fillId="0" borderId="0" xfId="3" applyAlignment="1">
      <alignment horizontal="left" wrapText="1"/>
    </xf>
    <xf numFmtId="0" fontId="36" fillId="0" borderId="0" xfId="3" applyAlignment="1">
      <alignment horizontal="left" vertical="top" wrapText="1"/>
    </xf>
    <xf numFmtId="0" fontId="36" fillId="0" borderId="0" xfId="3" applyAlignment="1">
      <alignment horizontal="left" vertical="center" wrapText="1"/>
    </xf>
    <xf numFmtId="0" fontId="28" fillId="0" borderId="18" xfId="3" applyFont="1" applyBorder="1" applyAlignment="1">
      <alignment horizontal="center" vertical="center" wrapText="1"/>
    </xf>
    <xf numFmtId="0" fontId="28" fillId="0" borderId="19" xfId="3" applyFont="1" applyBorder="1" applyAlignment="1">
      <alignment horizontal="center" vertical="center" wrapText="1"/>
    </xf>
    <xf numFmtId="0" fontId="36" fillId="0" borderId="19" xfId="3" applyBorder="1" applyAlignment="1">
      <alignment horizontal="center" vertical="top" wrapText="1"/>
    </xf>
    <xf numFmtId="0" fontId="36" fillId="0" borderId="19" xfId="3" applyBorder="1" applyAlignment="1">
      <alignment horizontal="left" vertical="top" wrapText="1" indent="2"/>
    </xf>
    <xf numFmtId="0" fontId="28" fillId="0" borderId="19" xfId="3" applyFont="1" applyBorder="1" applyAlignment="1">
      <alignment horizontal="center" vertical="top" wrapText="1"/>
    </xf>
    <xf numFmtId="1" fontId="33" fillId="0" borderId="21" xfId="3" applyNumberFormat="1" applyFont="1" applyBorder="1" applyAlignment="1">
      <alignment horizontal="center" vertical="top" shrinkToFit="1"/>
    </xf>
    <xf numFmtId="1" fontId="33" fillId="0" borderId="22" xfId="3" applyNumberFormat="1" applyFont="1" applyBorder="1" applyAlignment="1">
      <alignment horizontal="center" vertical="top" shrinkToFit="1"/>
    </xf>
    <xf numFmtId="2" fontId="28" fillId="0" borderId="22" xfId="3" applyNumberFormat="1" applyFont="1" applyBorder="1" applyAlignment="1">
      <alignment horizontal="center" vertical="top" wrapText="1"/>
    </xf>
    <xf numFmtId="164" fontId="28" fillId="0" borderId="22" xfId="3" applyNumberFormat="1" applyFont="1" applyBorder="1" applyAlignment="1">
      <alignment horizontal="center" vertical="top" wrapText="1"/>
    </xf>
    <xf numFmtId="1" fontId="33" fillId="0" borderId="0" xfId="3" applyNumberFormat="1" applyFont="1" applyAlignment="1">
      <alignment horizontal="center" vertical="top" shrinkToFit="1"/>
    </xf>
    <xf numFmtId="1" fontId="33" fillId="0" borderId="23" xfId="3" applyNumberFormat="1" applyFont="1" applyBorder="1" applyAlignment="1">
      <alignment horizontal="center" vertical="top" shrinkToFit="1"/>
    </xf>
    <xf numFmtId="2" fontId="28" fillId="0" borderId="23" xfId="3" applyNumberFormat="1" applyFont="1" applyBorder="1" applyAlignment="1">
      <alignment horizontal="center" vertical="top" wrapText="1"/>
    </xf>
    <xf numFmtId="164" fontId="28" fillId="0" borderId="23" xfId="3" applyNumberFormat="1" applyFont="1" applyBorder="1" applyAlignment="1">
      <alignment horizontal="center" vertical="top" wrapText="1"/>
    </xf>
    <xf numFmtId="1" fontId="33" fillId="0" borderId="24" xfId="3" applyNumberFormat="1" applyFont="1" applyBorder="1" applyAlignment="1">
      <alignment horizontal="center" vertical="top" shrinkToFit="1"/>
    </xf>
    <xf numFmtId="1" fontId="33" fillId="0" borderId="25" xfId="3" applyNumberFormat="1" applyFont="1" applyBorder="1" applyAlignment="1">
      <alignment horizontal="center" vertical="top" shrinkToFit="1"/>
    </xf>
    <xf numFmtId="2" fontId="28" fillId="0" borderId="25" xfId="3" applyNumberFormat="1" applyFont="1" applyBorder="1" applyAlignment="1">
      <alignment horizontal="center" vertical="top" wrapText="1"/>
    </xf>
    <xf numFmtId="164" fontId="28" fillId="0" borderId="25" xfId="3" applyNumberFormat="1" applyFont="1" applyBorder="1" applyAlignment="1">
      <alignment horizontal="center" vertical="top" wrapText="1"/>
    </xf>
    <xf numFmtId="0" fontId="36" fillId="0" borderId="18" xfId="3" applyBorder="1" applyAlignment="1">
      <alignment horizontal="left" wrapText="1"/>
    </xf>
    <xf numFmtId="0" fontId="36" fillId="0" borderId="20" xfId="3" applyBorder="1" applyAlignment="1">
      <alignment horizontal="left" wrapText="1"/>
    </xf>
    <xf numFmtId="0" fontId="36" fillId="0" borderId="21" xfId="3" applyBorder="1" applyAlignment="1">
      <alignment horizontal="left" wrapText="1"/>
    </xf>
    <xf numFmtId="0" fontId="28" fillId="0" borderId="0" xfId="3" applyFont="1" applyAlignment="1">
      <alignment horizontal="center" vertical="top" wrapText="1"/>
    </xf>
    <xf numFmtId="0" fontId="28" fillId="0" borderId="0" xfId="3" applyFont="1" applyAlignment="1">
      <alignment horizontal="center" vertical="center" wrapText="1"/>
    </xf>
    <xf numFmtId="0" fontId="36" fillId="0" borderId="0" xfId="3" applyAlignment="1">
      <alignment horizontal="center" vertical="top" wrapText="1"/>
    </xf>
    <xf numFmtId="0" fontId="36" fillId="0" borderId="0" xfId="3" applyAlignment="1">
      <alignment horizontal="left" vertical="top" wrapText="1" indent="2"/>
    </xf>
    <xf numFmtId="2" fontId="28" fillId="0" borderId="0" xfId="3" applyNumberFormat="1" applyFont="1" applyAlignment="1">
      <alignment horizontal="center" vertical="top" wrapText="1"/>
    </xf>
    <xf numFmtId="164" fontId="28" fillId="0" borderId="0" xfId="3" applyNumberFormat="1" applyFont="1" applyAlignment="1">
      <alignment horizontal="center" vertical="top" wrapText="1"/>
    </xf>
    <xf numFmtId="1" fontId="36" fillId="0" borderId="0" xfId="3" applyNumberFormat="1" applyAlignment="1">
      <alignment horizontal="left" vertical="top"/>
    </xf>
    <xf numFmtId="0" fontId="28" fillId="0" borderId="24" xfId="3" applyFont="1" applyBorder="1" applyAlignment="1">
      <alignment horizontal="center" vertical="center" wrapText="1"/>
    </xf>
    <xf numFmtId="0" fontId="28" fillId="0" borderId="25" xfId="3" applyFont="1" applyBorder="1" applyAlignment="1">
      <alignment horizontal="center" vertical="center" wrapText="1"/>
    </xf>
    <xf numFmtId="0" fontId="36" fillId="0" borderId="25" xfId="3" applyBorder="1" applyAlignment="1">
      <alignment horizontal="center" vertical="top" wrapText="1"/>
    </xf>
    <xf numFmtId="0" fontId="36" fillId="0" borderId="25" xfId="3" applyBorder="1" applyAlignment="1">
      <alignment horizontal="left" vertical="top" wrapText="1" indent="2"/>
    </xf>
    <xf numFmtId="0" fontId="28" fillId="0" borderId="25" xfId="3" applyFont="1" applyBorder="1" applyAlignment="1">
      <alignment horizontal="center" vertical="top" wrapText="1"/>
    </xf>
    <xf numFmtId="0" fontId="36" fillId="0" borderId="25" xfId="3" applyBorder="1" applyAlignment="1">
      <alignment vertical="top" wrapText="1"/>
    </xf>
    <xf numFmtId="0" fontId="36" fillId="0" borderId="0" xfId="3" applyAlignment="1">
      <alignment vertical="top" wrapText="1"/>
    </xf>
    <xf numFmtId="0" fontId="27" fillId="13" borderId="18" xfId="3" applyFont="1" applyFill="1" applyBorder="1" applyAlignment="1">
      <alignment horizontal="left" vertical="top" wrapText="1"/>
    </xf>
    <xf numFmtId="0" fontId="37" fillId="0" borderId="0" xfId="3" applyFont="1" applyAlignment="1">
      <alignment vertical="top" wrapText="1"/>
    </xf>
    <xf numFmtId="2" fontId="38" fillId="0" borderId="0" xfId="3" applyNumberFormat="1" applyFont="1" applyAlignment="1">
      <alignment horizontal="center" vertical="top" shrinkToFit="1"/>
    </xf>
    <xf numFmtId="0" fontId="36" fillId="13" borderId="18" xfId="3" applyFill="1" applyBorder="1" applyAlignment="1">
      <alignment horizontal="left" vertical="center" wrapText="1"/>
    </xf>
    <xf numFmtId="0" fontId="37" fillId="0" borderId="21" xfId="3" applyFont="1" applyBorder="1" applyAlignment="1">
      <alignment horizontal="center" vertical="top" wrapText="1"/>
    </xf>
    <xf numFmtId="0" fontId="37" fillId="0" borderId="24" xfId="3" applyFont="1" applyBorder="1" applyAlignment="1">
      <alignment horizontal="left" vertical="top" wrapText="1"/>
    </xf>
    <xf numFmtId="0" fontId="37" fillId="0" borderId="24" xfId="3" applyFont="1" applyBorder="1" applyAlignment="1">
      <alignment horizontal="center" vertical="top" wrapText="1"/>
    </xf>
    <xf numFmtId="0" fontId="33" fillId="0" borderId="0" xfId="3" applyFont="1" applyAlignment="1">
      <alignment horizontal="left" vertical="top" wrapText="1"/>
    </xf>
    <xf numFmtId="165" fontId="4" fillId="3" borderId="0" xfId="0" applyNumberFormat="1" applyFont="1" applyFill="1"/>
    <xf numFmtId="171" fontId="0" fillId="14" borderId="0" xfId="0" applyNumberFormat="1" applyFill="1"/>
    <xf numFmtId="3" fontId="4" fillId="14" borderId="0" xfId="0" applyNumberFormat="1" applyFont="1" applyFill="1"/>
    <xf numFmtId="0" fontId="0" fillId="14" borderId="0" xfId="0" applyFill="1"/>
    <xf numFmtId="0" fontId="5" fillId="0" borderId="0" xfId="0" applyFont="1" applyAlignment="1">
      <alignment horizontal="center" wrapText="1"/>
    </xf>
    <xf numFmtId="0" fontId="4" fillId="0" borderId="0" xfId="0" applyFont="1" applyAlignment="1">
      <alignment vertical="top" wrapText="1"/>
    </xf>
    <xf numFmtId="0" fontId="4" fillId="0" borderId="0" xfId="0" applyFont="1" applyAlignment="1">
      <alignment vertical="top"/>
    </xf>
    <xf numFmtId="0" fontId="0" fillId="0" borderId="0" xfId="0" applyAlignment="1">
      <alignment horizontal="center" vertical="top"/>
    </xf>
    <xf numFmtId="0" fontId="0" fillId="0" borderId="0" xfId="0" applyAlignment="1">
      <alignment vertical="top"/>
    </xf>
    <xf numFmtId="0" fontId="4" fillId="0" borderId="0" xfId="0" applyFont="1" applyAlignment="1">
      <alignment horizontal="center" vertical="top"/>
    </xf>
    <xf numFmtId="0" fontId="4" fillId="0" borderId="0" xfId="0" applyFont="1" applyAlignment="1">
      <alignment horizontal="center" vertical="top" wrapText="1"/>
    </xf>
    <xf numFmtId="9" fontId="0" fillId="0" borderId="0" xfId="4" applyFont="1"/>
    <xf numFmtId="0" fontId="0" fillId="0" borderId="0" xfId="0" applyAlignment="1">
      <alignment horizontal="left" wrapText="1"/>
    </xf>
    <xf numFmtId="1" fontId="44" fillId="0" borderId="28" xfId="0" applyNumberFormat="1" applyFont="1" applyBorder="1" applyAlignment="1">
      <alignment horizontal="left" vertical="top" shrinkToFit="1"/>
    </xf>
    <xf numFmtId="0" fontId="45" fillId="0" borderId="28" xfId="0" applyFont="1" applyBorder="1" applyAlignment="1">
      <alignment vertical="top" wrapText="1"/>
    </xf>
    <xf numFmtId="1" fontId="44" fillId="0" borderId="28" xfId="0" applyNumberFormat="1" applyFont="1" applyBorder="1" applyAlignment="1">
      <alignment vertical="top" shrinkToFit="1"/>
    </xf>
    <xf numFmtId="1" fontId="44" fillId="0" borderId="28" xfId="0" applyNumberFormat="1" applyFont="1" applyBorder="1" applyAlignment="1">
      <alignment horizontal="center" vertical="top" shrinkToFit="1"/>
    </xf>
    <xf numFmtId="0" fontId="46" fillId="0" borderId="28" xfId="0" applyFont="1" applyBorder="1" applyAlignment="1">
      <alignment vertical="top" wrapText="1"/>
    </xf>
    <xf numFmtId="0" fontId="46" fillId="0" borderId="28" xfId="0" applyFont="1" applyBorder="1" applyAlignment="1">
      <alignment horizontal="center" vertical="top" wrapText="1"/>
    </xf>
    <xf numFmtId="3" fontId="44" fillId="0" borderId="28" xfId="0" applyNumberFormat="1" applyFont="1" applyBorder="1" applyAlignment="1">
      <alignment horizontal="left" vertical="top" indent="1" shrinkToFit="1"/>
    </xf>
    <xf numFmtId="0" fontId="45" fillId="0" borderId="28" xfId="0" applyFont="1" applyBorder="1" applyAlignment="1">
      <alignment horizontal="center" vertical="top" wrapText="1"/>
    </xf>
    <xf numFmtId="0" fontId="48" fillId="0" borderId="28" xfId="0" applyFont="1" applyBorder="1" applyAlignment="1">
      <alignment horizontal="center" vertical="top" wrapText="1"/>
    </xf>
    <xf numFmtId="0" fontId="46" fillId="0" borderId="28" xfId="0" applyFont="1" applyBorder="1" applyAlignment="1">
      <alignment horizontal="left" vertical="top" wrapText="1" indent="1"/>
    </xf>
    <xf numFmtId="166" fontId="0" fillId="0" borderId="0" xfId="0" applyNumberFormat="1"/>
    <xf numFmtId="166" fontId="44" fillId="0" borderId="28" xfId="0" applyNumberFormat="1" applyFont="1" applyBorder="1" applyAlignment="1">
      <alignment horizontal="left" vertical="top" indent="1" shrinkToFit="1"/>
    </xf>
    <xf numFmtId="164" fontId="7" fillId="0" borderId="0" xfId="0" applyNumberFormat="1" applyFont="1"/>
    <xf numFmtId="0" fontId="49" fillId="0" borderId="24" xfId="0" applyFont="1" applyBorder="1" applyAlignment="1">
      <alignment vertical="top"/>
    </xf>
    <xf numFmtId="0" fontId="54" fillId="0" borderId="24" xfId="0" applyFont="1" applyBorder="1" applyAlignment="1">
      <alignment horizontal="left" vertical="top" wrapText="1"/>
    </xf>
    <xf numFmtId="0" fontId="57" fillId="0" borderId="18" xfId="0" applyFont="1" applyBorder="1" applyAlignment="1">
      <alignment horizontal="left" vertical="top" wrapText="1"/>
    </xf>
    <xf numFmtId="0" fontId="54" fillId="0" borderId="18" xfId="0" applyFont="1" applyBorder="1" applyAlignment="1">
      <alignment horizontal="left" vertical="top" wrapText="1"/>
    </xf>
    <xf numFmtId="0" fontId="0" fillId="0" borderId="18" xfId="0" applyBorder="1" applyAlignment="1">
      <alignment horizontal="left" vertical="top" wrapText="1"/>
    </xf>
    <xf numFmtId="0" fontId="63" fillId="0" borderId="34" xfId="0" applyFont="1" applyBorder="1" applyAlignment="1">
      <alignment horizontal="left" wrapText="1"/>
    </xf>
    <xf numFmtId="0" fontId="0" fillId="0" borderId="34" xfId="0" applyBorder="1" applyAlignment="1">
      <alignment horizontal="left" vertical="top" wrapText="1"/>
    </xf>
    <xf numFmtId="0" fontId="0" fillId="0" borderId="2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indent="3"/>
    </xf>
    <xf numFmtId="0" fontId="0" fillId="0" borderId="0" xfId="0" applyAlignment="1">
      <alignment horizontal="left" vertical="center" wrapText="1"/>
    </xf>
    <xf numFmtId="0" fontId="49" fillId="0" borderId="24" xfId="0" applyFont="1" applyBorder="1" applyAlignment="1">
      <alignment vertical="center" wrapText="1"/>
    </xf>
    <xf numFmtId="1" fontId="50" fillId="0" borderId="29" xfId="0" applyNumberFormat="1" applyFont="1" applyBorder="1" applyAlignment="1">
      <alignment horizontal="center" vertical="center" shrinkToFit="1"/>
    </xf>
    <xf numFmtId="0" fontId="0" fillId="0" borderId="35" xfId="0" applyBorder="1" applyAlignment="1">
      <alignment horizontal="center" vertical="center" wrapText="1"/>
    </xf>
    <xf numFmtId="1" fontId="50" fillId="15" borderId="29" xfId="0" applyNumberFormat="1" applyFont="1" applyFill="1" applyBorder="1" applyAlignment="1">
      <alignment horizontal="center" vertical="center" shrinkToFit="1"/>
    </xf>
    <xf numFmtId="1" fontId="50" fillId="16" borderId="30" xfId="0" applyNumberFormat="1" applyFont="1" applyFill="1" applyBorder="1" applyAlignment="1">
      <alignment horizontal="center" vertical="center" shrinkToFit="1"/>
    </xf>
    <xf numFmtId="1" fontId="50" fillId="17" borderId="29" xfId="0" applyNumberFormat="1" applyFont="1" applyFill="1" applyBorder="1" applyAlignment="1">
      <alignment horizontal="center" vertical="center" shrinkToFit="1"/>
    </xf>
    <xf numFmtId="1" fontId="50" fillId="16" borderId="29" xfId="0" applyNumberFormat="1" applyFont="1" applyFill="1" applyBorder="1" applyAlignment="1">
      <alignment horizontal="center" vertical="center" shrinkToFit="1"/>
    </xf>
    <xf numFmtId="1" fontId="50" fillId="17" borderId="30" xfId="0" applyNumberFormat="1" applyFont="1" applyFill="1" applyBorder="1" applyAlignment="1">
      <alignment horizontal="center" vertical="center" shrinkToFit="1"/>
    </xf>
    <xf numFmtId="1" fontId="50" fillId="0" borderId="30" xfId="0" applyNumberFormat="1" applyFont="1" applyBorder="1" applyAlignment="1">
      <alignment horizontal="center" vertical="center" shrinkToFit="1"/>
    </xf>
    <xf numFmtId="1" fontId="50" fillId="0" borderId="24" xfId="0" applyNumberFormat="1" applyFont="1" applyBorder="1" applyAlignment="1">
      <alignment horizontal="center" vertical="center" shrinkToFit="1"/>
    </xf>
    <xf numFmtId="1" fontId="50" fillId="15" borderId="30" xfId="0" applyNumberFormat="1" applyFont="1" applyFill="1" applyBorder="1" applyAlignment="1">
      <alignment horizontal="center" vertical="center" shrinkToFit="1"/>
    </xf>
    <xf numFmtId="0" fontId="52" fillId="0" borderId="18" xfId="0" applyFont="1" applyBorder="1" applyAlignment="1">
      <alignment vertical="center" wrapText="1"/>
    </xf>
    <xf numFmtId="0" fontId="51" fillId="0" borderId="18" xfId="0" applyFont="1" applyBorder="1" applyAlignment="1">
      <alignment horizontal="center" vertical="center" wrapText="1"/>
    </xf>
    <xf numFmtId="0" fontId="51" fillId="0" borderId="31" xfId="0" applyFont="1" applyBorder="1" applyAlignment="1">
      <alignment horizontal="center" vertical="center" wrapText="1"/>
    </xf>
    <xf numFmtId="1" fontId="53" fillId="15" borderId="32" xfId="0" applyNumberFormat="1" applyFont="1" applyFill="1" applyBorder="1" applyAlignment="1">
      <alignment horizontal="center" vertical="center" shrinkToFit="1"/>
    </xf>
    <xf numFmtId="1" fontId="53" fillId="16" borderId="33" xfId="0" applyNumberFormat="1" applyFont="1" applyFill="1" applyBorder="1" applyAlignment="1">
      <alignment horizontal="center" vertical="center" shrinkToFit="1"/>
    </xf>
    <xf numFmtId="1" fontId="53" fillId="0" borderId="32" xfId="0" applyNumberFormat="1" applyFont="1" applyBorder="1" applyAlignment="1">
      <alignment horizontal="center" vertical="center" shrinkToFit="1"/>
    </xf>
    <xf numFmtId="1" fontId="53" fillId="17" borderId="32" xfId="0" applyNumberFormat="1" applyFont="1" applyFill="1" applyBorder="1" applyAlignment="1">
      <alignment horizontal="center" vertical="center" shrinkToFit="1"/>
    </xf>
    <xf numFmtId="1" fontId="53" fillId="16" borderId="32" xfId="0" applyNumberFormat="1" applyFont="1" applyFill="1" applyBorder="1" applyAlignment="1">
      <alignment horizontal="center" vertical="center" shrinkToFit="1"/>
    </xf>
    <xf numFmtId="1" fontId="53" fillId="17" borderId="33" xfId="0" applyNumberFormat="1" applyFont="1" applyFill="1" applyBorder="1" applyAlignment="1">
      <alignment horizontal="center" vertical="center" shrinkToFit="1"/>
    </xf>
    <xf numFmtId="1" fontId="53" fillId="0" borderId="33" xfId="0" applyNumberFormat="1" applyFont="1" applyBorder="1" applyAlignment="1">
      <alignment horizontal="center" vertical="center" shrinkToFit="1"/>
    </xf>
    <xf numFmtId="1" fontId="53" fillId="0" borderId="18" xfId="0" applyNumberFormat="1" applyFont="1" applyBorder="1" applyAlignment="1">
      <alignment horizontal="center" vertical="center" shrinkToFit="1"/>
    </xf>
    <xf numFmtId="1" fontId="53" fillId="15" borderId="33" xfId="0" applyNumberFormat="1" applyFont="1" applyFill="1" applyBorder="1" applyAlignment="1">
      <alignment horizontal="center" vertical="center" shrinkToFit="1"/>
    </xf>
    <xf numFmtId="0" fontId="54" fillId="0" borderId="24" xfId="0" applyFont="1" applyBorder="1" applyAlignment="1">
      <alignment horizontal="left" vertical="center" wrapText="1"/>
    </xf>
    <xf numFmtId="0" fontId="56" fillId="0" borderId="24" xfId="0" applyFont="1" applyBorder="1" applyAlignment="1">
      <alignment horizontal="center" vertical="center" wrapText="1"/>
    </xf>
    <xf numFmtId="1" fontId="61" fillId="0" borderId="24" xfId="0" applyNumberFormat="1" applyFont="1" applyBorder="1" applyAlignment="1">
      <alignment horizontal="center" vertical="center" shrinkToFit="1"/>
    </xf>
    <xf numFmtId="0" fontId="56" fillId="0" borderId="18" xfId="0" applyFont="1" applyBorder="1" applyAlignment="1">
      <alignment horizontal="center" vertical="center" wrapText="1"/>
    </xf>
    <xf numFmtId="1" fontId="61" fillId="0" borderId="18" xfId="0" applyNumberFormat="1" applyFont="1" applyBorder="1" applyAlignment="1">
      <alignment horizontal="center" vertical="center" shrinkToFit="1"/>
    </xf>
    <xf numFmtId="0" fontId="57" fillId="0" borderId="18" xfId="0" applyFont="1" applyBorder="1" applyAlignment="1">
      <alignment horizontal="left" vertical="center" wrapText="1"/>
    </xf>
    <xf numFmtId="1" fontId="60" fillId="0" borderId="18" xfId="0" applyNumberFormat="1" applyFont="1" applyBorder="1" applyAlignment="1">
      <alignment horizontal="center" vertical="center" shrinkToFit="1"/>
    </xf>
    <xf numFmtId="0" fontId="59" fillId="0" borderId="18" xfId="0" applyFont="1" applyBorder="1" applyAlignment="1">
      <alignment horizontal="center" vertical="center" wrapText="1"/>
    </xf>
    <xf numFmtId="0" fontId="54" fillId="0" borderId="18" xfId="0" applyFont="1" applyBorder="1" applyAlignment="1">
      <alignment horizontal="left" vertical="center" wrapText="1"/>
    </xf>
    <xf numFmtId="0" fontId="0" fillId="0" borderId="18" xfId="0" applyBorder="1" applyAlignment="1">
      <alignment horizontal="left" vertical="center" wrapText="1"/>
    </xf>
    <xf numFmtId="166" fontId="61" fillId="0" borderId="18" xfId="0" applyNumberFormat="1" applyFont="1" applyBorder="1" applyAlignment="1">
      <alignment horizontal="center" vertical="center" shrinkToFit="1"/>
    </xf>
    <xf numFmtId="166" fontId="56" fillId="0" borderId="18" xfId="0" applyNumberFormat="1" applyFont="1" applyBorder="1" applyAlignment="1">
      <alignment horizontal="center" vertical="center" wrapText="1"/>
    </xf>
    <xf numFmtId="1" fontId="50" fillId="16" borderId="30" xfId="0" applyNumberFormat="1" applyFont="1" applyFill="1" applyBorder="1" applyAlignment="1">
      <alignment horizontal="left" vertical="center" shrinkToFit="1"/>
    </xf>
    <xf numFmtId="1" fontId="50" fillId="0" borderId="29" xfId="0" applyNumberFormat="1" applyFont="1" applyBorder="1" applyAlignment="1">
      <alignment horizontal="center" shrinkToFit="1"/>
    </xf>
    <xf numFmtId="0" fontId="0" fillId="0" borderId="35" xfId="0" applyBorder="1" applyAlignment="1">
      <alignment horizontal="center" wrapText="1"/>
    </xf>
    <xf numFmtId="1" fontId="50" fillId="15" borderId="29" xfId="0" applyNumberFormat="1" applyFont="1" applyFill="1" applyBorder="1" applyAlignment="1">
      <alignment horizontal="center" shrinkToFit="1"/>
    </xf>
    <xf numFmtId="1" fontId="50" fillId="16" borderId="30" xfId="0" applyNumberFormat="1" applyFont="1" applyFill="1" applyBorder="1" applyAlignment="1">
      <alignment horizontal="center" shrinkToFit="1"/>
    </xf>
    <xf numFmtId="1" fontId="50" fillId="17" borderId="29" xfId="0" applyNumberFormat="1" applyFont="1" applyFill="1" applyBorder="1" applyAlignment="1">
      <alignment horizontal="center" shrinkToFit="1"/>
    </xf>
    <xf numFmtId="1" fontId="50" fillId="16" borderId="29" xfId="0" applyNumberFormat="1" applyFont="1" applyFill="1" applyBorder="1" applyAlignment="1">
      <alignment horizontal="center" shrinkToFit="1"/>
    </xf>
    <xf numFmtId="1" fontId="50" fillId="17" borderId="30" xfId="0" applyNumberFormat="1" applyFont="1" applyFill="1" applyBorder="1" applyAlignment="1">
      <alignment horizontal="center" shrinkToFit="1"/>
    </xf>
    <xf numFmtId="1" fontId="50" fillId="0" borderId="30" xfId="0" applyNumberFormat="1" applyFont="1" applyBorder="1" applyAlignment="1">
      <alignment horizontal="center" shrinkToFit="1"/>
    </xf>
    <xf numFmtId="1" fontId="50" fillId="0" borderId="24" xfId="0" applyNumberFormat="1" applyFont="1" applyBorder="1" applyAlignment="1">
      <alignment horizontal="center" shrinkToFit="1"/>
    </xf>
    <xf numFmtId="1" fontId="50" fillId="15" borderId="30" xfId="0" applyNumberFormat="1" applyFont="1" applyFill="1" applyBorder="1" applyAlignment="1">
      <alignment horizontal="center" shrinkToFit="1"/>
    </xf>
    <xf numFmtId="0" fontId="51" fillId="0" borderId="18" xfId="0" applyFont="1" applyBorder="1" applyAlignment="1">
      <alignment horizontal="center" wrapText="1"/>
    </xf>
    <xf numFmtId="0" fontId="51" fillId="0" borderId="31" xfId="0" applyFont="1" applyBorder="1" applyAlignment="1">
      <alignment horizontal="center" wrapText="1"/>
    </xf>
    <xf numFmtId="1" fontId="53" fillId="15" borderId="32" xfId="0" applyNumberFormat="1" applyFont="1" applyFill="1" applyBorder="1" applyAlignment="1">
      <alignment horizontal="center" shrinkToFit="1"/>
    </xf>
    <xf numFmtId="1" fontId="53" fillId="16" borderId="33" xfId="0" applyNumberFormat="1" applyFont="1" applyFill="1" applyBorder="1" applyAlignment="1">
      <alignment horizontal="center" shrinkToFit="1"/>
    </xf>
    <xf numFmtId="1" fontId="53" fillId="0" borderId="32" xfId="0" applyNumberFormat="1" applyFont="1" applyBorder="1" applyAlignment="1">
      <alignment horizontal="center" shrinkToFit="1"/>
    </xf>
    <xf numFmtId="1" fontId="53" fillId="17" borderId="32" xfId="0" applyNumberFormat="1" applyFont="1" applyFill="1" applyBorder="1" applyAlignment="1">
      <alignment horizontal="center" shrinkToFit="1"/>
    </xf>
    <xf numFmtId="1" fontId="53" fillId="16" borderId="32" xfId="0" applyNumberFormat="1" applyFont="1" applyFill="1" applyBorder="1" applyAlignment="1">
      <alignment horizontal="center" shrinkToFit="1"/>
    </xf>
    <xf numFmtId="1" fontId="53" fillId="17" borderId="33" xfId="0" applyNumberFormat="1" applyFont="1" applyFill="1" applyBorder="1" applyAlignment="1">
      <alignment horizontal="center" shrinkToFit="1"/>
    </xf>
    <xf numFmtId="1" fontId="53" fillId="0" borderId="33" xfId="0" applyNumberFormat="1" applyFont="1" applyBorder="1" applyAlignment="1">
      <alignment horizontal="center" shrinkToFit="1"/>
    </xf>
    <xf numFmtId="1" fontId="53" fillId="0" borderId="18" xfId="0" applyNumberFormat="1" applyFont="1" applyBorder="1" applyAlignment="1">
      <alignment horizontal="center" shrinkToFit="1"/>
    </xf>
    <xf numFmtId="1" fontId="53" fillId="15" borderId="33" xfId="0" applyNumberFormat="1" applyFont="1" applyFill="1" applyBorder="1" applyAlignment="1">
      <alignment horizontal="center" shrinkToFit="1"/>
    </xf>
    <xf numFmtId="0" fontId="56" fillId="0" borderId="24" xfId="0" applyFont="1" applyBorder="1" applyAlignment="1">
      <alignment horizontal="center" wrapText="1"/>
    </xf>
    <xf numFmtId="1" fontId="61" fillId="0" borderId="24" xfId="0" applyNumberFormat="1" applyFont="1" applyBorder="1" applyAlignment="1">
      <alignment horizontal="center" shrinkToFit="1"/>
    </xf>
    <xf numFmtId="0" fontId="59" fillId="0" borderId="18" xfId="0" applyFont="1" applyBorder="1" applyAlignment="1">
      <alignment horizontal="center" wrapText="1"/>
    </xf>
    <xf numFmtId="1" fontId="60" fillId="0" borderId="18" xfId="0" applyNumberFormat="1" applyFont="1" applyBorder="1" applyAlignment="1">
      <alignment horizontal="center" shrinkToFit="1"/>
    </xf>
    <xf numFmtId="0" fontId="56" fillId="0" borderId="18" xfId="0" applyFont="1" applyBorder="1" applyAlignment="1">
      <alignment horizontal="center" wrapText="1"/>
    </xf>
    <xf numFmtId="1" fontId="61" fillId="0" borderId="18" xfId="0" applyNumberFormat="1" applyFont="1" applyBorder="1" applyAlignment="1">
      <alignment horizontal="center" shrinkToFit="1"/>
    </xf>
    <xf numFmtId="166" fontId="54" fillId="0" borderId="18" xfId="0" applyNumberFormat="1" applyFont="1" applyBorder="1" applyAlignment="1">
      <alignment horizontal="left" vertical="top" wrapText="1"/>
    </xf>
    <xf numFmtId="166" fontId="61" fillId="0" borderId="18" xfId="0" applyNumberFormat="1" applyFont="1" applyBorder="1" applyAlignment="1">
      <alignment horizontal="center" shrinkToFit="1"/>
    </xf>
    <xf numFmtId="166" fontId="56" fillId="0" borderId="18" xfId="0" applyNumberFormat="1" applyFont="1" applyBorder="1" applyAlignment="1">
      <alignment horizontal="center" wrapText="1"/>
    </xf>
    <xf numFmtId="166" fontId="54" fillId="0" borderId="18" xfId="0" applyNumberFormat="1" applyFont="1" applyBorder="1" applyAlignment="1">
      <alignment horizontal="left" vertical="center" wrapText="1"/>
    </xf>
    <xf numFmtId="0" fontId="49" fillId="0" borderId="18" xfId="0" applyFont="1" applyBorder="1" applyAlignment="1">
      <alignment horizontal="center" vertical="center" wrapText="1"/>
    </xf>
    <xf numFmtId="175" fontId="0" fillId="0" borderId="0" xfId="4" applyNumberFormat="1" applyFont="1"/>
    <xf numFmtId="0" fontId="2" fillId="0" borderId="36" xfId="0" applyFont="1" applyBorder="1"/>
    <xf numFmtId="0" fontId="2" fillId="0" borderId="37" xfId="0" applyFont="1" applyBorder="1"/>
    <xf numFmtId="0" fontId="0" fillId="0" borderId="37" xfId="0" applyBorder="1"/>
    <xf numFmtId="164" fontId="0" fillId="0" borderId="36" xfId="0" applyNumberFormat="1" applyBorder="1"/>
    <xf numFmtId="0" fontId="2" fillId="19" borderId="36" xfId="0" applyFont="1" applyFill="1" applyBorder="1"/>
    <xf numFmtId="3" fontId="2" fillId="19" borderId="36" xfId="0" applyNumberFormat="1" applyFont="1" applyFill="1" applyBorder="1"/>
    <xf numFmtId="2" fontId="0" fillId="0" borderId="37" xfId="0" applyNumberFormat="1" applyBorder="1"/>
    <xf numFmtId="164" fontId="0" fillId="0" borderId="37" xfId="0" applyNumberFormat="1" applyBorder="1"/>
    <xf numFmtId="164" fontId="2" fillId="0" borderId="36" xfId="0" applyNumberFormat="1" applyFont="1" applyBorder="1"/>
    <xf numFmtId="0" fontId="0" fillId="20" borderId="37" xfId="0" applyFill="1" applyBorder="1"/>
    <xf numFmtId="164" fontId="0" fillId="20" borderId="0" xfId="0" applyNumberFormat="1" applyFill="1"/>
    <xf numFmtId="2" fontId="0" fillId="0" borderId="36" xfId="0" applyNumberFormat="1" applyBorder="1"/>
    <xf numFmtId="164" fontId="2" fillId="0" borderId="37" xfId="0" applyNumberFormat="1" applyFont="1" applyBorder="1"/>
    <xf numFmtId="0" fontId="0" fillId="21" borderId="37" xfId="0" applyFill="1" applyBorder="1"/>
    <xf numFmtId="164" fontId="0" fillId="21" borderId="0" xfId="0" applyNumberFormat="1" applyFill="1"/>
    <xf numFmtId="164" fontId="0" fillId="21" borderId="37" xfId="0" applyNumberFormat="1" applyFill="1" applyBorder="1"/>
    <xf numFmtId="0" fontId="68" fillId="0" borderId="0" xfId="0" applyFont="1" applyAlignment="1">
      <alignment horizontal="center" vertical="center" readingOrder="1"/>
    </xf>
    <xf numFmtId="171" fontId="4" fillId="0" borderId="0" xfId="0" applyNumberFormat="1" applyFont="1"/>
    <xf numFmtId="2" fontId="0" fillId="20" borderId="37" xfId="0" applyNumberFormat="1" applyFill="1" applyBorder="1"/>
    <xf numFmtId="2" fontId="0" fillId="21" borderId="37" xfId="0" applyNumberFormat="1" applyFill="1" applyBorder="1"/>
    <xf numFmtId="2" fontId="2" fillId="0" borderId="36" xfId="0" applyNumberFormat="1" applyFont="1" applyBorder="1"/>
    <xf numFmtId="169" fontId="2" fillId="0" borderId="0" xfId="0" applyNumberFormat="1" applyFont="1"/>
    <xf numFmtId="0" fontId="4" fillId="0" borderId="0" xfId="0" applyFont="1" applyAlignment="1">
      <alignment horizontal="center" vertical="top" wrapText="1"/>
    </xf>
    <xf numFmtId="0" fontId="4" fillId="0" borderId="0" xfId="0" applyFont="1" applyAlignment="1">
      <alignment horizontal="center" vertical="top"/>
    </xf>
    <xf numFmtId="0" fontId="0" fillId="0" borderId="0" xfId="0" applyAlignment="1">
      <alignment horizontal="center" vertical="top"/>
    </xf>
    <xf numFmtId="0" fontId="4" fillId="0" borderId="1" xfId="0" applyFont="1" applyBorder="1" applyAlignment="1">
      <alignment horizontal="center"/>
    </xf>
    <xf numFmtId="0" fontId="0" fillId="0" borderId="0" xfId="0" applyAlignment="1">
      <alignment horizontal="center"/>
    </xf>
    <xf numFmtId="0" fontId="0" fillId="0" borderId="2" xfId="0" applyBorder="1" applyAlignment="1">
      <alignment horizontal="center"/>
    </xf>
    <xf numFmtId="0" fontId="2" fillId="0" borderId="0" xfId="0" applyFont="1" applyAlignment="1">
      <alignment horizontal="left" wrapText="1"/>
    </xf>
    <xf numFmtId="0" fontId="19" fillId="0" borderId="0" xfId="0" applyFont="1" applyAlignment="1">
      <alignment horizontal="left" wrapText="1"/>
    </xf>
    <xf numFmtId="0" fontId="19" fillId="0" borderId="0" xfId="0" applyFont="1" applyAlignment="1">
      <alignment horizontal="left" vertical="top" wrapText="1"/>
    </xf>
    <xf numFmtId="0" fontId="16" fillId="8" borderId="12" xfId="0" applyFont="1" applyFill="1" applyBorder="1" applyAlignment="1">
      <alignment horizontal="center" vertical="top" wrapText="1"/>
    </xf>
    <xf numFmtId="1" fontId="25" fillId="10" borderId="0" xfId="0" applyNumberFormat="1" applyFont="1" applyFill="1" applyAlignment="1">
      <alignment horizontal="left" vertical="top" shrinkToFit="1"/>
    </xf>
    <xf numFmtId="0" fontId="21" fillId="0" borderId="0" xfId="0" applyFont="1" applyAlignment="1">
      <alignment horizontal="left" vertical="top" wrapText="1"/>
    </xf>
    <xf numFmtId="0" fontId="21" fillId="0" borderId="0" xfId="0" applyFont="1" applyAlignment="1">
      <alignment horizontal="left" wrapText="1"/>
    </xf>
    <xf numFmtId="1" fontId="20" fillId="10" borderId="0" xfId="0" applyNumberFormat="1" applyFont="1" applyFill="1" applyAlignment="1">
      <alignment horizontal="left" vertical="top" shrinkToFit="1"/>
    </xf>
    <xf numFmtId="0" fontId="34" fillId="0" borderId="27" xfId="3" applyFont="1" applyBorder="1" applyAlignment="1">
      <alignment horizontal="left" vertical="center" wrapText="1"/>
    </xf>
    <xf numFmtId="0" fontId="28" fillId="12" borderId="26" xfId="3" applyFont="1" applyFill="1" applyBorder="1" applyAlignment="1">
      <alignment horizontal="left" vertical="top" wrapText="1"/>
    </xf>
    <xf numFmtId="0" fontId="36" fillId="0" borderId="0" xfId="3" applyAlignment="1">
      <alignment horizontal="left" vertical="center" wrapText="1" indent="47"/>
    </xf>
    <xf numFmtId="0" fontId="28" fillId="0" borderId="0" xfId="3" applyFont="1" applyAlignment="1">
      <alignment horizontal="left" vertical="top" wrapText="1" indent="47"/>
    </xf>
    <xf numFmtId="0" fontId="36" fillId="0" borderId="0" xfId="3" applyAlignment="1">
      <alignment horizontal="left" vertical="top" wrapText="1"/>
    </xf>
    <xf numFmtId="0" fontId="27" fillId="12" borderId="18" xfId="3" applyFont="1" applyFill="1" applyBorder="1" applyAlignment="1">
      <alignment horizontal="left" vertical="top" wrapText="1"/>
    </xf>
    <xf numFmtId="0" fontId="36" fillId="0" borderId="0" xfId="3" applyAlignment="1">
      <alignment horizontal="left" vertical="center" wrapText="1" indent="52"/>
    </xf>
    <xf numFmtId="0" fontId="28" fillId="0" borderId="0" xfId="3" applyFont="1" applyAlignment="1">
      <alignment horizontal="left" vertical="top" wrapText="1" indent="52"/>
    </xf>
    <xf numFmtId="0" fontId="27" fillId="12" borderId="26" xfId="3" applyFont="1" applyFill="1" applyBorder="1" applyAlignment="1">
      <alignment horizontal="left" vertical="top" wrapText="1"/>
    </xf>
    <xf numFmtId="0" fontId="34" fillId="0" borderId="0" xfId="3" applyFont="1" applyAlignment="1">
      <alignment horizontal="left" vertical="center" wrapText="1"/>
    </xf>
    <xf numFmtId="0" fontId="35" fillId="0" borderId="0" xfId="3" applyFont="1" applyAlignment="1">
      <alignment horizontal="left" vertical="top" wrapText="1" indent="38"/>
    </xf>
    <xf numFmtId="0" fontId="36" fillId="0" borderId="0" xfId="3" applyAlignment="1">
      <alignment horizontal="left" vertical="center" wrapText="1"/>
    </xf>
    <xf numFmtId="0" fontId="28" fillId="0" borderId="0" xfId="3" applyFont="1" applyAlignment="1">
      <alignment horizontal="left" vertical="top" wrapText="1"/>
    </xf>
    <xf numFmtId="0" fontId="27" fillId="13" borderId="18" xfId="3" applyFont="1" applyFill="1" applyBorder="1" applyAlignment="1">
      <alignment horizontal="left" vertical="top" wrapText="1"/>
    </xf>
    <xf numFmtId="0" fontId="37" fillId="0" borderId="21" xfId="3" applyFont="1" applyBorder="1" applyAlignment="1">
      <alignment horizontal="left" vertical="top" wrapText="1"/>
    </xf>
    <xf numFmtId="0" fontId="33" fillId="0" borderId="0" xfId="3" applyFont="1" applyAlignment="1">
      <alignment horizontal="left" vertical="top" wrapText="1"/>
    </xf>
    <xf numFmtId="0" fontId="36" fillId="13" borderId="18" xfId="3" applyFill="1" applyBorder="1" applyAlignment="1">
      <alignment horizontal="left" vertical="center" wrapText="1"/>
    </xf>
    <xf numFmtId="0" fontId="36" fillId="13" borderId="18" xfId="3" applyFill="1" applyBorder="1" applyAlignment="1">
      <alignment vertical="center" wrapText="1"/>
    </xf>
    <xf numFmtId="0" fontId="37" fillId="0" borderId="21" xfId="3" applyFont="1" applyBorder="1" applyAlignment="1">
      <alignment vertical="top" wrapText="1"/>
    </xf>
    <xf numFmtId="0" fontId="34" fillId="0" borderId="18" xfId="3" applyFont="1" applyBorder="1" applyAlignment="1">
      <alignment horizontal="left" vertical="center" wrapText="1"/>
    </xf>
    <xf numFmtId="0" fontId="37" fillId="0" borderId="21" xfId="3" applyFont="1" applyBorder="1" applyAlignment="1">
      <alignment horizontal="left" vertical="top" wrapText="1" indent="5"/>
    </xf>
    <xf numFmtId="0" fontId="36" fillId="0" borderId="21" xfId="3" applyBorder="1" applyAlignment="1">
      <alignment vertical="top" wrapText="1"/>
    </xf>
    <xf numFmtId="0" fontId="37" fillId="0" borderId="24" xfId="3" applyFont="1" applyBorder="1" applyAlignment="1">
      <alignment horizontal="left" vertical="top" wrapText="1" indent="5"/>
    </xf>
    <xf numFmtId="0" fontId="36" fillId="0" borderId="24" xfId="3" applyBorder="1" applyAlignment="1">
      <alignment vertical="top" wrapText="1"/>
    </xf>
    <xf numFmtId="0" fontId="37" fillId="0" borderId="0" xfId="3" applyFont="1" applyAlignment="1">
      <alignment vertical="top" wrapText="1"/>
    </xf>
    <xf numFmtId="2" fontId="38" fillId="0" borderId="0" xfId="3" applyNumberFormat="1" applyFont="1" applyAlignment="1">
      <alignment horizontal="center" vertical="top" shrinkToFit="1"/>
    </xf>
    <xf numFmtId="0" fontId="36" fillId="0" borderId="18" xfId="3" applyBorder="1" applyAlignment="1">
      <alignment horizontal="left" vertical="top" wrapText="1"/>
    </xf>
    <xf numFmtId="0" fontId="28" fillId="0" borderId="21" xfId="3" applyFont="1" applyBorder="1" applyAlignment="1">
      <alignment horizontal="left" vertical="top" wrapText="1"/>
    </xf>
    <xf numFmtId="0" fontId="36" fillId="0" borderId="21" xfId="3" applyBorder="1" applyAlignment="1">
      <alignment horizontal="left" vertical="top" wrapText="1"/>
    </xf>
    <xf numFmtId="0" fontId="37" fillId="0" borderId="18" xfId="3" applyFont="1" applyBorder="1" applyAlignment="1">
      <alignment horizontal="left" vertical="top" wrapText="1"/>
    </xf>
    <xf numFmtId="0" fontId="2" fillId="0" borderId="0" xfId="0" applyFont="1" applyAlignment="1">
      <alignment horizontal="center"/>
    </xf>
    <xf numFmtId="0" fontId="46" fillId="0" borderId="28" xfId="0" applyFont="1" applyBorder="1" applyAlignment="1">
      <alignment horizontal="center" vertical="top" wrapText="1"/>
    </xf>
    <xf numFmtId="0" fontId="47" fillId="0" borderId="28" xfId="0" applyFont="1" applyBorder="1" applyAlignment="1">
      <alignment horizontal="center" vertical="top" wrapText="1"/>
    </xf>
    <xf numFmtId="0" fontId="66" fillId="18" borderId="0" xfId="0" applyFont="1" applyFill="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2" fontId="0" fillId="21" borderId="0" xfId="0" applyNumberFormat="1" applyFill="1"/>
    <xf numFmtId="2" fontId="7" fillId="0" borderId="0" xfId="0" applyNumberFormat="1" applyFont="1"/>
    <xf numFmtId="2" fontId="0" fillId="20" borderId="0" xfId="0" applyNumberFormat="1" applyFill="1"/>
    <xf numFmtId="0" fontId="4" fillId="22" borderId="0" xfId="0" applyFont="1" applyFill="1"/>
    <xf numFmtId="0" fontId="0" fillId="22" borderId="0" xfId="0" applyFill="1"/>
    <xf numFmtId="174" fontId="0" fillId="22" borderId="0" xfId="0" applyNumberFormat="1" applyFill="1"/>
    <xf numFmtId="168" fontId="0" fillId="22" borderId="0" xfId="0" applyNumberFormat="1" applyFill="1"/>
    <xf numFmtId="0" fontId="4" fillId="23" borderId="0" xfId="0" applyFont="1" applyFill="1"/>
    <xf numFmtId="174" fontId="0" fillId="23" borderId="0" xfId="0" applyNumberFormat="1" applyFill="1"/>
    <xf numFmtId="0" fontId="0" fillId="23" borderId="0" xfId="0" applyFill="1"/>
  </cellXfs>
  <cellStyles count="5">
    <cellStyle name="Link" xfId="2" builtinId="8"/>
    <cellStyle name="Prozent" xfId="4" builtinId="5"/>
    <cellStyle name="Standard" xfId="0" builtinId="0"/>
    <cellStyle name="Standard 2" xfId="3" xr:uid="{F89554AA-8122-41D7-BE09-14E08B396268}"/>
    <cellStyle name="Standard 2 2" xfId="1" xr:uid="{7B1ED196-6504-4BB8-BBDC-F51FA50925DD}"/>
  </cellStyles>
  <dxfs count="68">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tint="-0.14996795556505021"/>
        </patternFill>
      </fill>
    </dxf>
    <dxf>
      <fill>
        <patternFill>
          <bgColor theme="8" tint="0.79998168889431442"/>
        </patternFill>
      </fill>
    </dxf>
    <dxf>
      <fill>
        <patternFill>
          <bgColor theme="7" tint="0.79998168889431442"/>
        </patternFill>
      </fill>
    </dxf>
    <dxf>
      <border>
        <right style="thin">
          <color auto="1"/>
        </right>
        <vertical/>
        <horizontal/>
      </border>
    </dxf>
    <dxf>
      <border>
        <right style="thin">
          <color theme="1" tint="0.499984740745262"/>
        </right>
        <vertical/>
        <horizontal/>
      </border>
    </dxf>
    <dxf>
      <fill>
        <patternFill>
          <bgColor theme="9"/>
        </patternFill>
      </fill>
    </dxf>
    <dxf>
      <numFmt numFmtId="176" formatCode="0\ &quot;Elemente&quot;"/>
    </dxf>
    <dxf>
      <numFmt numFmtId="177" formatCode="0\ &quot;cm&quot;"/>
    </dxf>
    <dxf>
      <fill>
        <patternFill>
          <bgColor theme="0" tint="-0.14996795556505021"/>
        </patternFill>
      </fill>
    </dxf>
    <dxf>
      <fill>
        <patternFill>
          <bgColor theme="8" tint="0.79998168889431442"/>
        </patternFill>
      </fill>
    </dxf>
    <dxf>
      <fill>
        <patternFill>
          <bgColor theme="7" tint="0.79998168889431442"/>
        </patternFill>
      </fill>
    </dxf>
    <dxf>
      <fill>
        <patternFill>
          <bgColor theme="9"/>
        </patternFill>
      </fill>
    </dxf>
    <dxf>
      <numFmt numFmtId="176" formatCode="0\ &quot;Elemente&quot;"/>
    </dxf>
    <dxf>
      <numFmt numFmtId="177" formatCode="0\ &quot;cm&quot;"/>
    </dxf>
    <dxf>
      <border>
        <right style="thin">
          <color auto="1"/>
        </right>
        <vertical/>
        <horizontal/>
      </border>
    </dxf>
    <dxf>
      <border>
        <right style="thin">
          <color theme="1" tint="0.499984740745262"/>
        </right>
        <vertical/>
        <horizontal/>
      </border>
    </dxf>
    <dxf>
      <font>
        <color theme="0"/>
      </font>
    </dxf>
    <dxf>
      <fill>
        <patternFill>
          <bgColor theme="0" tint="-0.14996795556505021"/>
        </patternFill>
      </fill>
    </dxf>
    <dxf>
      <fill>
        <patternFill>
          <bgColor theme="8" tint="0.79998168889431442"/>
        </patternFill>
      </fill>
    </dxf>
    <dxf>
      <fill>
        <patternFill>
          <bgColor theme="7" tint="0.79998168889431442"/>
        </patternFill>
      </fill>
    </dxf>
    <dxf>
      <fill>
        <patternFill>
          <bgColor theme="9"/>
        </patternFill>
      </fill>
    </dxf>
    <dxf>
      <numFmt numFmtId="176" formatCode="0\ &quot;Elemente&quot;"/>
    </dxf>
    <dxf>
      <numFmt numFmtId="177" formatCode="0\ &quot;cm&quot;"/>
    </dxf>
    <dxf>
      <fill>
        <patternFill>
          <bgColor theme="0" tint="-0.14996795556505021"/>
        </patternFill>
      </fill>
    </dxf>
    <dxf>
      <fill>
        <patternFill>
          <bgColor theme="8" tint="0.79998168889431442"/>
        </patternFill>
      </fill>
    </dxf>
    <dxf>
      <fill>
        <patternFill>
          <bgColor theme="7" tint="0.79998168889431442"/>
        </patternFill>
      </fill>
    </dxf>
    <dxf>
      <fill>
        <patternFill>
          <bgColor theme="9"/>
        </patternFill>
      </fill>
    </dxf>
    <dxf>
      <numFmt numFmtId="176" formatCode="0\ &quot;Elemente&quot;"/>
    </dxf>
    <dxf>
      <numFmt numFmtId="177" formatCode="0\ &quot;cm&quot;"/>
    </dxf>
    <dxf>
      <border>
        <right style="thin">
          <color auto="1"/>
        </right>
        <vertical/>
        <horizontal/>
      </border>
    </dxf>
    <dxf>
      <border>
        <right style="thin">
          <color theme="1" tint="0.499984740745262"/>
        </right>
        <vertical/>
        <horizontal/>
      </border>
    </dxf>
    <dxf>
      <fill>
        <patternFill>
          <bgColor theme="0" tint="-0.14996795556505021"/>
        </patternFill>
      </fill>
    </dxf>
    <dxf>
      <fill>
        <patternFill>
          <bgColor theme="8" tint="0.79998168889431442"/>
        </patternFill>
      </fill>
    </dxf>
    <dxf>
      <fill>
        <patternFill>
          <bgColor theme="7" tint="0.79998168889431442"/>
        </patternFill>
      </fill>
    </dxf>
    <dxf>
      <fill>
        <patternFill>
          <bgColor theme="9"/>
        </patternFill>
      </fill>
    </dxf>
    <dxf>
      <numFmt numFmtId="176" formatCode="0\ &quot;Elemente&quot;"/>
    </dxf>
    <dxf>
      <numFmt numFmtId="177" formatCode="0\ &quot;cm&quo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Heizfläche</a:t>
            </a:r>
            <a:r>
              <a:rPr lang="de-CH" baseline="0"/>
              <a:t> Bauhöhe 500 mm</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357062328242678"/>
          <c:y val="0.15222522623257245"/>
          <c:w val="0.81682094673522321"/>
          <c:h val="0.62943715417165691"/>
        </c:manualLayout>
      </c:layout>
      <c:scatterChart>
        <c:scatterStyle val="lineMarker"/>
        <c:varyColors val="0"/>
        <c:ser>
          <c:idx val="0"/>
          <c:order val="0"/>
          <c:tx>
            <c:strRef>
              <c:f>'DIN 4720 4722'!$A$16</c:f>
              <c:strCache>
                <c:ptCount val="1"/>
                <c:pt idx="0">
                  <c:v>Arbonia</c:v>
                </c:pt>
              </c:strCache>
            </c:strRef>
          </c:tx>
          <c:spPr>
            <a:ln w="38100" cap="rnd">
              <a:noFill/>
              <a:round/>
            </a:ln>
            <a:effectLst/>
          </c:spPr>
          <c:marker>
            <c:symbol val="circle"/>
            <c:size val="5"/>
            <c:spPr>
              <a:solidFill>
                <a:schemeClr val="accent1"/>
              </a:solidFill>
              <a:ln w="9525">
                <a:solidFill>
                  <a:schemeClr val="accent1"/>
                </a:solidFill>
              </a:ln>
              <a:effectLst/>
            </c:spPr>
          </c:marker>
          <c:xVal>
            <c:numRef>
              <c:f>'DIN 4720 4722'!$G$15:$J$15</c:f>
              <c:numCache>
                <c:formatCode>General</c:formatCode>
                <c:ptCount val="4"/>
                <c:pt idx="0">
                  <c:v>105</c:v>
                </c:pt>
                <c:pt idx="1">
                  <c:v>145</c:v>
                </c:pt>
                <c:pt idx="2">
                  <c:v>185</c:v>
                </c:pt>
                <c:pt idx="3">
                  <c:v>225</c:v>
                </c:pt>
              </c:numCache>
            </c:numRef>
          </c:xVal>
          <c:yVal>
            <c:numRef>
              <c:f>'DIN 4720 4722'!$G$16:$J$16</c:f>
              <c:numCache>
                <c:formatCode>General</c:formatCode>
                <c:ptCount val="4"/>
                <c:pt idx="0">
                  <c:v>0.12</c:v>
                </c:pt>
                <c:pt idx="1">
                  <c:v>0.17</c:v>
                </c:pt>
                <c:pt idx="2">
                  <c:v>0.21</c:v>
                </c:pt>
                <c:pt idx="3">
                  <c:v>0.25</c:v>
                </c:pt>
              </c:numCache>
            </c:numRef>
          </c:yVal>
          <c:smooth val="0"/>
          <c:extLst>
            <c:ext xmlns:c16="http://schemas.microsoft.com/office/drawing/2014/chart" uri="{C3380CC4-5D6E-409C-BE32-E72D297353CC}">
              <c16:uniqueId val="{00000000-B9DE-4B10-AA08-B5CB15436471}"/>
            </c:ext>
          </c:extLst>
        </c:ser>
        <c:ser>
          <c:idx val="1"/>
          <c:order val="1"/>
          <c:tx>
            <c:strRef>
              <c:f>'DIN 4720 4722'!$A$18</c:f>
              <c:strCache>
                <c:ptCount val="1"/>
                <c:pt idx="0">
                  <c:v>Zehnder</c:v>
                </c:pt>
              </c:strCache>
            </c:strRef>
          </c:tx>
          <c:spPr>
            <a:ln w="25400" cap="rnd">
              <a:noFill/>
              <a:round/>
            </a:ln>
            <a:effectLst/>
          </c:spPr>
          <c:marker>
            <c:symbol val="circle"/>
            <c:size val="5"/>
            <c:spPr>
              <a:solidFill>
                <a:schemeClr val="accent2"/>
              </a:solidFill>
              <a:ln w="9525">
                <a:solidFill>
                  <a:schemeClr val="accent2"/>
                </a:solidFill>
              </a:ln>
              <a:effectLst/>
            </c:spPr>
          </c:marker>
          <c:xVal>
            <c:numRef>
              <c:f>'DIN 4720 4722'!$G$17:$J$17</c:f>
              <c:numCache>
                <c:formatCode>General</c:formatCode>
                <c:ptCount val="4"/>
                <c:pt idx="0">
                  <c:v>100</c:v>
                </c:pt>
                <c:pt idx="1">
                  <c:v>136</c:v>
                </c:pt>
                <c:pt idx="2">
                  <c:v>173</c:v>
                </c:pt>
                <c:pt idx="3">
                  <c:v>210</c:v>
                </c:pt>
              </c:numCache>
            </c:numRef>
          </c:xVal>
          <c:yVal>
            <c:numRef>
              <c:f>'DIN 4720 4722'!$G$18:$J$18</c:f>
              <c:numCache>
                <c:formatCode>General</c:formatCode>
                <c:ptCount val="4"/>
                <c:pt idx="0">
                  <c:v>0.11</c:v>
                </c:pt>
                <c:pt idx="1">
                  <c:v>0.15</c:v>
                </c:pt>
                <c:pt idx="2">
                  <c:v>0.19</c:v>
                </c:pt>
                <c:pt idx="3">
                  <c:v>0.23</c:v>
                </c:pt>
              </c:numCache>
            </c:numRef>
          </c:yVal>
          <c:smooth val="0"/>
          <c:extLst>
            <c:ext xmlns:c16="http://schemas.microsoft.com/office/drawing/2014/chart" uri="{C3380CC4-5D6E-409C-BE32-E72D297353CC}">
              <c16:uniqueId val="{00000003-B9DE-4B10-AA08-B5CB15436471}"/>
            </c:ext>
          </c:extLst>
        </c:ser>
        <c:ser>
          <c:idx val="2"/>
          <c:order val="2"/>
          <c:tx>
            <c:strRef>
              <c:f>'DIN 4720 4722'!$A$3</c:f>
              <c:strCache>
                <c:ptCount val="1"/>
                <c:pt idx="0">
                  <c:v>DIN 4722</c:v>
                </c:pt>
              </c:strCache>
            </c:strRef>
          </c:tx>
          <c:spPr>
            <a:ln w="25400" cap="rnd">
              <a:noFill/>
              <a:round/>
            </a:ln>
            <a:effectLst/>
          </c:spPr>
          <c:marker>
            <c:symbol val="circle"/>
            <c:size val="5"/>
            <c:spPr>
              <a:solidFill>
                <a:schemeClr val="accent3"/>
              </a:solidFill>
              <a:ln w="9525">
                <a:solidFill>
                  <a:schemeClr val="accent3"/>
                </a:solidFill>
              </a:ln>
              <a:effectLst/>
            </c:spPr>
          </c:marker>
          <c:xVal>
            <c:numRef>
              <c:f>'DIN 4720 4722'!$G$7:$I$7</c:f>
              <c:numCache>
                <c:formatCode>General</c:formatCode>
                <c:ptCount val="3"/>
                <c:pt idx="0">
                  <c:v>110</c:v>
                </c:pt>
                <c:pt idx="1">
                  <c:v>160</c:v>
                </c:pt>
                <c:pt idx="2">
                  <c:v>220</c:v>
                </c:pt>
              </c:numCache>
            </c:numRef>
          </c:xVal>
          <c:yVal>
            <c:numRef>
              <c:f>'DIN 4720 4722'!$G$10:$I$10</c:f>
              <c:numCache>
                <c:formatCode>General</c:formatCode>
                <c:ptCount val="3"/>
                <c:pt idx="0">
                  <c:v>0.14000000000000001</c:v>
                </c:pt>
                <c:pt idx="1">
                  <c:v>0.20499999999999999</c:v>
                </c:pt>
                <c:pt idx="2">
                  <c:v>0.28499999999999998</c:v>
                </c:pt>
              </c:numCache>
            </c:numRef>
          </c:yVal>
          <c:smooth val="0"/>
          <c:extLst>
            <c:ext xmlns:c16="http://schemas.microsoft.com/office/drawing/2014/chart" uri="{C3380CC4-5D6E-409C-BE32-E72D297353CC}">
              <c16:uniqueId val="{00000005-B9DE-4B10-AA08-B5CB15436471}"/>
            </c:ext>
          </c:extLst>
        </c:ser>
        <c:dLbls>
          <c:showLegendKey val="0"/>
          <c:showVal val="0"/>
          <c:showCatName val="0"/>
          <c:showSerName val="0"/>
          <c:showPercent val="0"/>
          <c:showBubbleSize val="0"/>
        </c:dLbls>
        <c:axId val="2064286016"/>
        <c:axId val="2064285536"/>
      </c:scatterChart>
      <c:valAx>
        <c:axId val="2064286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Bautiefe (mm)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5536"/>
        <c:crosses val="autoZero"/>
        <c:crossBetween val="midCat"/>
      </c:valAx>
      <c:valAx>
        <c:axId val="206428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Heizfläche (m</a:t>
                </a:r>
                <a:r>
                  <a:rPr lang="de-CH" baseline="30000"/>
                  <a:t>2</a:t>
                </a:r>
                <a:r>
                  <a:rPr lang="de-CH"/>
                  <a:t>)</a:t>
                </a:r>
              </a:p>
            </c:rich>
          </c:tx>
          <c:layout>
            <c:manualLayout>
              <c:xMode val="edge"/>
              <c:yMode val="edge"/>
              <c:x val="2.7777777777777779E-3"/>
              <c:y val="0.361311606882473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6016"/>
        <c:crosses val="autoZero"/>
        <c:crossBetween val="midCat"/>
      </c:valAx>
      <c:spPr>
        <a:noFill/>
        <a:ln>
          <a:noFill/>
        </a:ln>
        <a:effectLst/>
      </c:spPr>
    </c:plotArea>
    <c:legend>
      <c:legendPos val="b"/>
      <c:layout>
        <c:manualLayout>
          <c:xMode val="edge"/>
          <c:yMode val="edge"/>
          <c:x val="0.29906109464440117"/>
          <c:y val="0.93074093631620147"/>
          <c:w val="0.40201794532294688"/>
          <c:h val="6.92589989849301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a:t>
            </a:r>
            <a:r>
              <a:rPr lang="de-CH" baseline="0"/>
              <a:t> EN 442 (</a:t>
            </a:r>
            <a:r>
              <a:rPr lang="de-CH" baseline="0">
                <a:latin typeface="Franklin Gothic Book" panose="020B0503020102020204" pitchFamily="34" charset="0"/>
              </a:rPr>
              <a:t>∆T 50 °C)</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357062328242678"/>
          <c:y val="0.15222522623257245"/>
          <c:w val="0.81682094673522321"/>
          <c:h val="0.62943715417165691"/>
        </c:manualLayout>
      </c:layout>
      <c:scatterChart>
        <c:scatterStyle val="lineMarker"/>
        <c:varyColors val="0"/>
        <c:ser>
          <c:idx val="0"/>
          <c:order val="0"/>
          <c:tx>
            <c:strRef>
              <c:f>'DIN 4720 4722'!$A$16</c:f>
              <c:strCache>
                <c:ptCount val="1"/>
                <c:pt idx="0">
                  <c:v>Arbonia</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6959562705975911"/>
                  <c:y val="-9.872550846621536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'DIN 4720 4722'!$G$16:$J$16</c:f>
              <c:numCache>
                <c:formatCode>General</c:formatCode>
                <c:ptCount val="4"/>
                <c:pt idx="0">
                  <c:v>0.12</c:v>
                </c:pt>
                <c:pt idx="1">
                  <c:v>0.17</c:v>
                </c:pt>
                <c:pt idx="2">
                  <c:v>0.21</c:v>
                </c:pt>
                <c:pt idx="3">
                  <c:v>0.25</c:v>
                </c:pt>
              </c:numCache>
            </c:numRef>
          </c:xVal>
          <c:yVal>
            <c:numRef>
              <c:f>'DIN 4720 4722'!$S$16:$V$16</c:f>
              <c:numCache>
                <c:formatCode>General</c:formatCode>
                <c:ptCount val="4"/>
                <c:pt idx="0">
                  <c:v>53</c:v>
                </c:pt>
                <c:pt idx="1">
                  <c:v>69</c:v>
                </c:pt>
                <c:pt idx="2">
                  <c:v>85</c:v>
                </c:pt>
                <c:pt idx="3">
                  <c:v>99</c:v>
                </c:pt>
              </c:numCache>
            </c:numRef>
          </c:yVal>
          <c:smooth val="0"/>
          <c:extLst>
            <c:ext xmlns:c16="http://schemas.microsoft.com/office/drawing/2014/chart" uri="{C3380CC4-5D6E-409C-BE32-E72D297353CC}">
              <c16:uniqueId val="{00000000-4C87-4409-91E3-C6E9E6690A7A}"/>
            </c:ext>
          </c:extLst>
        </c:ser>
        <c:ser>
          <c:idx val="1"/>
          <c:order val="1"/>
          <c:tx>
            <c:strRef>
              <c:f>'DIN 4720 4722'!$A$18</c:f>
              <c:strCache>
                <c:ptCount val="1"/>
                <c:pt idx="0">
                  <c:v>Zehnder</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'DIN 4720 4722'!$G$18:$J$18</c:f>
              <c:numCache>
                <c:formatCode>General</c:formatCode>
                <c:ptCount val="4"/>
                <c:pt idx="0">
                  <c:v>0.11</c:v>
                </c:pt>
                <c:pt idx="1">
                  <c:v>0.15</c:v>
                </c:pt>
                <c:pt idx="2">
                  <c:v>0.19</c:v>
                </c:pt>
                <c:pt idx="3">
                  <c:v>0.23</c:v>
                </c:pt>
              </c:numCache>
            </c:numRef>
          </c:xVal>
          <c:yVal>
            <c:numRef>
              <c:f>'DIN 4720 4722'!$S$18:$V$18</c:f>
              <c:numCache>
                <c:formatCode>General</c:formatCode>
                <c:ptCount val="4"/>
                <c:pt idx="0">
                  <c:v>51.6</c:v>
                </c:pt>
                <c:pt idx="1">
                  <c:v>67.599999999999994</c:v>
                </c:pt>
                <c:pt idx="2">
                  <c:v>83.5</c:v>
                </c:pt>
                <c:pt idx="3">
                  <c:v>99</c:v>
                </c:pt>
              </c:numCache>
            </c:numRef>
          </c:yVal>
          <c:smooth val="0"/>
          <c:extLst>
            <c:ext xmlns:c16="http://schemas.microsoft.com/office/drawing/2014/chart" uri="{C3380CC4-5D6E-409C-BE32-E72D297353CC}">
              <c16:uniqueId val="{00000001-4C87-4409-91E3-C6E9E6690A7A}"/>
            </c:ext>
          </c:extLst>
        </c:ser>
        <c:ser>
          <c:idx val="2"/>
          <c:order val="2"/>
          <c:tx>
            <c:strRef>
              <c:f>'DIN 4720 4722'!$A$3</c:f>
              <c:strCache>
                <c:ptCount val="1"/>
                <c:pt idx="0">
                  <c:v>DIN 4722</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0"/>
          </c:trendline>
          <c:trendline>
            <c:spPr>
              <a:ln w="19050" cap="rnd">
                <a:solidFill>
                  <a:schemeClr val="accent3"/>
                </a:solidFill>
                <a:prstDash val="sysDot"/>
              </a:ln>
              <a:effectLst/>
            </c:spPr>
            <c:trendlineType val="linear"/>
            <c:dispRSqr val="0"/>
            <c:dispEq val="1"/>
            <c:trendlineLbl>
              <c:layout>
                <c:manualLayout>
                  <c:x val="1.3072670284925264E-2"/>
                  <c:y val="0.217922207085690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'DIN 4720 4722'!$G$10:$I$10</c:f>
              <c:numCache>
                <c:formatCode>General</c:formatCode>
                <c:ptCount val="3"/>
                <c:pt idx="0">
                  <c:v>0.14000000000000001</c:v>
                </c:pt>
                <c:pt idx="1">
                  <c:v>0.20499999999999999</c:v>
                </c:pt>
                <c:pt idx="2">
                  <c:v>0.28499999999999998</c:v>
                </c:pt>
              </c:numCache>
            </c:numRef>
          </c:xVal>
          <c:yVal>
            <c:numRef>
              <c:f>'DIN 4720 4722'!$S$10:$U$10</c:f>
              <c:numCache>
                <c:formatCode>0.0</c:formatCode>
                <c:ptCount val="3"/>
                <c:pt idx="0">
                  <c:v>58.048196176326798</c:v>
                </c:pt>
                <c:pt idx="1">
                  <c:v>78.722896184333607</c:v>
                </c:pt>
                <c:pt idx="2">
                  <c:v>101.78313850095658</c:v>
                </c:pt>
              </c:numCache>
            </c:numRef>
          </c:yVal>
          <c:smooth val="0"/>
          <c:extLst>
            <c:ext xmlns:c16="http://schemas.microsoft.com/office/drawing/2014/chart" uri="{C3380CC4-5D6E-409C-BE32-E72D297353CC}">
              <c16:uniqueId val="{00000002-4C87-4409-91E3-C6E9E6690A7A}"/>
            </c:ext>
          </c:extLst>
        </c:ser>
        <c:dLbls>
          <c:showLegendKey val="0"/>
          <c:showVal val="0"/>
          <c:showCatName val="0"/>
          <c:showSerName val="0"/>
          <c:showPercent val="0"/>
          <c:showBubbleSize val="0"/>
        </c:dLbls>
        <c:axId val="2064286016"/>
        <c:axId val="2064285536"/>
      </c:scatterChart>
      <c:valAx>
        <c:axId val="2064286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Heizfläche (m</a:t>
                </a:r>
                <a:r>
                  <a:rPr lang="de-CH" baseline="30000"/>
                  <a:t>2</a:t>
                </a:r>
                <a:r>
                  <a:rPr lang="de-CH"/>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5536"/>
        <c:crosses val="autoZero"/>
        <c:crossBetween val="midCat"/>
      </c:valAx>
      <c:valAx>
        <c:axId val="206428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Heizleistung (W)</a:t>
                </a:r>
              </a:p>
            </c:rich>
          </c:tx>
          <c:layout>
            <c:manualLayout>
              <c:xMode val="edge"/>
              <c:yMode val="edge"/>
              <c:x val="2.7777777777777779E-3"/>
              <c:y val="0.361311606882473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6016"/>
        <c:crosses val="autoZero"/>
        <c:crossBetween val="midCat"/>
      </c:valAx>
      <c:spPr>
        <a:noFill/>
        <a:ln>
          <a:noFill/>
        </a:ln>
        <a:effectLst/>
      </c:spPr>
    </c:plotArea>
    <c:legend>
      <c:legendPos val="b"/>
      <c:layout>
        <c:manualLayout>
          <c:xMode val="edge"/>
          <c:yMode val="edge"/>
          <c:x val="1.5831886832509759E-2"/>
          <c:y val="0.93074093631620147"/>
          <c:w val="0.9572291989756172"/>
          <c:h val="6.92590636837985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 </a:t>
            </a:r>
            <a:r>
              <a:rPr lang="de-CH" baseline="0"/>
              <a:t> 2-Säule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0"/>
          <c:order val="0"/>
          <c:tx>
            <c:strRef>
              <c:f>'Arbonia Tabelle'!$Y$3</c:f>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f>'Arbonia Tabelle'!$D$3:$X$3</c:f>
              <c:numCache>
                <c:formatCode>General</c:formatCode>
                <c:ptCount val="21"/>
                <c:pt idx="0">
                  <c:v>15</c:v>
                </c:pt>
                <c:pt idx="1">
                  <c:v>20</c:v>
                </c:pt>
                <c:pt idx="2">
                  <c:v>24</c:v>
                </c:pt>
                <c:pt idx="3">
                  <c:v>28</c:v>
                </c:pt>
                <c:pt idx="4">
                  <c:v>31</c:v>
                </c:pt>
                <c:pt idx="5">
                  <c:v>35</c:v>
                </c:pt>
                <c:pt idx="6">
                  <c:v>39</c:v>
                </c:pt>
                <c:pt idx="7">
                  <c:v>42</c:v>
                </c:pt>
                <c:pt idx="8">
                  <c:v>46</c:v>
                </c:pt>
                <c:pt idx="9">
                  <c:v>57</c:v>
                </c:pt>
                <c:pt idx="10">
                  <c:v>67</c:v>
                </c:pt>
                <c:pt idx="11">
                  <c:v>74</c:v>
                </c:pt>
                <c:pt idx="12">
                  <c:v>81</c:v>
                </c:pt>
                <c:pt idx="13">
                  <c:v>88</c:v>
                </c:pt>
                <c:pt idx="14">
                  <c:v>109</c:v>
                </c:pt>
                <c:pt idx="15">
                  <c:v>130</c:v>
                </c:pt>
                <c:pt idx="16">
                  <c:v>144</c:v>
                </c:pt>
                <c:pt idx="17">
                  <c:v>158</c:v>
                </c:pt>
                <c:pt idx="18">
                  <c:v>179</c:v>
                </c:pt>
                <c:pt idx="19">
                  <c:v>200</c:v>
                </c:pt>
                <c:pt idx="20">
                  <c:v>214</c:v>
                </c:pt>
              </c:numCache>
            </c:numRef>
          </c:yVal>
          <c:smooth val="0"/>
          <c:extLst>
            <c:ext xmlns:c16="http://schemas.microsoft.com/office/drawing/2014/chart" uri="{C3380CC4-5D6E-409C-BE32-E72D297353CC}">
              <c16:uniqueId val="{00000000-9D4B-4E5C-A17F-31F9D28D72B2}"/>
            </c:ext>
          </c:extLst>
        </c:ser>
        <c:ser>
          <c:idx val="5"/>
          <c:order val="5"/>
          <c:tx>
            <c:strRef>
              <c:f>'Zehnder Charl. Tabelle'!$W$4</c:f>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f>'Zehnder Charl. Tabelle'!$C$2:$V$2</c:f>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f>'Zehnder Charl. Tabelle'!$C$4:$V$4</c:f>
              <c:numCache>
                <c:formatCode>General</c:formatCode>
                <c:ptCount val="20"/>
                <c:pt idx="0">
                  <c:v>21.1</c:v>
                </c:pt>
                <c:pt idx="1">
                  <c:v>23.6</c:v>
                </c:pt>
                <c:pt idx="2">
                  <c:v>27.5</c:v>
                </c:pt>
                <c:pt idx="3">
                  <c:v>31.2</c:v>
                </c:pt>
                <c:pt idx="4">
                  <c:v>34.9</c:v>
                </c:pt>
                <c:pt idx="5">
                  <c:v>38.4</c:v>
                </c:pt>
                <c:pt idx="6">
                  <c:v>41.9</c:v>
                </c:pt>
                <c:pt idx="7">
                  <c:v>45.3</c:v>
                </c:pt>
                <c:pt idx="8">
                  <c:v>55</c:v>
                </c:pt>
                <c:pt idx="9">
                  <c:v>63.9</c:v>
                </c:pt>
                <c:pt idx="10">
                  <c:v>69.5</c:v>
                </c:pt>
                <c:pt idx="11">
                  <c:v>74.7</c:v>
                </c:pt>
                <c:pt idx="12">
                  <c:v>82.7</c:v>
                </c:pt>
                <c:pt idx="13">
                  <c:v>104</c:v>
                </c:pt>
                <c:pt idx="14">
                  <c:v>124</c:v>
                </c:pt>
                <c:pt idx="15">
                  <c:v>138</c:v>
                </c:pt>
                <c:pt idx="16">
                  <c:v>151</c:v>
                </c:pt>
                <c:pt idx="17">
                  <c:v>171</c:v>
                </c:pt>
                <c:pt idx="18">
                  <c:v>189</c:v>
                </c:pt>
                <c:pt idx="19">
                  <c:v>201</c:v>
                </c:pt>
              </c:numCache>
            </c:numRef>
          </c:yVal>
          <c:smooth val="0"/>
          <c:extLst>
            <c:ext xmlns:c16="http://schemas.microsoft.com/office/drawing/2014/chart" uri="{C3380CC4-5D6E-409C-BE32-E72D297353CC}">
              <c16:uniqueId val="{00000003-9D4B-4E5C-A17F-31F9D28D72B2}"/>
            </c:ext>
          </c:extLst>
        </c:ser>
        <c:ser>
          <c:idx val="3"/>
          <c:order val="10"/>
          <c:tx>
            <c:strRef>
              <c:f>'IRSAP Tabelle'!$AD$3</c:f>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f>'IRSAP Tabelle'!$C$3:$AC$3</c:f>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c:ext xmlns:c16="http://schemas.microsoft.com/office/drawing/2014/chart" uri="{C3380CC4-5D6E-409C-BE32-E72D297353CC}">
              <c16:uniqueId val="{00000001-C1FC-47EC-864F-276CC0DF25A8}"/>
            </c:ext>
          </c:extLst>
        </c:ser>
        <c:ser>
          <c:idx val="15"/>
          <c:order val="15"/>
          <c:tx>
            <c:strRef>
              <c:f>'Cordivari Tabelle'!$AC$3</c:f>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f>'Cordivari Tabelle'!$C$3:$AB$3</c:f>
              <c:numCache>
                <c:formatCode>General</c:formatCode>
                <c:ptCount val="26"/>
                <c:pt idx="0">
                  <c:v>17.5</c:v>
                </c:pt>
                <c:pt idx="1">
                  <c:v>25.6</c:v>
                </c:pt>
                <c:pt idx="2">
                  <c:v>33</c:v>
                </c:pt>
                <c:pt idx="3">
                  <c:v>40.1</c:v>
                </c:pt>
                <c:pt idx="4">
                  <c:v>44</c:v>
                </c:pt>
                <c:pt idx="5">
                  <c:v>46.1</c:v>
                </c:pt>
                <c:pt idx="6">
                  <c:v>47.1</c:v>
                </c:pt>
                <c:pt idx="7">
                  <c:v>48.9</c:v>
                </c:pt>
                <c:pt idx="8">
                  <c:v>51</c:v>
                </c:pt>
                <c:pt idx="9">
                  <c:v>52.4</c:v>
                </c:pt>
                <c:pt idx="10">
                  <c:v>57.6</c:v>
                </c:pt>
                <c:pt idx="11">
                  <c:v>58</c:v>
                </c:pt>
                <c:pt idx="12">
                  <c:v>60.1</c:v>
                </c:pt>
                <c:pt idx="13">
                  <c:v>65.099999999999994</c:v>
                </c:pt>
                <c:pt idx="14">
                  <c:v>66.5</c:v>
                </c:pt>
                <c:pt idx="15">
                  <c:v>70</c:v>
                </c:pt>
                <c:pt idx="16">
                  <c:v>75.2</c:v>
                </c:pt>
                <c:pt idx="17">
                  <c:v>89.5</c:v>
                </c:pt>
                <c:pt idx="18">
                  <c:v>111.4</c:v>
                </c:pt>
                <c:pt idx="19">
                  <c:v>123.1</c:v>
                </c:pt>
                <c:pt idx="20">
                  <c:v>134.1</c:v>
                </c:pt>
                <c:pt idx="21">
                  <c:v>138.4</c:v>
                </c:pt>
                <c:pt idx="22">
                  <c:v>149.80000000000001</c:v>
                </c:pt>
                <c:pt idx="23">
                  <c:v>154.19999999999999</c:v>
                </c:pt>
                <c:pt idx="24">
                  <c:v>165.9</c:v>
                </c:pt>
                <c:pt idx="25">
                  <c:v>190.9</c:v>
                </c:pt>
              </c:numCache>
            </c:numRef>
          </c:yVal>
          <c:smooth val="0"/>
          <c:extLst>
            <c:ext xmlns:c16="http://schemas.microsoft.com/office/drawing/2014/chart" uri="{C3380CC4-5D6E-409C-BE32-E72D297353CC}">
              <c16:uniqueId val="{00000007-C256-4821-9F6F-FB8F215590D3}"/>
            </c:ext>
          </c:extLst>
        </c:ser>
        <c:ser>
          <c:idx val="20"/>
          <c:order val="20"/>
          <c:tx>
            <c:strRef>
              <c:f>'FIR Iron'!$AD$3</c:f>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f>'FIR Iron'!$C$3:$AC$3</c:f>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c:ext xmlns:c16="http://schemas.microsoft.com/office/drawing/2014/chart" uri="{C3380CC4-5D6E-409C-BE32-E72D297353CC}">
              <c16:uniqueId val="{0000000C-C256-4821-9F6F-FB8F215590D3}"/>
            </c:ext>
          </c:extLst>
        </c:ser>
        <c:ser>
          <c:idx val="25"/>
          <c:order val="25"/>
          <c:tx>
            <c:strRef>
              <c:f>'Leistung alle'!$A$49:$A$49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'Leistung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'Leistung alle'!$B$48:$U$48</c:f>
              <c:numCache>
                <c:formatCode>0.0</c:formatCode>
                <c:ptCount val="20"/>
                <c:pt idx="0">
                  <c:v>20.55</c:v>
                </c:pt>
                <c:pt idx="1">
                  <c:v>24.367999999999999</c:v>
                </c:pt>
                <c:pt idx="2">
                  <c:v>27.814999999999998</c:v>
                </c:pt>
                <c:pt idx="3">
                  <c:v>31.586000000000002</c:v>
                </c:pt>
                <c:pt idx="4">
                  <c:v>34.89</c:v>
                </c:pt>
                <c:pt idx="5">
                  <c:v>38.814000000000007</c:v>
                </c:pt>
                <c:pt idx="6">
                  <c:v>42.252000000000002</c:v>
                </c:pt>
                <c:pt idx="7">
                  <c:v>45.724000000000004</c:v>
                </c:pt>
                <c:pt idx="8">
                  <c:v>56.029999999999994</c:v>
                </c:pt>
                <c:pt idx="9">
                  <c:v>65.455000000000013</c:v>
                </c:pt>
                <c:pt idx="10">
                  <c:v>72.631999999999991</c:v>
                </c:pt>
                <c:pt idx="11">
                  <c:v>79.633333333333326</c:v>
                </c:pt>
                <c:pt idx="12">
                  <c:v>86.41</c:v>
                </c:pt>
                <c:pt idx="13">
                  <c:v>107.60799999999999</c:v>
                </c:pt>
                <c:pt idx="14">
                  <c:v>128.92599999999999</c:v>
                </c:pt>
                <c:pt idx="15">
                  <c:v>143.52600000000001</c:v>
                </c:pt>
                <c:pt idx="16">
                  <c:v>158.14600000000002</c:v>
                </c:pt>
                <c:pt idx="17">
                  <c:v>180.58599999999998</c:v>
                </c:pt>
                <c:pt idx="18">
                  <c:v>198.85333333333332</c:v>
                </c:pt>
                <c:pt idx="19">
                  <c:v>212.70000000000002</c:v>
                </c:pt>
              </c:numCache>
            </c:numRef>
          </c:yVal>
          <c:smooth val="0"/>
          <c:extLst>
            <c:ext xmlns:c16="http://schemas.microsoft.com/office/drawing/2014/chart" uri="{C3380CC4-5D6E-409C-BE32-E72D297353CC}">
              <c16:uniqueId val="{00000016-C256-4821-9F6F-FB8F215590D3}"/>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1"/>
                <c:order val="1"/>
                <c:tx>
                  <c:strRef>
                    <c:extLst>
                      <c:ex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Tabelle'!$D$4:$X$4</c15:sqref>
                        </c15:formulaRef>
                      </c:ext>
                    </c:extLst>
                    <c:numCache>
                      <c:formatCode>General</c:formatCode>
                      <c:ptCount val="21"/>
                      <c:pt idx="0">
                        <c:v>20</c:v>
                      </c:pt>
                      <c:pt idx="1">
                        <c:v>28</c:v>
                      </c:pt>
                      <c:pt idx="2">
                        <c:v>33</c:v>
                      </c:pt>
                      <c:pt idx="3">
                        <c:v>38</c:v>
                      </c:pt>
                      <c:pt idx="4">
                        <c:v>43</c:v>
                      </c:pt>
                      <c:pt idx="5">
                        <c:v>48</c:v>
                      </c:pt>
                      <c:pt idx="6">
                        <c:v>53</c:v>
                      </c:pt>
                      <c:pt idx="7">
                        <c:v>58</c:v>
                      </c:pt>
                      <c:pt idx="8">
                        <c:v>63</c:v>
                      </c:pt>
                      <c:pt idx="9">
                        <c:v>78</c:v>
                      </c:pt>
                      <c:pt idx="10">
                        <c:v>92</c:v>
                      </c:pt>
                      <c:pt idx="11">
                        <c:v>102</c:v>
                      </c:pt>
                      <c:pt idx="12">
                        <c:v>111</c:v>
                      </c:pt>
                      <c:pt idx="13">
                        <c:v>120</c:v>
                      </c:pt>
                      <c:pt idx="14">
                        <c:v>147</c:v>
                      </c:pt>
                      <c:pt idx="15">
                        <c:v>173</c:v>
                      </c:pt>
                      <c:pt idx="16">
                        <c:v>190</c:v>
                      </c:pt>
                      <c:pt idx="17">
                        <c:v>207</c:v>
                      </c:pt>
                      <c:pt idx="18">
                        <c:v>231</c:v>
                      </c:pt>
                      <c:pt idx="19">
                        <c:v>255</c:v>
                      </c:pt>
                      <c:pt idx="20">
                        <c:v>270</c:v>
                      </c:pt>
                    </c:numCache>
                  </c:numRef>
                </c:yVal>
                <c:smooth val="0"/>
                <c:extLst>
                  <c:ext xmlns:c16="http://schemas.microsoft.com/office/drawing/2014/chart" uri="{C3380CC4-5D6E-409C-BE32-E72D297353CC}">
                    <c16:uniqueId val="{00000001-9D4B-4E5C-A17F-31F9D28D72B2}"/>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Tabelle'!$D$5:$X$5</c15:sqref>
                        </c15:formulaRef>
                      </c:ext>
                    </c:extLst>
                    <c:numCache>
                      <c:formatCode>General</c:formatCode>
                      <c:ptCount val="21"/>
                      <c:pt idx="0">
                        <c:v>27</c:v>
                      </c:pt>
                      <c:pt idx="1">
                        <c:v>36</c:v>
                      </c:pt>
                      <c:pt idx="2">
                        <c:v>43</c:v>
                      </c:pt>
                      <c:pt idx="3">
                        <c:v>49</c:v>
                      </c:pt>
                      <c:pt idx="4">
                        <c:v>56</c:v>
                      </c:pt>
                      <c:pt idx="5">
                        <c:v>62</c:v>
                      </c:pt>
                      <c:pt idx="6">
                        <c:v>69</c:v>
                      </c:pt>
                      <c:pt idx="7">
                        <c:v>75</c:v>
                      </c:pt>
                      <c:pt idx="8">
                        <c:v>81</c:v>
                      </c:pt>
                      <c:pt idx="9">
                        <c:v>100</c:v>
                      </c:pt>
                      <c:pt idx="10">
                        <c:v>117</c:v>
                      </c:pt>
                      <c:pt idx="11">
                        <c:v>129</c:v>
                      </c:pt>
                      <c:pt idx="12">
                        <c:v>141</c:v>
                      </c:pt>
                      <c:pt idx="13">
                        <c:v>152</c:v>
                      </c:pt>
                      <c:pt idx="14">
                        <c:v>186</c:v>
                      </c:pt>
                      <c:pt idx="15">
                        <c:v>219</c:v>
                      </c:pt>
                      <c:pt idx="16">
                        <c:v>241</c:v>
                      </c:pt>
                      <c:pt idx="17">
                        <c:v>262</c:v>
                      </c:pt>
                      <c:pt idx="18">
                        <c:v>293</c:v>
                      </c:pt>
                      <c:pt idx="19">
                        <c:v>323</c:v>
                      </c:pt>
                      <c:pt idx="20">
                        <c:v>343</c:v>
                      </c:pt>
                    </c:numCache>
                  </c:numRef>
                </c:yVal>
                <c:smooth val="0"/>
                <c:extLst xmlns:c15="http://schemas.microsoft.com/office/drawing/2012/chart">
                  <c:ext xmlns:c16="http://schemas.microsoft.com/office/drawing/2014/chart" uri="{C3380CC4-5D6E-409C-BE32-E72D297353CC}">
                    <c16:uniqueId val="{00000002-9D4B-4E5C-A17F-31F9D28D72B2}"/>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Tabelle'!$D$6:$X$6</c15:sqref>
                        </c15:formulaRef>
                      </c:ext>
                    </c:extLst>
                    <c:numCache>
                      <c:formatCode>General</c:formatCode>
                      <c:ptCount val="21"/>
                      <c:pt idx="0">
                        <c:v>0</c:v>
                      </c:pt>
                      <c:pt idx="1">
                        <c:v>45</c:v>
                      </c:pt>
                      <c:pt idx="2">
                        <c:v>53</c:v>
                      </c:pt>
                      <c:pt idx="3">
                        <c:v>61</c:v>
                      </c:pt>
                      <c:pt idx="4">
                        <c:v>69</c:v>
                      </c:pt>
                      <c:pt idx="5">
                        <c:v>77</c:v>
                      </c:pt>
                      <c:pt idx="6">
                        <c:v>85</c:v>
                      </c:pt>
                      <c:pt idx="7">
                        <c:v>93</c:v>
                      </c:pt>
                      <c:pt idx="8">
                        <c:v>100</c:v>
                      </c:pt>
                      <c:pt idx="9">
                        <c:v>123</c:v>
                      </c:pt>
                      <c:pt idx="10">
                        <c:v>144</c:v>
                      </c:pt>
                      <c:pt idx="11">
                        <c:v>158</c:v>
                      </c:pt>
                      <c:pt idx="12">
                        <c:v>172</c:v>
                      </c:pt>
                      <c:pt idx="13">
                        <c:v>186</c:v>
                      </c:pt>
                      <c:pt idx="14">
                        <c:v>225</c:v>
                      </c:pt>
                      <c:pt idx="15">
                        <c:v>263</c:v>
                      </c:pt>
                      <c:pt idx="16">
                        <c:v>287</c:v>
                      </c:pt>
                      <c:pt idx="17">
                        <c:v>310</c:v>
                      </c:pt>
                      <c:pt idx="18">
                        <c:v>343</c:v>
                      </c:pt>
                      <c:pt idx="19">
                        <c:v>374</c:v>
                      </c:pt>
                      <c:pt idx="20">
                        <c:v>394</c:v>
                      </c:pt>
                    </c:numCache>
                  </c:numRef>
                </c:yVal>
                <c:smooth val="0"/>
                <c:extLst xmlns:c15="http://schemas.microsoft.com/office/drawing/2012/chart">
                  <c:ext xmlns:c16="http://schemas.microsoft.com/office/drawing/2014/chart" uri="{C3380CC4-5D6E-409C-BE32-E72D297353CC}">
                    <c16:uniqueId val="{00000001-C256-4821-9F6F-FB8F215590D3}"/>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Tabelle'!$D$7:$X$7</c15:sqref>
                        </c15:formulaRef>
                      </c:ext>
                    </c:extLst>
                    <c:numCache>
                      <c:formatCode>General</c:formatCode>
                      <c:ptCount val="21"/>
                      <c:pt idx="0">
                        <c:v>0</c:v>
                      </c:pt>
                      <c:pt idx="1">
                        <c:v>53</c:v>
                      </c:pt>
                      <c:pt idx="2">
                        <c:v>62</c:v>
                      </c:pt>
                      <c:pt idx="3">
                        <c:v>72</c:v>
                      </c:pt>
                      <c:pt idx="4">
                        <c:v>81</c:v>
                      </c:pt>
                      <c:pt idx="5">
                        <c:v>90</c:v>
                      </c:pt>
                      <c:pt idx="6">
                        <c:v>99</c:v>
                      </c:pt>
                      <c:pt idx="7">
                        <c:v>108</c:v>
                      </c:pt>
                      <c:pt idx="8">
                        <c:v>117</c:v>
                      </c:pt>
                      <c:pt idx="9">
                        <c:v>143</c:v>
                      </c:pt>
                      <c:pt idx="10">
                        <c:v>168</c:v>
                      </c:pt>
                      <c:pt idx="11">
                        <c:v>185</c:v>
                      </c:pt>
                      <c:pt idx="12">
                        <c:v>201</c:v>
                      </c:pt>
                      <c:pt idx="13">
                        <c:v>217</c:v>
                      </c:pt>
                      <c:pt idx="14">
                        <c:v>264</c:v>
                      </c:pt>
                      <c:pt idx="15">
                        <c:v>309</c:v>
                      </c:pt>
                      <c:pt idx="16">
                        <c:v>339</c:v>
                      </c:pt>
                      <c:pt idx="17">
                        <c:v>367</c:v>
                      </c:pt>
                      <c:pt idx="18">
                        <c:v>408</c:v>
                      </c:pt>
                      <c:pt idx="19">
                        <c:v>448</c:v>
                      </c:pt>
                      <c:pt idx="20">
                        <c:v>474</c:v>
                      </c:pt>
                    </c:numCache>
                  </c:numRef>
                </c:yVal>
                <c:smooth val="0"/>
                <c:extLst xmlns:c15="http://schemas.microsoft.com/office/drawing/2012/chart">
                  <c:ext xmlns:c16="http://schemas.microsoft.com/office/drawing/2014/chart" uri="{C3380CC4-5D6E-409C-BE32-E72D297353CC}">
                    <c16:uniqueId val="{00000002-C256-4821-9F6F-FB8F215590D3}"/>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Tabelle'!$C$5:$V$5</c15:sqref>
                        </c15:formulaRef>
                      </c:ext>
                    </c:extLst>
                    <c:numCache>
                      <c:formatCode>General</c:formatCode>
                      <c:ptCount val="20"/>
                      <c:pt idx="0">
                        <c:v>27.9</c:v>
                      </c:pt>
                      <c:pt idx="1">
                        <c:v>32</c:v>
                      </c:pt>
                      <c:pt idx="2">
                        <c:v>37</c:v>
                      </c:pt>
                      <c:pt idx="3">
                        <c:v>41.9</c:v>
                      </c:pt>
                      <c:pt idx="4">
                        <c:v>46.8</c:v>
                      </c:pt>
                      <c:pt idx="5">
                        <c:v>51.6</c:v>
                      </c:pt>
                      <c:pt idx="6">
                        <c:v>56.3</c:v>
                      </c:pt>
                      <c:pt idx="7">
                        <c:v>60.9</c:v>
                      </c:pt>
                      <c:pt idx="8">
                        <c:v>74.3</c:v>
                      </c:pt>
                      <c:pt idx="9">
                        <c:v>87</c:v>
                      </c:pt>
                      <c:pt idx="10">
                        <c:v>95.1</c:v>
                      </c:pt>
                      <c:pt idx="11">
                        <c:v>103</c:v>
                      </c:pt>
                      <c:pt idx="12">
                        <c:v>115</c:v>
                      </c:pt>
                      <c:pt idx="13">
                        <c:v>140</c:v>
                      </c:pt>
                      <c:pt idx="14">
                        <c:v>166</c:v>
                      </c:pt>
                      <c:pt idx="15">
                        <c:v>183</c:v>
                      </c:pt>
                      <c:pt idx="16">
                        <c:v>200</c:v>
                      </c:pt>
                      <c:pt idx="17">
                        <c:v>225</c:v>
                      </c:pt>
                      <c:pt idx="18">
                        <c:v>251</c:v>
                      </c:pt>
                      <c:pt idx="19">
                        <c:v>269</c:v>
                      </c:pt>
                    </c:numCache>
                  </c:numRef>
                </c:yVal>
                <c:smooth val="0"/>
                <c:extLst xmlns:c15="http://schemas.microsoft.com/office/drawing/2012/chart">
                  <c:ext xmlns:c16="http://schemas.microsoft.com/office/drawing/2014/chart" uri="{C3380CC4-5D6E-409C-BE32-E72D297353CC}">
                    <c16:uniqueId val="{00000004-9D4B-4E5C-A17F-31F9D28D72B2}"/>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Tabelle'!$C$6:$V$6</c15:sqref>
                        </c15:formulaRef>
                      </c:ext>
                    </c:extLst>
                    <c:numCache>
                      <c:formatCode>General</c:formatCode>
                      <c:ptCount val="20"/>
                      <c:pt idx="0">
                        <c:v>36.5</c:v>
                      </c:pt>
                      <c:pt idx="1">
                        <c:v>41.9</c:v>
                      </c:pt>
                      <c:pt idx="2">
                        <c:v>48.5</c:v>
                      </c:pt>
                      <c:pt idx="3">
                        <c:v>54.9</c:v>
                      </c:pt>
                      <c:pt idx="4">
                        <c:v>61.3</c:v>
                      </c:pt>
                      <c:pt idx="5">
                        <c:v>67.599999999999994</c:v>
                      </c:pt>
                      <c:pt idx="6">
                        <c:v>73.7</c:v>
                      </c:pt>
                      <c:pt idx="7">
                        <c:v>79.8</c:v>
                      </c:pt>
                      <c:pt idx="8">
                        <c:v>97.4</c:v>
                      </c:pt>
                      <c:pt idx="9">
                        <c:v>114</c:v>
                      </c:pt>
                      <c:pt idx="10">
                        <c:v>125</c:v>
                      </c:pt>
                      <c:pt idx="11">
                        <c:v>135</c:v>
                      </c:pt>
                      <c:pt idx="12">
                        <c:v>147</c:v>
                      </c:pt>
                      <c:pt idx="13">
                        <c:v>180</c:v>
                      </c:pt>
                      <c:pt idx="14">
                        <c:v>213</c:v>
                      </c:pt>
                      <c:pt idx="15">
                        <c:v>234</c:v>
                      </c:pt>
                      <c:pt idx="16">
                        <c:v>256</c:v>
                      </c:pt>
                      <c:pt idx="17">
                        <c:v>289</c:v>
                      </c:pt>
                      <c:pt idx="18">
                        <c:v>323</c:v>
                      </c:pt>
                      <c:pt idx="19">
                        <c:v>345</c:v>
                      </c:pt>
                    </c:numCache>
                  </c:numRef>
                </c:yVal>
                <c:smooth val="0"/>
                <c:extLst xmlns:c15="http://schemas.microsoft.com/office/drawing/2012/chart">
                  <c:ext xmlns:c16="http://schemas.microsoft.com/office/drawing/2014/chart" uri="{C3380CC4-5D6E-409C-BE32-E72D297353CC}">
                    <c16:uniqueId val="{00000005-9D4B-4E5C-A17F-31F9D28D72B2}"/>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Tabelle'!$C$7:$V$7</c15:sqref>
                        </c15:formulaRef>
                      </c:ext>
                    </c:extLst>
                    <c:numCache>
                      <c:formatCode>General</c:formatCode>
                      <c:ptCount val="20"/>
                      <c:pt idx="0">
                        <c:v>45.1</c:v>
                      </c:pt>
                      <c:pt idx="1">
                        <c:v>51.7</c:v>
                      </c:pt>
                      <c:pt idx="2">
                        <c:v>59.9</c:v>
                      </c:pt>
                      <c:pt idx="3">
                        <c:v>67.900000000000006</c:v>
                      </c:pt>
                      <c:pt idx="4">
                        <c:v>75.8</c:v>
                      </c:pt>
                      <c:pt idx="5">
                        <c:v>83.5</c:v>
                      </c:pt>
                      <c:pt idx="6">
                        <c:v>91.1</c:v>
                      </c:pt>
                      <c:pt idx="7">
                        <c:v>98.6</c:v>
                      </c:pt>
                      <c:pt idx="8">
                        <c:v>120</c:v>
                      </c:pt>
                      <c:pt idx="9">
                        <c:v>141</c:v>
                      </c:pt>
                      <c:pt idx="10">
                        <c:v>154</c:v>
                      </c:pt>
                      <c:pt idx="11">
                        <c:v>167</c:v>
                      </c:pt>
                      <c:pt idx="12">
                        <c:v>179</c:v>
                      </c:pt>
                      <c:pt idx="13">
                        <c:v>219</c:v>
                      </c:pt>
                      <c:pt idx="14">
                        <c:v>259</c:v>
                      </c:pt>
                      <c:pt idx="15">
                        <c:v>285</c:v>
                      </c:pt>
                      <c:pt idx="16">
                        <c:v>312</c:v>
                      </c:pt>
                      <c:pt idx="17">
                        <c:v>352</c:v>
                      </c:pt>
                      <c:pt idx="18">
                        <c:v>392</c:v>
                      </c:pt>
                      <c:pt idx="19">
                        <c:v>420</c:v>
                      </c:pt>
                    </c:numCache>
                  </c:numRef>
                </c:yVal>
                <c:smooth val="0"/>
                <c:extLst xmlns:c15="http://schemas.microsoft.com/office/drawing/2012/chart">
                  <c:ext xmlns:c16="http://schemas.microsoft.com/office/drawing/2014/chart" uri="{C3380CC4-5D6E-409C-BE32-E72D297353CC}">
                    <c16:uniqueId val="{00000003-C256-4821-9F6F-FB8F215590D3}"/>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Tabelle'!$C$8:$V$8</c15:sqref>
                        </c15:formulaRef>
                      </c:ext>
                    </c:extLst>
                    <c:numCache>
                      <c:formatCode>General</c:formatCode>
                      <c:ptCount val="20"/>
                      <c:pt idx="0">
                        <c:v>53.5</c:v>
                      </c:pt>
                      <c:pt idx="1">
                        <c:v>61.3</c:v>
                      </c:pt>
                      <c:pt idx="2">
                        <c:v>71</c:v>
                      </c:pt>
                      <c:pt idx="3">
                        <c:v>80.5</c:v>
                      </c:pt>
                      <c:pt idx="4">
                        <c:v>89.8</c:v>
                      </c:pt>
                      <c:pt idx="5">
                        <c:v>99</c:v>
                      </c:pt>
                      <c:pt idx="6">
                        <c:v>108</c:v>
                      </c:pt>
                      <c:pt idx="7">
                        <c:v>117</c:v>
                      </c:pt>
                      <c:pt idx="8">
                        <c:v>143</c:v>
                      </c:pt>
                      <c:pt idx="9">
                        <c:v>167</c:v>
                      </c:pt>
                      <c:pt idx="10">
                        <c:v>183</c:v>
                      </c:pt>
                      <c:pt idx="11">
                        <c:v>198</c:v>
                      </c:pt>
                      <c:pt idx="12">
                        <c:v>210</c:v>
                      </c:pt>
                      <c:pt idx="13">
                        <c:v>256</c:v>
                      </c:pt>
                      <c:pt idx="14">
                        <c:v>303</c:v>
                      </c:pt>
                      <c:pt idx="15">
                        <c:v>334</c:v>
                      </c:pt>
                      <c:pt idx="16">
                        <c:v>365</c:v>
                      </c:pt>
                      <c:pt idx="17">
                        <c:v>412</c:v>
                      </c:pt>
                      <c:pt idx="18">
                        <c:v>459</c:v>
                      </c:pt>
                      <c:pt idx="19">
                        <c:v>491</c:v>
                      </c:pt>
                    </c:numCache>
                  </c:numRef>
                </c:yVal>
                <c:smooth val="0"/>
                <c:extLst xmlns:c15="http://schemas.microsoft.com/office/drawing/2012/chart">
                  <c:ext xmlns:c16="http://schemas.microsoft.com/office/drawing/2014/chart" uri="{C3380CC4-5D6E-409C-BE32-E72D297353CC}">
                    <c16:uniqueId val="{00000004-C256-4821-9F6F-FB8F215590D3}"/>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2-C1FC-47EC-864F-276CC0DF25A8}"/>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3-C1FC-47EC-864F-276CC0DF25A8}"/>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05-C256-4821-9F6F-FB8F215590D3}"/>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06-C256-4821-9F6F-FB8F215590D3}"/>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Tabelle'!$C$4:$AB$4</c15:sqref>
                        </c15:formulaRef>
                      </c:ext>
                    </c:extLst>
                    <c:numCache>
                      <c:formatCode>General</c:formatCode>
                      <c:ptCount val="26"/>
                      <c:pt idx="0">
                        <c:v>24.8</c:v>
                      </c:pt>
                      <c:pt idx="1">
                        <c:v>34.700000000000003</c:v>
                      </c:pt>
                      <c:pt idx="2">
                        <c:v>45.1</c:v>
                      </c:pt>
                      <c:pt idx="3">
                        <c:v>55.2</c:v>
                      </c:pt>
                      <c:pt idx="4">
                        <c:v>60.9</c:v>
                      </c:pt>
                      <c:pt idx="5">
                        <c:v>63.8</c:v>
                      </c:pt>
                      <c:pt idx="6">
                        <c:v>65.2</c:v>
                      </c:pt>
                      <c:pt idx="7">
                        <c:v>67.8</c:v>
                      </c:pt>
                      <c:pt idx="8">
                        <c:v>70.8</c:v>
                      </c:pt>
                      <c:pt idx="9">
                        <c:v>72.8</c:v>
                      </c:pt>
                      <c:pt idx="10">
                        <c:v>80</c:v>
                      </c:pt>
                      <c:pt idx="11">
                        <c:v>80.599999999999994</c:v>
                      </c:pt>
                      <c:pt idx="12">
                        <c:v>83.6</c:v>
                      </c:pt>
                      <c:pt idx="13">
                        <c:v>90.4</c:v>
                      </c:pt>
                      <c:pt idx="14">
                        <c:v>92.3</c:v>
                      </c:pt>
                      <c:pt idx="15">
                        <c:v>97.2</c:v>
                      </c:pt>
                      <c:pt idx="16">
                        <c:v>104.3</c:v>
                      </c:pt>
                      <c:pt idx="17">
                        <c:v>123.5</c:v>
                      </c:pt>
                      <c:pt idx="18">
                        <c:v>151.9</c:v>
                      </c:pt>
                      <c:pt idx="19">
                        <c:v>166.7</c:v>
                      </c:pt>
                      <c:pt idx="20">
                        <c:v>180.2</c:v>
                      </c:pt>
                      <c:pt idx="21">
                        <c:v>185.5</c:v>
                      </c:pt>
                      <c:pt idx="22">
                        <c:v>199</c:v>
                      </c:pt>
                      <c:pt idx="23">
                        <c:v>204.3</c:v>
                      </c:pt>
                      <c:pt idx="24">
                        <c:v>217.8</c:v>
                      </c:pt>
                      <c:pt idx="25">
                        <c:v>245.9</c:v>
                      </c:pt>
                    </c:numCache>
                  </c:numRef>
                </c:yVal>
                <c:smooth val="0"/>
                <c:extLst xmlns:c15="http://schemas.microsoft.com/office/drawing/2012/chart">
                  <c:ext xmlns:c16="http://schemas.microsoft.com/office/drawing/2014/chart" uri="{C3380CC4-5D6E-409C-BE32-E72D297353CC}">
                    <c16:uniqueId val="{00000008-C256-4821-9F6F-FB8F215590D3}"/>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Tabelle'!$C$5:$AB$5</c15:sqref>
                        </c15:formulaRef>
                      </c:ext>
                    </c:extLst>
                    <c:numCache>
                      <c:formatCode>General</c:formatCode>
                      <c:ptCount val="26"/>
                      <c:pt idx="0">
                        <c:v>32</c:v>
                      </c:pt>
                      <c:pt idx="1">
                        <c:v>46.8</c:v>
                      </c:pt>
                      <c:pt idx="2">
                        <c:v>59.8</c:v>
                      </c:pt>
                      <c:pt idx="3">
                        <c:v>72.400000000000006</c:v>
                      </c:pt>
                      <c:pt idx="4">
                        <c:v>79.3</c:v>
                      </c:pt>
                      <c:pt idx="5">
                        <c:v>83</c:v>
                      </c:pt>
                      <c:pt idx="6">
                        <c:v>84.7</c:v>
                      </c:pt>
                      <c:pt idx="7">
                        <c:v>87.9</c:v>
                      </c:pt>
                      <c:pt idx="8">
                        <c:v>91.6</c:v>
                      </c:pt>
                      <c:pt idx="9">
                        <c:v>94</c:v>
                      </c:pt>
                      <c:pt idx="10">
                        <c:v>102.9</c:v>
                      </c:pt>
                      <c:pt idx="11">
                        <c:v>103.6</c:v>
                      </c:pt>
                      <c:pt idx="12">
                        <c:v>107.2</c:v>
                      </c:pt>
                      <c:pt idx="13">
                        <c:v>115.6</c:v>
                      </c:pt>
                      <c:pt idx="14">
                        <c:v>118</c:v>
                      </c:pt>
                      <c:pt idx="15">
                        <c:v>123.9</c:v>
                      </c:pt>
                      <c:pt idx="16">
                        <c:v>132.69999999999999</c:v>
                      </c:pt>
                      <c:pt idx="17">
                        <c:v>156.19999999999999</c:v>
                      </c:pt>
                      <c:pt idx="18">
                        <c:v>191.4</c:v>
                      </c:pt>
                      <c:pt idx="19">
                        <c:v>209.7</c:v>
                      </c:pt>
                      <c:pt idx="20">
                        <c:v>226.6</c:v>
                      </c:pt>
                      <c:pt idx="21">
                        <c:v>233.3</c:v>
                      </c:pt>
                      <c:pt idx="22">
                        <c:v>250.3</c:v>
                      </c:pt>
                      <c:pt idx="23">
                        <c:v>256.89999999999998</c:v>
                      </c:pt>
                      <c:pt idx="24">
                        <c:v>274.10000000000002</c:v>
                      </c:pt>
                      <c:pt idx="25">
                        <c:v>310.2</c:v>
                      </c:pt>
                    </c:numCache>
                  </c:numRef>
                </c:yVal>
                <c:smooth val="0"/>
                <c:extLst xmlns:c15="http://schemas.microsoft.com/office/drawing/2012/chart">
                  <c:ext xmlns:c16="http://schemas.microsoft.com/office/drawing/2014/chart" uri="{C3380CC4-5D6E-409C-BE32-E72D297353CC}">
                    <c16:uniqueId val="{00000009-C256-4821-9F6F-FB8F215590D3}"/>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Tabelle'!$C$6:$AB$6</c15:sqref>
                        </c15:formulaRef>
                      </c:ext>
                    </c:extLst>
                    <c:numCache>
                      <c:formatCode>General</c:formatCode>
                      <c:ptCount val="26"/>
                      <c:pt idx="0">
                        <c:v>39.700000000000003</c:v>
                      </c:pt>
                      <c:pt idx="1">
                        <c:v>56.5</c:v>
                      </c:pt>
                      <c:pt idx="2">
                        <c:v>72.400000000000006</c:v>
                      </c:pt>
                      <c:pt idx="3">
                        <c:v>87.7</c:v>
                      </c:pt>
                      <c:pt idx="4">
                        <c:v>96.2</c:v>
                      </c:pt>
                      <c:pt idx="5">
                        <c:v>100.7</c:v>
                      </c:pt>
                      <c:pt idx="6">
                        <c:v>102.7</c:v>
                      </c:pt>
                      <c:pt idx="7">
                        <c:v>106.6</c:v>
                      </c:pt>
                      <c:pt idx="8">
                        <c:v>111</c:v>
                      </c:pt>
                      <c:pt idx="9">
                        <c:v>114</c:v>
                      </c:pt>
                      <c:pt idx="10">
                        <c:v>124.8</c:v>
                      </c:pt>
                      <c:pt idx="11">
                        <c:v>125.7</c:v>
                      </c:pt>
                      <c:pt idx="12">
                        <c:v>130</c:v>
                      </c:pt>
                      <c:pt idx="13">
                        <c:v>140.1</c:v>
                      </c:pt>
                      <c:pt idx="14">
                        <c:v>143</c:v>
                      </c:pt>
                      <c:pt idx="15">
                        <c:v>150.1</c:v>
                      </c:pt>
                      <c:pt idx="16">
                        <c:v>160.6</c:v>
                      </c:pt>
                      <c:pt idx="17">
                        <c:v>188.8</c:v>
                      </c:pt>
                      <c:pt idx="18">
                        <c:v>230.4</c:v>
                      </c:pt>
                      <c:pt idx="19">
                        <c:v>251.9</c:v>
                      </c:pt>
                      <c:pt idx="20">
                        <c:v>271.60000000000002</c:v>
                      </c:pt>
                      <c:pt idx="21">
                        <c:v>279.3</c:v>
                      </c:pt>
                      <c:pt idx="22">
                        <c:v>299</c:v>
                      </c:pt>
                      <c:pt idx="23">
                        <c:v>306.7</c:v>
                      </c:pt>
                      <c:pt idx="24">
                        <c:v>326.39999999999998</c:v>
                      </c:pt>
                      <c:pt idx="25">
                        <c:v>367.4</c:v>
                      </c:pt>
                    </c:numCache>
                  </c:numRef>
                </c:yVal>
                <c:smooth val="0"/>
                <c:extLst xmlns:c15="http://schemas.microsoft.com/office/drawing/2012/chart">
                  <c:ext xmlns:c16="http://schemas.microsoft.com/office/drawing/2014/chart" uri="{C3380CC4-5D6E-409C-BE32-E72D297353CC}">
                    <c16:uniqueId val="{0000000A-C256-4821-9F6F-FB8F215590D3}"/>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Tabelle'!$C$7:$AB$7</c15:sqref>
                        </c15:formulaRef>
                      </c:ext>
                    </c:extLst>
                    <c:numCache>
                      <c:formatCode>General</c:formatCode>
                      <c:ptCount val="26"/>
                      <c:pt idx="0">
                        <c:v>48.7</c:v>
                      </c:pt>
                      <c:pt idx="1">
                        <c:v>67.7</c:v>
                      </c:pt>
                      <c:pt idx="2">
                        <c:v>87.3</c:v>
                      </c:pt>
                      <c:pt idx="3">
                        <c:v>106.2</c:v>
                      </c:pt>
                      <c:pt idx="4">
                        <c:v>116.5</c:v>
                      </c:pt>
                      <c:pt idx="5">
                        <c:v>121.9</c:v>
                      </c:pt>
                      <c:pt idx="6">
                        <c:v>124.5</c:v>
                      </c:pt>
                      <c:pt idx="7">
                        <c:v>129.1</c:v>
                      </c:pt>
                      <c:pt idx="8">
                        <c:v>134.5</c:v>
                      </c:pt>
                      <c:pt idx="9">
                        <c:v>138</c:v>
                      </c:pt>
                      <c:pt idx="10">
                        <c:v>150.9</c:v>
                      </c:pt>
                      <c:pt idx="11">
                        <c:v>152</c:v>
                      </c:pt>
                      <c:pt idx="12">
                        <c:v>157.1</c:v>
                      </c:pt>
                      <c:pt idx="13">
                        <c:v>169</c:v>
                      </c:pt>
                      <c:pt idx="14">
                        <c:v>172.4</c:v>
                      </c:pt>
                      <c:pt idx="15">
                        <c:v>180.7</c:v>
                      </c:pt>
                      <c:pt idx="16">
                        <c:v>192.9</c:v>
                      </c:pt>
                      <c:pt idx="17">
                        <c:v>224.7</c:v>
                      </c:pt>
                      <c:pt idx="18">
                        <c:v>270</c:v>
                      </c:pt>
                      <c:pt idx="19">
                        <c:v>292.5</c:v>
                      </c:pt>
                      <c:pt idx="20">
                        <c:v>312.7</c:v>
                      </c:pt>
                      <c:pt idx="21">
                        <c:v>320.39999999999998</c:v>
                      </c:pt>
                      <c:pt idx="22">
                        <c:v>339.8</c:v>
                      </c:pt>
                      <c:pt idx="23">
                        <c:v>347.2</c:v>
                      </c:pt>
                      <c:pt idx="24">
                        <c:v>366</c:v>
                      </c:pt>
                      <c:pt idx="25">
                        <c:v>403.4</c:v>
                      </c:pt>
                    </c:numCache>
                  </c:numRef>
                </c:yVal>
                <c:smooth val="0"/>
                <c:extLst xmlns:c15="http://schemas.microsoft.com/office/drawing/2012/chart">
                  <c:ext xmlns:c16="http://schemas.microsoft.com/office/drawing/2014/chart" uri="{C3380CC4-5D6E-409C-BE32-E72D297353CC}">
                    <c16:uniqueId val="{0000000B-C256-4821-9F6F-FB8F215590D3}"/>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0D-C256-4821-9F6F-FB8F215590D3}"/>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0E-C256-4821-9F6F-FB8F215590D3}"/>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0F-C256-4821-9F6F-FB8F215590D3}"/>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0-C256-4821-9F6F-FB8F215590D3}"/>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 </a:t>
            </a:r>
            <a:r>
              <a:rPr lang="de-CH" baseline="0"/>
              <a:t> 3-Säule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4082142986235019"/>
          <c:y val="0.10600893450674688"/>
          <c:w val="0.8029814085739283"/>
          <c:h val="0.61933915193421563"/>
        </c:manualLayout>
      </c:layout>
      <c:scatterChart>
        <c:scatterStyle val="lineMarker"/>
        <c:varyColors val="0"/>
        <c:ser>
          <c:idx val="1"/>
          <c:order val="1"/>
          <c:tx>
            <c:strRef>
              <c:f>'Arbonia Tabelle'!$Y$4</c:f>
              <c:strCache>
                <c:ptCount val="1"/>
                <c:pt idx="0">
                  <c:v>ARB 3-Säule</c:v>
                </c:pt>
              </c:strCache>
              <c:extLst xmlns:c15="http://schemas.microsoft.com/office/drawing/2012/chart"/>
            </c:strRef>
          </c:tx>
          <c:spPr>
            <a:ln w="38100" cap="rnd">
              <a:noFill/>
              <a:round/>
            </a:ln>
            <a:effectLst/>
          </c:spPr>
          <c:marker>
            <c:symbol val="circle"/>
            <c:size val="5"/>
            <c:spPr>
              <a:solidFill>
                <a:schemeClr val="accent2"/>
              </a:solidFill>
              <a:ln w="9525">
                <a:solidFill>
                  <a:schemeClr val="accent2"/>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extLst xmlns:c15="http://schemas.microsoft.com/office/drawing/2012/chart"/>
            </c:numRef>
          </c:xVal>
          <c:yVal>
            <c:numRef>
              <c:f>'Arbonia Tabelle'!$D$4:$X$4</c:f>
              <c:numCache>
                <c:formatCode>General</c:formatCode>
                <c:ptCount val="21"/>
                <c:pt idx="0">
                  <c:v>20</c:v>
                </c:pt>
                <c:pt idx="1">
                  <c:v>28</c:v>
                </c:pt>
                <c:pt idx="2">
                  <c:v>33</c:v>
                </c:pt>
                <c:pt idx="3">
                  <c:v>38</c:v>
                </c:pt>
                <c:pt idx="4">
                  <c:v>43</c:v>
                </c:pt>
                <c:pt idx="5">
                  <c:v>48</c:v>
                </c:pt>
                <c:pt idx="6">
                  <c:v>53</c:v>
                </c:pt>
                <c:pt idx="7">
                  <c:v>58</c:v>
                </c:pt>
                <c:pt idx="8">
                  <c:v>63</c:v>
                </c:pt>
                <c:pt idx="9">
                  <c:v>78</c:v>
                </c:pt>
                <c:pt idx="10">
                  <c:v>92</c:v>
                </c:pt>
                <c:pt idx="11">
                  <c:v>102</c:v>
                </c:pt>
                <c:pt idx="12">
                  <c:v>111</c:v>
                </c:pt>
                <c:pt idx="13">
                  <c:v>120</c:v>
                </c:pt>
                <c:pt idx="14">
                  <c:v>147</c:v>
                </c:pt>
                <c:pt idx="15">
                  <c:v>173</c:v>
                </c:pt>
                <c:pt idx="16">
                  <c:v>190</c:v>
                </c:pt>
                <c:pt idx="17">
                  <c:v>207</c:v>
                </c:pt>
                <c:pt idx="18">
                  <c:v>231</c:v>
                </c:pt>
                <c:pt idx="19">
                  <c:v>255</c:v>
                </c:pt>
                <c:pt idx="20">
                  <c:v>270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6-7F44-4567-BC36-E7030EBA5824}"/>
            </c:ext>
          </c:extLst>
        </c:ser>
        <c:ser>
          <c:idx val="6"/>
          <c:order val="6"/>
          <c:tx>
            <c:strRef>
              <c:f>'Zehnder Charl. Tabelle'!$W$5</c:f>
              <c:strCache>
                <c:ptCount val="1"/>
                <c:pt idx="0">
                  <c:v>ZEHN 3-Säule</c:v>
                </c:pt>
              </c:strCache>
              <c:extLst xmlns:c15="http://schemas.microsoft.com/office/drawing/2012/chart"/>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Tabelle'!$C$5:$V$5</c:f>
              <c:numCache>
                <c:formatCode>General</c:formatCode>
                <c:ptCount val="20"/>
                <c:pt idx="0">
                  <c:v>27.9</c:v>
                </c:pt>
                <c:pt idx="1">
                  <c:v>32</c:v>
                </c:pt>
                <c:pt idx="2">
                  <c:v>37</c:v>
                </c:pt>
                <c:pt idx="3">
                  <c:v>41.9</c:v>
                </c:pt>
                <c:pt idx="4">
                  <c:v>46.8</c:v>
                </c:pt>
                <c:pt idx="5">
                  <c:v>51.6</c:v>
                </c:pt>
                <c:pt idx="6">
                  <c:v>56.3</c:v>
                </c:pt>
                <c:pt idx="7">
                  <c:v>60.9</c:v>
                </c:pt>
                <c:pt idx="8">
                  <c:v>74.3</c:v>
                </c:pt>
                <c:pt idx="9">
                  <c:v>87</c:v>
                </c:pt>
                <c:pt idx="10">
                  <c:v>95.1</c:v>
                </c:pt>
                <c:pt idx="11">
                  <c:v>103</c:v>
                </c:pt>
                <c:pt idx="12">
                  <c:v>115</c:v>
                </c:pt>
                <c:pt idx="13">
                  <c:v>140</c:v>
                </c:pt>
                <c:pt idx="14">
                  <c:v>166</c:v>
                </c:pt>
                <c:pt idx="15">
                  <c:v>183</c:v>
                </c:pt>
                <c:pt idx="16">
                  <c:v>200</c:v>
                </c:pt>
                <c:pt idx="17">
                  <c:v>225</c:v>
                </c:pt>
                <c:pt idx="18">
                  <c:v>251</c:v>
                </c:pt>
                <c:pt idx="19">
                  <c:v>269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7F44-4567-BC36-E7030EBA5824}"/>
            </c:ext>
          </c:extLst>
        </c:ser>
        <c:ser>
          <c:idx val="4"/>
          <c:order val="11"/>
          <c:tx>
            <c:strRef>
              <c:f>'IRSAP Tabelle'!$AD$4</c:f>
              <c:strCache>
                <c:ptCount val="1"/>
                <c:pt idx="0">
                  <c:v>IRSAP 3-Säule</c:v>
                </c:pt>
              </c:strCache>
              <c:extLst xmlns:c15="http://schemas.microsoft.com/office/drawing/2012/chart"/>
            </c:strRef>
          </c:tx>
          <c:spPr>
            <a:ln w="25400" cap="rnd">
              <a:noFill/>
              <a:round/>
            </a:ln>
            <a:effectLst/>
          </c:spPr>
          <c:marker>
            <c:symbol val="circle"/>
            <c:size val="5"/>
            <c:spPr>
              <a:solidFill>
                <a:schemeClr val="accent5"/>
              </a:solidFill>
              <a:ln w="9525">
                <a:solidFill>
                  <a:schemeClr val="accent5"/>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extLst xmlns:c15="http://schemas.microsoft.com/office/drawing/2012/chart"/>
            </c:numRef>
          </c:xVal>
          <c:yVal>
            <c:numRef>
              <c:f>'IRSAP Tabelle'!$C$4:$AC$4</c:f>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E-7F44-4567-BC36-E7030EBA5824}"/>
            </c:ext>
          </c:extLst>
        </c:ser>
        <c:ser>
          <c:idx val="16"/>
          <c:order val="16"/>
          <c:tx>
            <c:strRef>
              <c:f>'Cordivari Tabelle'!$AC$4</c:f>
              <c:strCache>
                <c:ptCount val="1"/>
                <c:pt idx="0">
                  <c:v>Cordivari 3-Säule</c:v>
                </c:pt>
              </c:strCache>
              <c:extLst xmlns:c15="http://schemas.microsoft.com/office/drawing/2012/chart"/>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Tabelle'!$C$4:$AB$4</c:f>
              <c:numCache>
                <c:formatCode>General</c:formatCode>
                <c:ptCount val="26"/>
                <c:pt idx="0">
                  <c:v>24.8</c:v>
                </c:pt>
                <c:pt idx="1">
                  <c:v>34.700000000000003</c:v>
                </c:pt>
                <c:pt idx="2">
                  <c:v>45.1</c:v>
                </c:pt>
                <c:pt idx="3">
                  <c:v>55.2</c:v>
                </c:pt>
                <c:pt idx="4">
                  <c:v>60.9</c:v>
                </c:pt>
                <c:pt idx="5">
                  <c:v>63.8</c:v>
                </c:pt>
                <c:pt idx="6">
                  <c:v>65.2</c:v>
                </c:pt>
                <c:pt idx="7">
                  <c:v>67.8</c:v>
                </c:pt>
                <c:pt idx="8">
                  <c:v>70.8</c:v>
                </c:pt>
                <c:pt idx="9">
                  <c:v>72.8</c:v>
                </c:pt>
                <c:pt idx="10">
                  <c:v>80</c:v>
                </c:pt>
                <c:pt idx="11">
                  <c:v>80.599999999999994</c:v>
                </c:pt>
                <c:pt idx="12">
                  <c:v>83.6</c:v>
                </c:pt>
                <c:pt idx="13">
                  <c:v>90.4</c:v>
                </c:pt>
                <c:pt idx="14">
                  <c:v>92.3</c:v>
                </c:pt>
                <c:pt idx="15">
                  <c:v>97.2</c:v>
                </c:pt>
                <c:pt idx="16">
                  <c:v>104.3</c:v>
                </c:pt>
                <c:pt idx="17">
                  <c:v>123.5</c:v>
                </c:pt>
                <c:pt idx="18">
                  <c:v>151.9</c:v>
                </c:pt>
                <c:pt idx="19">
                  <c:v>166.7</c:v>
                </c:pt>
                <c:pt idx="20">
                  <c:v>180.2</c:v>
                </c:pt>
                <c:pt idx="21">
                  <c:v>185.5</c:v>
                </c:pt>
                <c:pt idx="22">
                  <c:v>199</c:v>
                </c:pt>
                <c:pt idx="23">
                  <c:v>204.3</c:v>
                </c:pt>
                <c:pt idx="24">
                  <c:v>217.8</c:v>
                </c:pt>
                <c:pt idx="25">
                  <c:v>245.9</c:v>
                </c:pt>
              </c:numCache>
              <c:extLst xmlns:c15="http://schemas.microsoft.com/office/drawing/2012/chart"/>
            </c:numRef>
          </c:yVal>
          <c:smooth val="0"/>
          <c:extLst>
            <c:ext xmlns:c16="http://schemas.microsoft.com/office/drawing/2014/chart" uri="{C3380CC4-5D6E-409C-BE32-E72D297353CC}">
              <c16:uniqueId val="{00000012-7F44-4567-BC36-E7030EBA5824}"/>
            </c:ext>
          </c:extLst>
        </c:ser>
        <c:ser>
          <c:idx val="21"/>
          <c:order val="21"/>
          <c:tx>
            <c:strRef>
              <c:f>'FIR Iron'!$AD$4</c:f>
              <c:strCache>
                <c:ptCount val="1"/>
                <c:pt idx="0">
                  <c:v>FIR Iron 3-Säule</c:v>
                </c:pt>
              </c:strCache>
              <c:extLst xmlns:c15="http://schemas.microsoft.com/office/drawing/2012/chart"/>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Iron'!$C$4:$AC$4</c:f>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extLst xmlns:c15="http://schemas.microsoft.com/office/drawing/2012/chart"/>
            </c:numRef>
          </c:yVal>
          <c:smooth val="0"/>
          <c:extLst>
            <c:ext xmlns:c16="http://schemas.microsoft.com/office/drawing/2014/chart" uri="{C3380CC4-5D6E-409C-BE32-E72D297353CC}">
              <c16:uniqueId val="{00000016-7F44-4567-BC36-E7030EBA5824}"/>
            </c:ext>
          </c:extLst>
        </c:ser>
        <c:ser>
          <c:idx val="25"/>
          <c:order val="25"/>
          <c:tx>
            <c:strRef>
              <c:f>'Leistung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'Leistung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'Leistung alle'!$B$68:$U$68</c:f>
              <c:numCache>
                <c:formatCode>0.0</c:formatCode>
                <c:ptCount val="20"/>
                <c:pt idx="0">
                  <c:v>27.95</c:v>
                </c:pt>
                <c:pt idx="1">
                  <c:v>33.519999999999996</c:v>
                </c:pt>
                <c:pt idx="2">
                  <c:v>38.200000000000003</c:v>
                </c:pt>
                <c:pt idx="3">
                  <c:v>43.504000000000005</c:v>
                </c:pt>
                <c:pt idx="4">
                  <c:v>47.9925</c:v>
                </c:pt>
                <c:pt idx="5">
                  <c:v>53.315999999999995</c:v>
                </c:pt>
                <c:pt idx="6">
                  <c:v>58.27</c:v>
                </c:pt>
                <c:pt idx="7">
                  <c:v>62.953999999999994</c:v>
                </c:pt>
                <c:pt idx="8">
                  <c:v>77.22</c:v>
                </c:pt>
                <c:pt idx="9">
                  <c:v>90.092500000000001</c:v>
                </c:pt>
                <c:pt idx="10">
                  <c:v>100.23399999999999</c:v>
                </c:pt>
                <c:pt idx="11">
                  <c:v>108.78000000000002</c:v>
                </c:pt>
                <c:pt idx="12">
                  <c:v>119</c:v>
                </c:pt>
                <c:pt idx="13">
                  <c:v>146.08000000000001</c:v>
                </c:pt>
                <c:pt idx="14">
                  <c:v>173.23599999999999</c:v>
                </c:pt>
                <c:pt idx="15">
                  <c:v>191.26000000000002</c:v>
                </c:pt>
                <c:pt idx="16">
                  <c:v>209.35599999999999</c:v>
                </c:pt>
                <c:pt idx="17">
                  <c:v>236.208</c:v>
                </c:pt>
                <c:pt idx="18">
                  <c:v>260.36333333333329</c:v>
                </c:pt>
                <c:pt idx="19">
                  <c:v>278.06</c:v>
                </c:pt>
              </c:numCache>
            </c:numRef>
          </c:yVal>
          <c:smooth val="0"/>
          <c:extLst>
            <c:ext xmlns:c16="http://schemas.microsoft.com/office/drawing/2014/chart" uri="{C3380CC4-5D6E-409C-BE32-E72D297353CC}">
              <c16:uniqueId val="{00000005-7F44-4567-BC36-E7030EBA5824}"/>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Tabelle'!$D$3:$X$3</c15:sqref>
                        </c15:formulaRef>
                      </c:ext>
                    </c:extLst>
                    <c:numCache>
                      <c:formatCode>General</c:formatCode>
                      <c:ptCount val="21"/>
                      <c:pt idx="0">
                        <c:v>15</c:v>
                      </c:pt>
                      <c:pt idx="1">
                        <c:v>20</c:v>
                      </c:pt>
                      <c:pt idx="2">
                        <c:v>24</c:v>
                      </c:pt>
                      <c:pt idx="3">
                        <c:v>28</c:v>
                      </c:pt>
                      <c:pt idx="4">
                        <c:v>31</c:v>
                      </c:pt>
                      <c:pt idx="5">
                        <c:v>35</c:v>
                      </c:pt>
                      <c:pt idx="6">
                        <c:v>39</c:v>
                      </c:pt>
                      <c:pt idx="7">
                        <c:v>42</c:v>
                      </c:pt>
                      <c:pt idx="8">
                        <c:v>46</c:v>
                      </c:pt>
                      <c:pt idx="9">
                        <c:v>57</c:v>
                      </c:pt>
                      <c:pt idx="10">
                        <c:v>67</c:v>
                      </c:pt>
                      <c:pt idx="11">
                        <c:v>74</c:v>
                      </c:pt>
                      <c:pt idx="12">
                        <c:v>81</c:v>
                      </c:pt>
                      <c:pt idx="13">
                        <c:v>88</c:v>
                      </c:pt>
                      <c:pt idx="14">
                        <c:v>109</c:v>
                      </c:pt>
                      <c:pt idx="15">
                        <c:v>130</c:v>
                      </c:pt>
                      <c:pt idx="16">
                        <c:v>144</c:v>
                      </c:pt>
                      <c:pt idx="17">
                        <c:v>158</c:v>
                      </c:pt>
                      <c:pt idx="18">
                        <c:v>179</c:v>
                      </c:pt>
                      <c:pt idx="19">
                        <c:v>200</c:v>
                      </c:pt>
                      <c:pt idx="20">
                        <c:v>214</c:v>
                      </c:pt>
                    </c:numCache>
                  </c:numRef>
                </c:yVal>
                <c:smooth val="0"/>
                <c:extLst>
                  <c:ext xmlns:c16="http://schemas.microsoft.com/office/drawing/2014/chart" uri="{C3380CC4-5D6E-409C-BE32-E72D297353CC}">
                    <c16:uniqueId val="{00000000-7F44-4567-BC36-E7030EBA5824}"/>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Tabelle'!$D$5:$X$5</c15:sqref>
                        </c15:formulaRef>
                      </c:ext>
                    </c:extLst>
                    <c:numCache>
                      <c:formatCode>General</c:formatCode>
                      <c:ptCount val="21"/>
                      <c:pt idx="0">
                        <c:v>27</c:v>
                      </c:pt>
                      <c:pt idx="1">
                        <c:v>36</c:v>
                      </c:pt>
                      <c:pt idx="2">
                        <c:v>43</c:v>
                      </c:pt>
                      <c:pt idx="3">
                        <c:v>49</c:v>
                      </c:pt>
                      <c:pt idx="4">
                        <c:v>56</c:v>
                      </c:pt>
                      <c:pt idx="5">
                        <c:v>62</c:v>
                      </c:pt>
                      <c:pt idx="6">
                        <c:v>69</c:v>
                      </c:pt>
                      <c:pt idx="7">
                        <c:v>75</c:v>
                      </c:pt>
                      <c:pt idx="8">
                        <c:v>81</c:v>
                      </c:pt>
                      <c:pt idx="9">
                        <c:v>100</c:v>
                      </c:pt>
                      <c:pt idx="10">
                        <c:v>117</c:v>
                      </c:pt>
                      <c:pt idx="11">
                        <c:v>129</c:v>
                      </c:pt>
                      <c:pt idx="12">
                        <c:v>141</c:v>
                      </c:pt>
                      <c:pt idx="13">
                        <c:v>152</c:v>
                      </c:pt>
                      <c:pt idx="14">
                        <c:v>186</c:v>
                      </c:pt>
                      <c:pt idx="15">
                        <c:v>219</c:v>
                      </c:pt>
                      <c:pt idx="16">
                        <c:v>241</c:v>
                      </c:pt>
                      <c:pt idx="17">
                        <c:v>262</c:v>
                      </c:pt>
                      <c:pt idx="18">
                        <c:v>293</c:v>
                      </c:pt>
                      <c:pt idx="19">
                        <c:v>323</c:v>
                      </c:pt>
                      <c:pt idx="20">
                        <c:v>343</c:v>
                      </c:pt>
                    </c:numCache>
                  </c:numRef>
                </c:yVal>
                <c:smooth val="0"/>
                <c:extLst xmlns:c15="http://schemas.microsoft.com/office/drawing/2012/chart">
                  <c:ext xmlns:c16="http://schemas.microsoft.com/office/drawing/2014/chart" uri="{C3380CC4-5D6E-409C-BE32-E72D297353CC}">
                    <c16:uniqueId val="{00000007-7F44-4567-BC36-E7030EBA5824}"/>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Tabelle'!$D$6:$X$6</c15:sqref>
                        </c15:formulaRef>
                      </c:ext>
                    </c:extLst>
                    <c:numCache>
                      <c:formatCode>General</c:formatCode>
                      <c:ptCount val="21"/>
                      <c:pt idx="0">
                        <c:v>0</c:v>
                      </c:pt>
                      <c:pt idx="1">
                        <c:v>45</c:v>
                      </c:pt>
                      <c:pt idx="2">
                        <c:v>53</c:v>
                      </c:pt>
                      <c:pt idx="3">
                        <c:v>61</c:v>
                      </c:pt>
                      <c:pt idx="4">
                        <c:v>69</c:v>
                      </c:pt>
                      <c:pt idx="5">
                        <c:v>77</c:v>
                      </c:pt>
                      <c:pt idx="6">
                        <c:v>85</c:v>
                      </c:pt>
                      <c:pt idx="7">
                        <c:v>93</c:v>
                      </c:pt>
                      <c:pt idx="8">
                        <c:v>100</c:v>
                      </c:pt>
                      <c:pt idx="9">
                        <c:v>123</c:v>
                      </c:pt>
                      <c:pt idx="10">
                        <c:v>144</c:v>
                      </c:pt>
                      <c:pt idx="11">
                        <c:v>158</c:v>
                      </c:pt>
                      <c:pt idx="12">
                        <c:v>172</c:v>
                      </c:pt>
                      <c:pt idx="13">
                        <c:v>186</c:v>
                      </c:pt>
                      <c:pt idx="14">
                        <c:v>225</c:v>
                      </c:pt>
                      <c:pt idx="15">
                        <c:v>263</c:v>
                      </c:pt>
                      <c:pt idx="16">
                        <c:v>287</c:v>
                      </c:pt>
                      <c:pt idx="17">
                        <c:v>310</c:v>
                      </c:pt>
                      <c:pt idx="18">
                        <c:v>343</c:v>
                      </c:pt>
                      <c:pt idx="19">
                        <c:v>374</c:v>
                      </c:pt>
                      <c:pt idx="20">
                        <c:v>394</c:v>
                      </c:pt>
                    </c:numCache>
                  </c:numRef>
                </c:yVal>
                <c:smooth val="0"/>
                <c:extLst xmlns:c15="http://schemas.microsoft.com/office/drawing/2012/chart">
                  <c:ext xmlns:c16="http://schemas.microsoft.com/office/drawing/2014/chart" uri="{C3380CC4-5D6E-409C-BE32-E72D297353CC}">
                    <c16:uniqueId val="{00000008-7F44-4567-BC36-E7030EBA5824}"/>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Tabelle'!$D$7:$X$7</c15:sqref>
                        </c15:formulaRef>
                      </c:ext>
                    </c:extLst>
                    <c:numCache>
                      <c:formatCode>General</c:formatCode>
                      <c:ptCount val="21"/>
                      <c:pt idx="0">
                        <c:v>0</c:v>
                      </c:pt>
                      <c:pt idx="1">
                        <c:v>53</c:v>
                      </c:pt>
                      <c:pt idx="2">
                        <c:v>62</c:v>
                      </c:pt>
                      <c:pt idx="3">
                        <c:v>72</c:v>
                      </c:pt>
                      <c:pt idx="4">
                        <c:v>81</c:v>
                      </c:pt>
                      <c:pt idx="5">
                        <c:v>90</c:v>
                      </c:pt>
                      <c:pt idx="6">
                        <c:v>99</c:v>
                      </c:pt>
                      <c:pt idx="7">
                        <c:v>108</c:v>
                      </c:pt>
                      <c:pt idx="8">
                        <c:v>117</c:v>
                      </c:pt>
                      <c:pt idx="9">
                        <c:v>143</c:v>
                      </c:pt>
                      <c:pt idx="10">
                        <c:v>168</c:v>
                      </c:pt>
                      <c:pt idx="11">
                        <c:v>185</c:v>
                      </c:pt>
                      <c:pt idx="12">
                        <c:v>201</c:v>
                      </c:pt>
                      <c:pt idx="13">
                        <c:v>217</c:v>
                      </c:pt>
                      <c:pt idx="14">
                        <c:v>264</c:v>
                      </c:pt>
                      <c:pt idx="15">
                        <c:v>309</c:v>
                      </c:pt>
                      <c:pt idx="16">
                        <c:v>339</c:v>
                      </c:pt>
                      <c:pt idx="17">
                        <c:v>367</c:v>
                      </c:pt>
                      <c:pt idx="18">
                        <c:v>408</c:v>
                      </c:pt>
                      <c:pt idx="19">
                        <c:v>448</c:v>
                      </c:pt>
                      <c:pt idx="20">
                        <c:v>474</c:v>
                      </c:pt>
                    </c:numCache>
                  </c:numRef>
                </c:yVal>
                <c:smooth val="0"/>
                <c:extLst xmlns:c15="http://schemas.microsoft.com/office/drawing/2012/chart">
                  <c:ext xmlns:c16="http://schemas.microsoft.com/office/drawing/2014/chart" uri="{C3380CC4-5D6E-409C-BE32-E72D297353CC}">
                    <c16:uniqueId val="{00000009-7F44-4567-BC36-E7030EBA5824}"/>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Tabelle'!$C$4:$V$4</c15:sqref>
                        </c15:formulaRef>
                      </c:ext>
                    </c:extLst>
                    <c:numCache>
                      <c:formatCode>General</c:formatCode>
                      <c:ptCount val="20"/>
                      <c:pt idx="0">
                        <c:v>21.1</c:v>
                      </c:pt>
                      <c:pt idx="1">
                        <c:v>23.6</c:v>
                      </c:pt>
                      <c:pt idx="2">
                        <c:v>27.5</c:v>
                      </c:pt>
                      <c:pt idx="3">
                        <c:v>31.2</c:v>
                      </c:pt>
                      <c:pt idx="4">
                        <c:v>34.9</c:v>
                      </c:pt>
                      <c:pt idx="5">
                        <c:v>38.4</c:v>
                      </c:pt>
                      <c:pt idx="6">
                        <c:v>41.9</c:v>
                      </c:pt>
                      <c:pt idx="7">
                        <c:v>45.3</c:v>
                      </c:pt>
                      <c:pt idx="8">
                        <c:v>55</c:v>
                      </c:pt>
                      <c:pt idx="9">
                        <c:v>63.9</c:v>
                      </c:pt>
                      <c:pt idx="10">
                        <c:v>69.5</c:v>
                      </c:pt>
                      <c:pt idx="11">
                        <c:v>74.7</c:v>
                      </c:pt>
                      <c:pt idx="12">
                        <c:v>82.7</c:v>
                      </c:pt>
                      <c:pt idx="13">
                        <c:v>104</c:v>
                      </c:pt>
                      <c:pt idx="14">
                        <c:v>124</c:v>
                      </c:pt>
                      <c:pt idx="15">
                        <c:v>138</c:v>
                      </c:pt>
                      <c:pt idx="16">
                        <c:v>151</c:v>
                      </c:pt>
                      <c:pt idx="17">
                        <c:v>171</c:v>
                      </c:pt>
                      <c:pt idx="18">
                        <c:v>189</c:v>
                      </c:pt>
                      <c:pt idx="19">
                        <c:v>201</c:v>
                      </c:pt>
                    </c:numCache>
                  </c:numRef>
                </c:yVal>
                <c:smooth val="0"/>
                <c:extLst xmlns:c15="http://schemas.microsoft.com/office/drawing/2012/chart">
                  <c:ext xmlns:c16="http://schemas.microsoft.com/office/drawing/2014/chart" uri="{C3380CC4-5D6E-409C-BE32-E72D297353CC}">
                    <c16:uniqueId val="{00000001-7F44-4567-BC36-E7030EBA5824}"/>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Tabelle'!$C$6:$V$6</c15:sqref>
                        </c15:formulaRef>
                      </c:ext>
                    </c:extLst>
                    <c:numCache>
                      <c:formatCode>General</c:formatCode>
                      <c:ptCount val="20"/>
                      <c:pt idx="0">
                        <c:v>36.5</c:v>
                      </c:pt>
                      <c:pt idx="1">
                        <c:v>41.9</c:v>
                      </c:pt>
                      <c:pt idx="2">
                        <c:v>48.5</c:v>
                      </c:pt>
                      <c:pt idx="3">
                        <c:v>54.9</c:v>
                      </c:pt>
                      <c:pt idx="4">
                        <c:v>61.3</c:v>
                      </c:pt>
                      <c:pt idx="5">
                        <c:v>67.599999999999994</c:v>
                      </c:pt>
                      <c:pt idx="6">
                        <c:v>73.7</c:v>
                      </c:pt>
                      <c:pt idx="7">
                        <c:v>79.8</c:v>
                      </c:pt>
                      <c:pt idx="8">
                        <c:v>97.4</c:v>
                      </c:pt>
                      <c:pt idx="9">
                        <c:v>114</c:v>
                      </c:pt>
                      <c:pt idx="10">
                        <c:v>125</c:v>
                      </c:pt>
                      <c:pt idx="11">
                        <c:v>135</c:v>
                      </c:pt>
                      <c:pt idx="12">
                        <c:v>147</c:v>
                      </c:pt>
                      <c:pt idx="13">
                        <c:v>180</c:v>
                      </c:pt>
                      <c:pt idx="14">
                        <c:v>213</c:v>
                      </c:pt>
                      <c:pt idx="15">
                        <c:v>234</c:v>
                      </c:pt>
                      <c:pt idx="16">
                        <c:v>256</c:v>
                      </c:pt>
                      <c:pt idx="17">
                        <c:v>289</c:v>
                      </c:pt>
                      <c:pt idx="18">
                        <c:v>323</c:v>
                      </c:pt>
                      <c:pt idx="19">
                        <c:v>345</c:v>
                      </c:pt>
                    </c:numCache>
                  </c:numRef>
                </c:yVal>
                <c:smooth val="0"/>
                <c:extLst xmlns:c15="http://schemas.microsoft.com/office/drawing/2012/chart">
                  <c:ext xmlns:c16="http://schemas.microsoft.com/office/drawing/2014/chart" uri="{C3380CC4-5D6E-409C-BE32-E72D297353CC}">
                    <c16:uniqueId val="{0000000B-7F44-4567-BC36-E7030EBA5824}"/>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Tabelle'!$C$7:$V$7</c15:sqref>
                        </c15:formulaRef>
                      </c:ext>
                    </c:extLst>
                    <c:numCache>
                      <c:formatCode>General</c:formatCode>
                      <c:ptCount val="20"/>
                      <c:pt idx="0">
                        <c:v>45.1</c:v>
                      </c:pt>
                      <c:pt idx="1">
                        <c:v>51.7</c:v>
                      </c:pt>
                      <c:pt idx="2">
                        <c:v>59.9</c:v>
                      </c:pt>
                      <c:pt idx="3">
                        <c:v>67.900000000000006</c:v>
                      </c:pt>
                      <c:pt idx="4">
                        <c:v>75.8</c:v>
                      </c:pt>
                      <c:pt idx="5">
                        <c:v>83.5</c:v>
                      </c:pt>
                      <c:pt idx="6">
                        <c:v>91.1</c:v>
                      </c:pt>
                      <c:pt idx="7">
                        <c:v>98.6</c:v>
                      </c:pt>
                      <c:pt idx="8">
                        <c:v>120</c:v>
                      </c:pt>
                      <c:pt idx="9">
                        <c:v>141</c:v>
                      </c:pt>
                      <c:pt idx="10">
                        <c:v>154</c:v>
                      </c:pt>
                      <c:pt idx="11">
                        <c:v>167</c:v>
                      </c:pt>
                      <c:pt idx="12">
                        <c:v>179</c:v>
                      </c:pt>
                      <c:pt idx="13">
                        <c:v>219</c:v>
                      </c:pt>
                      <c:pt idx="14">
                        <c:v>259</c:v>
                      </c:pt>
                      <c:pt idx="15">
                        <c:v>285</c:v>
                      </c:pt>
                      <c:pt idx="16">
                        <c:v>312</c:v>
                      </c:pt>
                      <c:pt idx="17">
                        <c:v>352</c:v>
                      </c:pt>
                      <c:pt idx="18">
                        <c:v>392</c:v>
                      </c:pt>
                      <c:pt idx="19">
                        <c:v>420</c:v>
                      </c:pt>
                    </c:numCache>
                  </c:numRef>
                </c:yVal>
                <c:smooth val="0"/>
                <c:extLst xmlns:c15="http://schemas.microsoft.com/office/drawing/2012/chart">
                  <c:ext xmlns:c16="http://schemas.microsoft.com/office/drawing/2014/chart" uri="{C3380CC4-5D6E-409C-BE32-E72D297353CC}">
                    <c16:uniqueId val="{0000000C-7F44-4567-BC36-E7030EBA5824}"/>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Tabelle'!$C$8:$V$8</c15:sqref>
                        </c15:formulaRef>
                      </c:ext>
                    </c:extLst>
                    <c:numCache>
                      <c:formatCode>General</c:formatCode>
                      <c:ptCount val="20"/>
                      <c:pt idx="0">
                        <c:v>53.5</c:v>
                      </c:pt>
                      <c:pt idx="1">
                        <c:v>61.3</c:v>
                      </c:pt>
                      <c:pt idx="2">
                        <c:v>71</c:v>
                      </c:pt>
                      <c:pt idx="3">
                        <c:v>80.5</c:v>
                      </c:pt>
                      <c:pt idx="4">
                        <c:v>89.8</c:v>
                      </c:pt>
                      <c:pt idx="5">
                        <c:v>99</c:v>
                      </c:pt>
                      <c:pt idx="6">
                        <c:v>108</c:v>
                      </c:pt>
                      <c:pt idx="7">
                        <c:v>117</c:v>
                      </c:pt>
                      <c:pt idx="8">
                        <c:v>143</c:v>
                      </c:pt>
                      <c:pt idx="9">
                        <c:v>167</c:v>
                      </c:pt>
                      <c:pt idx="10">
                        <c:v>183</c:v>
                      </c:pt>
                      <c:pt idx="11">
                        <c:v>198</c:v>
                      </c:pt>
                      <c:pt idx="12">
                        <c:v>210</c:v>
                      </c:pt>
                      <c:pt idx="13">
                        <c:v>256</c:v>
                      </c:pt>
                      <c:pt idx="14">
                        <c:v>303</c:v>
                      </c:pt>
                      <c:pt idx="15">
                        <c:v>334</c:v>
                      </c:pt>
                      <c:pt idx="16">
                        <c:v>365</c:v>
                      </c:pt>
                      <c:pt idx="17">
                        <c:v>412</c:v>
                      </c:pt>
                      <c:pt idx="18">
                        <c:v>459</c:v>
                      </c:pt>
                      <c:pt idx="19">
                        <c:v>491</c:v>
                      </c:pt>
                    </c:numCache>
                  </c:numRef>
                </c:yVal>
                <c:smooth val="0"/>
                <c:extLst xmlns:c15="http://schemas.microsoft.com/office/drawing/2012/chart">
                  <c:ext xmlns:c16="http://schemas.microsoft.com/office/drawing/2014/chart" uri="{C3380CC4-5D6E-409C-BE32-E72D297353CC}">
                    <c16:uniqueId val="{0000000D-7F44-4567-BC36-E7030EBA5824}"/>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2-7F44-4567-BC36-E7030EBA5824}"/>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F-7F44-4567-BC36-E7030EBA5824}"/>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10-7F44-4567-BC36-E7030EBA5824}"/>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1-7F44-4567-BC36-E7030EBA5824}"/>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Tabelle'!$C$3:$AB$3</c15:sqref>
                        </c15:formulaRef>
                      </c:ext>
                    </c:extLst>
                    <c:numCache>
                      <c:formatCode>General</c:formatCode>
                      <c:ptCount val="26"/>
                      <c:pt idx="0">
                        <c:v>17.5</c:v>
                      </c:pt>
                      <c:pt idx="1">
                        <c:v>25.6</c:v>
                      </c:pt>
                      <c:pt idx="2">
                        <c:v>33</c:v>
                      </c:pt>
                      <c:pt idx="3">
                        <c:v>40.1</c:v>
                      </c:pt>
                      <c:pt idx="4">
                        <c:v>44</c:v>
                      </c:pt>
                      <c:pt idx="5">
                        <c:v>46.1</c:v>
                      </c:pt>
                      <c:pt idx="6">
                        <c:v>47.1</c:v>
                      </c:pt>
                      <c:pt idx="7">
                        <c:v>48.9</c:v>
                      </c:pt>
                      <c:pt idx="8">
                        <c:v>51</c:v>
                      </c:pt>
                      <c:pt idx="9">
                        <c:v>52.4</c:v>
                      </c:pt>
                      <c:pt idx="10">
                        <c:v>57.6</c:v>
                      </c:pt>
                      <c:pt idx="11">
                        <c:v>58</c:v>
                      </c:pt>
                      <c:pt idx="12">
                        <c:v>60.1</c:v>
                      </c:pt>
                      <c:pt idx="13">
                        <c:v>65.099999999999994</c:v>
                      </c:pt>
                      <c:pt idx="14">
                        <c:v>66.5</c:v>
                      </c:pt>
                      <c:pt idx="15">
                        <c:v>70</c:v>
                      </c:pt>
                      <c:pt idx="16">
                        <c:v>75.2</c:v>
                      </c:pt>
                      <c:pt idx="17">
                        <c:v>89.5</c:v>
                      </c:pt>
                      <c:pt idx="18">
                        <c:v>111.4</c:v>
                      </c:pt>
                      <c:pt idx="19">
                        <c:v>123.1</c:v>
                      </c:pt>
                      <c:pt idx="20">
                        <c:v>134.1</c:v>
                      </c:pt>
                      <c:pt idx="21">
                        <c:v>138.4</c:v>
                      </c:pt>
                      <c:pt idx="22">
                        <c:v>149.80000000000001</c:v>
                      </c:pt>
                      <c:pt idx="23">
                        <c:v>154.19999999999999</c:v>
                      </c:pt>
                      <c:pt idx="24">
                        <c:v>165.9</c:v>
                      </c:pt>
                      <c:pt idx="25">
                        <c:v>190.9</c:v>
                      </c:pt>
                    </c:numCache>
                  </c:numRef>
                </c:yVal>
                <c:smooth val="0"/>
                <c:extLst xmlns:c15="http://schemas.microsoft.com/office/drawing/2012/chart">
                  <c:ext xmlns:c16="http://schemas.microsoft.com/office/drawing/2014/chart" uri="{C3380CC4-5D6E-409C-BE32-E72D297353CC}">
                    <c16:uniqueId val="{00000003-7F44-4567-BC36-E7030EBA5824}"/>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Tabelle'!$C$5:$AB$5</c15:sqref>
                        </c15:formulaRef>
                      </c:ext>
                    </c:extLst>
                    <c:numCache>
                      <c:formatCode>General</c:formatCode>
                      <c:ptCount val="26"/>
                      <c:pt idx="0">
                        <c:v>32</c:v>
                      </c:pt>
                      <c:pt idx="1">
                        <c:v>46.8</c:v>
                      </c:pt>
                      <c:pt idx="2">
                        <c:v>59.8</c:v>
                      </c:pt>
                      <c:pt idx="3">
                        <c:v>72.400000000000006</c:v>
                      </c:pt>
                      <c:pt idx="4">
                        <c:v>79.3</c:v>
                      </c:pt>
                      <c:pt idx="5">
                        <c:v>83</c:v>
                      </c:pt>
                      <c:pt idx="6">
                        <c:v>84.7</c:v>
                      </c:pt>
                      <c:pt idx="7">
                        <c:v>87.9</c:v>
                      </c:pt>
                      <c:pt idx="8">
                        <c:v>91.6</c:v>
                      </c:pt>
                      <c:pt idx="9">
                        <c:v>94</c:v>
                      </c:pt>
                      <c:pt idx="10">
                        <c:v>102.9</c:v>
                      </c:pt>
                      <c:pt idx="11">
                        <c:v>103.6</c:v>
                      </c:pt>
                      <c:pt idx="12">
                        <c:v>107.2</c:v>
                      </c:pt>
                      <c:pt idx="13">
                        <c:v>115.6</c:v>
                      </c:pt>
                      <c:pt idx="14">
                        <c:v>118</c:v>
                      </c:pt>
                      <c:pt idx="15">
                        <c:v>123.9</c:v>
                      </c:pt>
                      <c:pt idx="16">
                        <c:v>132.69999999999999</c:v>
                      </c:pt>
                      <c:pt idx="17">
                        <c:v>156.19999999999999</c:v>
                      </c:pt>
                      <c:pt idx="18">
                        <c:v>191.4</c:v>
                      </c:pt>
                      <c:pt idx="19">
                        <c:v>209.7</c:v>
                      </c:pt>
                      <c:pt idx="20">
                        <c:v>226.6</c:v>
                      </c:pt>
                      <c:pt idx="21">
                        <c:v>233.3</c:v>
                      </c:pt>
                      <c:pt idx="22">
                        <c:v>250.3</c:v>
                      </c:pt>
                      <c:pt idx="23">
                        <c:v>256.89999999999998</c:v>
                      </c:pt>
                      <c:pt idx="24">
                        <c:v>274.10000000000002</c:v>
                      </c:pt>
                      <c:pt idx="25">
                        <c:v>310.2</c:v>
                      </c:pt>
                    </c:numCache>
                  </c:numRef>
                </c:yVal>
                <c:smooth val="0"/>
                <c:extLst xmlns:c15="http://schemas.microsoft.com/office/drawing/2012/chart">
                  <c:ext xmlns:c16="http://schemas.microsoft.com/office/drawing/2014/chart" uri="{C3380CC4-5D6E-409C-BE32-E72D297353CC}">
                    <c16:uniqueId val="{00000013-7F44-4567-BC36-E7030EBA5824}"/>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Tabelle'!$C$6:$AB$6</c15:sqref>
                        </c15:formulaRef>
                      </c:ext>
                    </c:extLst>
                    <c:numCache>
                      <c:formatCode>General</c:formatCode>
                      <c:ptCount val="26"/>
                      <c:pt idx="0">
                        <c:v>39.700000000000003</c:v>
                      </c:pt>
                      <c:pt idx="1">
                        <c:v>56.5</c:v>
                      </c:pt>
                      <c:pt idx="2">
                        <c:v>72.400000000000006</c:v>
                      </c:pt>
                      <c:pt idx="3">
                        <c:v>87.7</c:v>
                      </c:pt>
                      <c:pt idx="4">
                        <c:v>96.2</c:v>
                      </c:pt>
                      <c:pt idx="5">
                        <c:v>100.7</c:v>
                      </c:pt>
                      <c:pt idx="6">
                        <c:v>102.7</c:v>
                      </c:pt>
                      <c:pt idx="7">
                        <c:v>106.6</c:v>
                      </c:pt>
                      <c:pt idx="8">
                        <c:v>111</c:v>
                      </c:pt>
                      <c:pt idx="9">
                        <c:v>114</c:v>
                      </c:pt>
                      <c:pt idx="10">
                        <c:v>124.8</c:v>
                      </c:pt>
                      <c:pt idx="11">
                        <c:v>125.7</c:v>
                      </c:pt>
                      <c:pt idx="12">
                        <c:v>130</c:v>
                      </c:pt>
                      <c:pt idx="13">
                        <c:v>140.1</c:v>
                      </c:pt>
                      <c:pt idx="14">
                        <c:v>143</c:v>
                      </c:pt>
                      <c:pt idx="15">
                        <c:v>150.1</c:v>
                      </c:pt>
                      <c:pt idx="16">
                        <c:v>160.6</c:v>
                      </c:pt>
                      <c:pt idx="17">
                        <c:v>188.8</c:v>
                      </c:pt>
                      <c:pt idx="18">
                        <c:v>230.4</c:v>
                      </c:pt>
                      <c:pt idx="19">
                        <c:v>251.9</c:v>
                      </c:pt>
                      <c:pt idx="20">
                        <c:v>271.60000000000002</c:v>
                      </c:pt>
                      <c:pt idx="21">
                        <c:v>279.3</c:v>
                      </c:pt>
                      <c:pt idx="22">
                        <c:v>299</c:v>
                      </c:pt>
                      <c:pt idx="23">
                        <c:v>306.7</c:v>
                      </c:pt>
                      <c:pt idx="24">
                        <c:v>326.39999999999998</c:v>
                      </c:pt>
                      <c:pt idx="25">
                        <c:v>367.4</c:v>
                      </c:pt>
                    </c:numCache>
                  </c:numRef>
                </c:yVal>
                <c:smooth val="0"/>
                <c:extLst xmlns:c15="http://schemas.microsoft.com/office/drawing/2012/chart">
                  <c:ext xmlns:c16="http://schemas.microsoft.com/office/drawing/2014/chart" uri="{C3380CC4-5D6E-409C-BE32-E72D297353CC}">
                    <c16:uniqueId val="{00000014-7F44-4567-BC36-E7030EBA5824}"/>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Tabelle'!$C$7:$AB$7</c15:sqref>
                        </c15:formulaRef>
                      </c:ext>
                    </c:extLst>
                    <c:numCache>
                      <c:formatCode>General</c:formatCode>
                      <c:ptCount val="26"/>
                      <c:pt idx="0">
                        <c:v>48.7</c:v>
                      </c:pt>
                      <c:pt idx="1">
                        <c:v>67.7</c:v>
                      </c:pt>
                      <c:pt idx="2">
                        <c:v>87.3</c:v>
                      </c:pt>
                      <c:pt idx="3">
                        <c:v>106.2</c:v>
                      </c:pt>
                      <c:pt idx="4">
                        <c:v>116.5</c:v>
                      </c:pt>
                      <c:pt idx="5">
                        <c:v>121.9</c:v>
                      </c:pt>
                      <c:pt idx="6">
                        <c:v>124.5</c:v>
                      </c:pt>
                      <c:pt idx="7">
                        <c:v>129.1</c:v>
                      </c:pt>
                      <c:pt idx="8">
                        <c:v>134.5</c:v>
                      </c:pt>
                      <c:pt idx="9">
                        <c:v>138</c:v>
                      </c:pt>
                      <c:pt idx="10">
                        <c:v>150.9</c:v>
                      </c:pt>
                      <c:pt idx="11">
                        <c:v>152</c:v>
                      </c:pt>
                      <c:pt idx="12">
                        <c:v>157.1</c:v>
                      </c:pt>
                      <c:pt idx="13">
                        <c:v>169</c:v>
                      </c:pt>
                      <c:pt idx="14">
                        <c:v>172.4</c:v>
                      </c:pt>
                      <c:pt idx="15">
                        <c:v>180.7</c:v>
                      </c:pt>
                      <c:pt idx="16">
                        <c:v>192.9</c:v>
                      </c:pt>
                      <c:pt idx="17">
                        <c:v>224.7</c:v>
                      </c:pt>
                      <c:pt idx="18">
                        <c:v>270</c:v>
                      </c:pt>
                      <c:pt idx="19">
                        <c:v>292.5</c:v>
                      </c:pt>
                      <c:pt idx="20">
                        <c:v>312.7</c:v>
                      </c:pt>
                      <c:pt idx="21">
                        <c:v>320.39999999999998</c:v>
                      </c:pt>
                      <c:pt idx="22">
                        <c:v>339.8</c:v>
                      </c:pt>
                      <c:pt idx="23">
                        <c:v>347.2</c:v>
                      </c:pt>
                      <c:pt idx="24">
                        <c:v>366</c:v>
                      </c:pt>
                      <c:pt idx="25">
                        <c:v>403.4</c:v>
                      </c:pt>
                    </c:numCache>
                  </c:numRef>
                </c:yVal>
                <c:smooth val="0"/>
                <c:extLst xmlns:c15="http://schemas.microsoft.com/office/drawing/2012/chart">
                  <c:ext xmlns:c16="http://schemas.microsoft.com/office/drawing/2014/chart" uri="{C3380CC4-5D6E-409C-BE32-E72D297353CC}">
                    <c16:uniqueId val="{00000015-7F44-4567-BC36-E7030EBA5824}"/>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04-7F44-4567-BC36-E7030EBA5824}"/>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7F44-4567-BC36-E7030EBA5824}"/>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7F44-4567-BC36-E7030EBA5824}"/>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7F44-4567-BC36-E7030EBA5824}"/>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428025230044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 </a:t>
            </a:r>
            <a:r>
              <a:rPr lang="de-CH" baseline="0"/>
              <a:t> 4-Säule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2"/>
          <c:order val="2"/>
          <c:tx>
            <c:strRef>
              <c:f>'Arbonia Tabelle'!$Y$5</c:f>
              <c:strCache>
                <c:ptCount val="1"/>
                <c:pt idx="0">
                  <c:v>ARB 4-Säule</c:v>
                </c:pt>
              </c:strCache>
              <c:extLst xmlns:c15="http://schemas.microsoft.com/office/drawing/2012/chart"/>
            </c:strRef>
          </c:tx>
          <c:spPr>
            <a:ln w="38100" cap="rnd">
              <a:noFill/>
              <a:round/>
            </a:ln>
            <a:effectLst/>
          </c:spPr>
          <c:marker>
            <c:symbol val="circle"/>
            <c:size val="5"/>
            <c:spPr>
              <a:solidFill>
                <a:schemeClr val="accent3"/>
              </a:solidFill>
              <a:ln w="9525">
                <a:solidFill>
                  <a:schemeClr val="accent3"/>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extLst xmlns:c15="http://schemas.microsoft.com/office/drawing/2012/chart"/>
            </c:numRef>
          </c:xVal>
          <c:yVal>
            <c:numRef>
              <c:f>'Arbonia Tabelle'!$D$5:$X$5</c:f>
              <c:numCache>
                <c:formatCode>General</c:formatCode>
                <c:ptCount val="21"/>
                <c:pt idx="0">
                  <c:v>27</c:v>
                </c:pt>
                <c:pt idx="1">
                  <c:v>36</c:v>
                </c:pt>
                <c:pt idx="2">
                  <c:v>43</c:v>
                </c:pt>
                <c:pt idx="3">
                  <c:v>49</c:v>
                </c:pt>
                <c:pt idx="4">
                  <c:v>56</c:v>
                </c:pt>
                <c:pt idx="5">
                  <c:v>62</c:v>
                </c:pt>
                <c:pt idx="6">
                  <c:v>69</c:v>
                </c:pt>
                <c:pt idx="7">
                  <c:v>75</c:v>
                </c:pt>
                <c:pt idx="8">
                  <c:v>81</c:v>
                </c:pt>
                <c:pt idx="9">
                  <c:v>100</c:v>
                </c:pt>
                <c:pt idx="10">
                  <c:v>117</c:v>
                </c:pt>
                <c:pt idx="11">
                  <c:v>129</c:v>
                </c:pt>
                <c:pt idx="12">
                  <c:v>141</c:v>
                </c:pt>
                <c:pt idx="13">
                  <c:v>152</c:v>
                </c:pt>
                <c:pt idx="14">
                  <c:v>186</c:v>
                </c:pt>
                <c:pt idx="15">
                  <c:v>219</c:v>
                </c:pt>
                <c:pt idx="16">
                  <c:v>241</c:v>
                </c:pt>
                <c:pt idx="17">
                  <c:v>262</c:v>
                </c:pt>
                <c:pt idx="18">
                  <c:v>293</c:v>
                </c:pt>
                <c:pt idx="19">
                  <c:v>323</c:v>
                </c:pt>
                <c:pt idx="20">
                  <c:v>343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7-BBC2-42F0-8F8B-72898AF78465}"/>
            </c:ext>
          </c:extLst>
        </c:ser>
        <c:ser>
          <c:idx val="7"/>
          <c:order val="7"/>
          <c:tx>
            <c:strRef>
              <c:f>'Zehnder Charl. Tabelle'!$W$6</c:f>
              <c:strCache>
                <c:ptCount val="1"/>
                <c:pt idx="0">
                  <c:v>ZEHN 4-Säule</c:v>
                </c:pt>
              </c:strCache>
              <c:extLst xmlns:c15="http://schemas.microsoft.com/office/drawing/2012/chart"/>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Tabelle'!$C$6:$V$6</c:f>
              <c:numCache>
                <c:formatCode>General</c:formatCode>
                <c:ptCount val="20"/>
                <c:pt idx="0">
                  <c:v>36.5</c:v>
                </c:pt>
                <c:pt idx="1">
                  <c:v>41.9</c:v>
                </c:pt>
                <c:pt idx="2">
                  <c:v>48.5</c:v>
                </c:pt>
                <c:pt idx="3">
                  <c:v>54.9</c:v>
                </c:pt>
                <c:pt idx="4">
                  <c:v>61.3</c:v>
                </c:pt>
                <c:pt idx="5">
                  <c:v>67.599999999999994</c:v>
                </c:pt>
                <c:pt idx="6">
                  <c:v>73.7</c:v>
                </c:pt>
                <c:pt idx="7">
                  <c:v>79.8</c:v>
                </c:pt>
                <c:pt idx="8">
                  <c:v>97.4</c:v>
                </c:pt>
                <c:pt idx="9">
                  <c:v>114</c:v>
                </c:pt>
                <c:pt idx="10">
                  <c:v>125</c:v>
                </c:pt>
                <c:pt idx="11">
                  <c:v>135</c:v>
                </c:pt>
                <c:pt idx="12">
                  <c:v>147</c:v>
                </c:pt>
                <c:pt idx="13">
                  <c:v>180</c:v>
                </c:pt>
                <c:pt idx="14">
                  <c:v>213</c:v>
                </c:pt>
                <c:pt idx="15">
                  <c:v>234</c:v>
                </c:pt>
                <c:pt idx="16">
                  <c:v>256</c:v>
                </c:pt>
                <c:pt idx="17">
                  <c:v>289</c:v>
                </c:pt>
                <c:pt idx="18">
                  <c:v>323</c:v>
                </c:pt>
                <c:pt idx="19">
                  <c:v>345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B-BBC2-42F0-8F8B-72898AF78465}"/>
            </c:ext>
          </c:extLst>
        </c:ser>
        <c:ser>
          <c:idx val="8"/>
          <c:order val="12"/>
          <c:tx>
            <c:strRef>
              <c:f>'IRSAP Tabelle'!$AD$5</c:f>
              <c:strCache>
                <c:ptCount val="1"/>
                <c:pt idx="0">
                  <c:v>IRSAP 4-Säule</c:v>
                </c:pt>
              </c:strCache>
              <c:extLst xmlns:c15="http://schemas.microsoft.com/office/drawing/2012/chart"/>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extLst xmlns:c15="http://schemas.microsoft.com/office/drawing/2012/chart"/>
            </c:numRef>
          </c:xVal>
          <c:yVal>
            <c:numRef>
              <c:f>'IRSAP Tabelle'!$C$5:$AC$5</c:f>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F-BBC2-42F0-8F8B-72898AF78465}"/>
            </c:ext>
          </c:extLst>
        </c:ser>
        <c:ser>
          <c:idx val="17"/>
          <c:order val="17"/>
          <c:tx>
            <c:strRef>
              <c:f>'Cordivari Tabelle'!$AC$5</c:f>
              <c:strCache>
                <c:ptCount val="1"/>
                <c:pt idx="0">
                  <c:v>Cordivari 4-Säule</c:v>
                </c:pt>
              </c:strCache>
              <c:extLst xmlns:c15="http://schemas.microsoft.com/office/drawing/2012/chart"/>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Tabelle'!$C$5:$AB$5</c:f>
              <c:numCache>
                <c:formatCode>General</c:formatCode>
                <c:ptCount val="26"/>
                <c:pt idx="0">
                  <c:v>32</c:v>
                </c:pt>
                <c:pt idx="1">
                  <c:v>46.8</c:v>
                </c:pt>
                <c:pt idx="2">
                  <c:v>59.8</c:v>
                </c:pt>
                <c:pt idx="3">
                  <c:v>72.400000000000006</c:v>
                </c:pt>
                <c:pt idx="4">
                  <c:v>79.3</c:v>
                </c:pt>
                <c:pt idx="5">
                  <c:v>83</c:v>
                </c:pt>
                <c:pt idx="6">
                  <c:v>84.7</c:v>
                </c:pt>
                <c:pt idx="7">
                  <c:v>87.9</c:v>
                </c:pt>
                <c:pt idx="8">
                  <c:v>91.6</c:v>
                </c:pt>
                <c:pt idx="9">
                  <c:v>94</c:v>
                </c:pt>
                <c:pt idx="10">
                  <c:v>102.9</c:v>
                </c:pt>
                <c:pt idx="11">
                  <c:v>103.6</c:v>
                </c:pt>
                <c:pt idx="12">
                  <c:v>107.2</c:v>
                </c:pt>
                <c:pt idx="13">
                  <c:v>115.6</c:v>
                </c:pt>
                <c:pt idx="14">
                  <c:v>118</c:v>
                </c:pt>
                <c:pt idx="15">
                  <c:v>123.9</c:v>
                </c:pt>
                <c:pt idx="16">
                  <c:v>132.69999999999999</c:v>
                </c:pt>
                <c:pt idx="17">
                  <c:v>156.19999999999999</c:v>
                </c:pt>
                <c:pt idx="18">
                  <c:v>191.4</c:v>
                </c:pt>
                <c:pt idx="19">
                  <c:v>209.7</c:v>
                </c:pt>
                <c:pt idx="20">
                  <c:v>226.6</c:v>
                </c:pt>
                <c:pt idx="21">
                  <c:v>233.3</c:v>
                </c:pt>
                <c:pt idx="22">
                  <c:v>250.3</c:v>
                </c:pt>
                <c:pt idx="23">
                  <c:v>256.89999999999998</c:v>
                </c:pt>
                <c:pt idx="24">
                  <c:v>274.10000000000002</c:v>
                </c:pt>
                <c:pt idx="25">
                  <c:v>310.2</c:v>
                </c:pt>
              </c:numCache>
              <c:extLst xmlns:c15="http://schemas.microsoft.com/office/drawing/2012/chart"/>
            </c:numRef>
          </c:yVal>
          <c:smooth val="0"/>
          <c:extLst>
            <c:ext xmlns:c16="http://schemas.microsoft.com/office/drawing/2014/chart" uri="{C3380CC4-5D6E-409C-BE32-E72D297353CC}">
              <c16:uniqueId val="{00000013-BBC2-42F0-8F8B-72898AF78465}"/>
            </c:ext>
          </c:extLst>
        </c:ser>
        <c:ser>
          <c:idx val="22"/>
          <c:order val="22"/>
          <c:tx>
            <c:strRef>
              <c:f>'FIR Iron'!$AD$5</c:f>
              <c:strCache>
                <c:ptCount val="1"/>
                <c:pt idx="0">
                  <c:v>FIR Iron 4-Säule</c:v>
                </c:pt>
              </c:strCache>
              <c:extLst xmlns:c15="http://schemas.microsoft.com/office/drawing/2012/chart"/>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Iron'!$C$5:$AC$5</c:f>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extLst xmlns:c15="http://schemas.microsoft.com/office/drawing/2012/chart"/>
            </c:numRef>
          </c:yVal>
          <c:smooth val="0"/>
          <c:extLst>
            <c:ext xmlns:c16="http://schemas.microsoft.com/office/drawing/2014/chart" uri="{C3380CC4-5D6E-409C-BE32-E72D297353CC}">
              <c16:uniqueId val="{00000017-BBC2-42F0-8F8B-72898AF78465}"/>
            </c:ext>
          </c:extLst>
        </c:ser>
        <c:ser>
          <c:idx val="25"/>
          <c:order val="25"/>
          <c:tx>
            <c:strRef>
              <c:f>'Leistung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'Leistung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'Leistung alle'!$B$87:$U$87</c:f>
              <c:numCache>
                <c:formatCode>0.0</c:formatCode>
                <c:ptCount val="20"/>
                <c:pt idx="0">
                  <c:v>36.25</c:v>
                </c:pt>
                <c:pt idx="1">
                  <c:v>43.872</c:v>
                </c:pt>
                <c:pt idx="2">
                  <c:v>49.484999999999999</c:v>
                </c:pt>
                <c:pt idx="3">
                  <c:v>56.739999999999995</c:v>
                </c:pt>
                <c:pt idx="4">
                  <c:v>62.195</c:v>
                </c:pt>
                <c:pt idx="5">
                  <c:v>69.355999999999995</c:v>
                </c:pt>
                <c:pt idx="6">
                  <c:v>75.605999999999995</c:v>
                </c:pt>
                <c:pt idx="7">
                  <c:v>81.524000000000001</c:v>
                </c:pt>
                <c:pt idx="8">
                  <c:v>99.65</c:v>
                </c:pt>
                <c:pt idx="9">
                  <c:v>116.05500000000001</c:v>
                </c:pt>
                <c:pt idx="10">
                  <c:v>128.65399999999997</c:v>
                </c:pt>
                <c:pt idx="11">
                  <c:v>139.46</c:v>
                </c:pt>
                <c:pt idx="12">
                  <c:v>151.608</c:v>
                </c:pt>
                <c:pt idx="13">
                  <c:v>185.79000000000002</c:v>
                </c:pt>
                <c:pt idx="14">
                  <c:v>219.70400000000001</c:v>
                </c:pt>
                <c:pt idx="15">
                  <c:v>242.15200000000004</c:v>
                </c:pt>
                <c:pt idx="16">
                  <c:v>264.60599999999999</c:v>
                </c:pt>
                <c:pt idx="17">
                  <c:v>298.26</c:v>
                </c:pt>
                <c:pt idx="18">
                  <c:v>329.60666666666663</c:v>
                </c:pt>
                <c:pt idx="19">
                  <c:v>351.75</c:v>
                </c:pt>
              </c:numCache>
            </c:numRef>
          </c:yVal>
          <c:smooth val="0"/>
          <c:extLst>
            <c:ext xmlns:c16="http://schemas.microsoft.com/office/drawing/2014/chart" uri="{C3380CC4-5D6E-409C-BE32-E72D297353CC}">
              <c16:uniqueId val="{00000005-BBC2-42F0-8F8B-72898AF78465}"/>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Tabelle'!$D$3:$X$3</c15:sqref>
                        </c15:formulaRef>
                      </c:ext>
                    </c:extLst>
                    <c:numCache>
                      <c:formatCode>General</c:formatCode>
                      <c:ptCount val="21"/>
                      <c:pt idx="0">
                        <c:v>15</c:v>
                      </c:pt>
                      <c:pt idx="1">
                        <c:v>20</c:v>
                      </c:pt>
                      <c:pt idx="2">
                        <c:v>24</c:v>
                      </c:pt>
                      <c:pt idx="3">
                        <c:v>28</c:v>
                      </c:pt>
                      <c:pt idx="4">
                        <c:v>31</c:v>
                      </c:pt>
                      <c:pt idx="5">
                        <c:v>35</c:v>
                      </c:pt>
                      <c:pt idx="6">
                        <c:v>39</c:v>
                      </c:pt>
                      <c:pt idx="7">
                        <c:v>42</c:v>
                      </c:pt>
                      <c:pt idx="8">
                        <c:v>46</c:v>
                      </c:pt>
                      <c:pt idx="9">
                        <c:v>57</c:v>
                      </c:pt>
                      <c:pt idx="10">
                        <c:v>67</c:v>
                      </c:pt>
                      <c:pt idx="11">
                        <c:v>74</c:v>
                      </c:pt>
                      <c:pt idx="12">
                        <c:v>81</c:v>
                      </c:pt>
                      <c:pt idx="13">
                        <c:v>88</c:v>
                      </c:pt>
                      <c:pt idx="14">
                        <c:v>109</c:v>
                      </c:pt>
                      <c:pt idx="15">
                        <c:v>130</c:v>
                      </c:pt>
                      <c:pt idx="16">
                        <c:v>144</c:v>
                      </c:pt>
                      <c:pt idx="17">
                        <c:v>158</c:v>
                      </c:pt>
                      <c:pt idx="18">
                        <c:v>179</c:v>
                      </c:pt>
                      <c:pt idx="19">
                        <c:v>200</c:v>
                      </c:pt>
                      <c:pt idx="20">
                        <c:v>214</c:v>
                      </c:pt>
                    </c:numCache>
                  </c:numRef>
                </c:yVal>
                <c:smooth val="0"/>
                <c:extLst>
                  <c:ext xmlns:c16="http://schemas.microsoft.com/office/drawing/2014/chart" uri="{C3380CC4-5D6E-409C-BE32-E72D297353CC}">
                    <c16:uniqueId val="{00000000-BBC2-42F0-8F8B-72898AF78465}"/>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Tabelle'!$D$4:$X$4</c15:sqref>
                        </c15:formulaRef>
                      </c:ext>
                    </c:extLst>
                    <c:numCache>
                      <c:formatCode>General</c:formatCode>
                      <c:ptCount val="21"/>
                      <c:pt idx="0">
                        <c:v>20</c:v>
                      </c:pt>
                      <c:pt idx="1">
                        <c:v>28</c:v>
                      </c:pt>
                      <c:pt idx="2">
                        <c:v>33</c:v>
                      </c:pt>
                      <c:pt idx="3">
                        <c:v>38</c:v>
                      </c:pt>
                      <c:pt idx="4">
                        <c:v>43</c:v>
                      </c:pt>
                      <c:pt idx="5">
                        <c:v>48</c:v>
                      </c:pt>
                      <c:pt idx="6">
                        <c:v>53</c:v>
                      </c:pt>
                      <c:pt idx="7">
                        <c:v>58</c:v>
                      </c:pt>
                      <c:pt idx="8">
                        <c:v>63</c:v>
                      </c:pt>
                      <c:pt idx="9">
                        <c:v>78</c:v>
                      </c:pt>
                      <c:pt idx="10">
                        <c:v>92</c:v>
                      </c:pt>
                      <c:pt idx="11">
                        <c:v>102</c:v>
                      </c:pt>
                      <c:pt idx="12">
                        <c:v>111</c:v>
                      </c:pt>
                      <c:pt idx="13">
                        <c:v>120</c:v>
                      </c:pt>
                      <c:pt idx="14">
                        <c:v>147</c:v>
                      </c:pt>
                      <c:pt idx="15">
                        <c:v>173</c:v>
                      </c:pt>
                      <c:pt idx="16">
                        <c:v>190</c:v>
                      </c:pt>
                      <c:pt idx="17">
                        <c:v>207</c:v>
                      </c:pt>
                      <c:pt idx="18">
                        <c:v>231</c:v>
                      </c:pt>
                      <c:pt idx="19">
                        <c:v>255</c:v>
                      </c:pt>
                      <c:pt idx="20">
                        <c:v>270</c:v>
                      </c:pt>
                    </c:numCache>
                  </c:numRef>
                </c:yVal>
                <c:smooth val="0"/>
                <c:extLst xmlns:c15="http://schemas.microsoft.com/office/drawing/2012/chart">
                  <c:ext xmlns:c16="http://schemas.microsoft.com/office/drawing/2014/chart" uri="{C3380CC4-5D6E-409C-BE32-E72D297353CC}">
                    <c16:uniqueId val="{00000006-BBC2-42F0-8F8B-72898AF78465}"/>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Tabelle'!$D$6:$X$6</c15:sqref>
                        </c15:formulaRef>
                      </c:ext>
                    </c:extLst>
                    <c:numCache>
                      <c:formatCode>General</c:formatCode>
                      <c:ptCount val="21"/>
                      <c:pt idx="0">
                        <c:v>0</c:v>
                      </c:pt>
                      <c:pt idx="1">
                        <c:v>45</c:v>
                      </c:pt>
                      <c:pt idx="2">
                        <c:v>53</c:v>
                      </c:pt>
                      <c:pt idx="3">
                        <c:v>61</c:v>
                      </c:pt>
                      <c:pt idx="4">
                        <c:v>69</c:v>
                      </c:pt>
                      <c:pt idx="5">
                        <c:v>77</c:v>
                      </c:pt>
                      <c:pt idx="6">
                        <c:v>85</c:v>
                      </c:pt>
                      <c:pt idx="7">
                        <c:v>93</c:v>
                      </c:pt>
                      <c:pt idx="8">
                        <c:v>100</c:v>
                      </c:pt>
                      <c:pt idx="9">
                        <c:v>123</c:v>
                      </c:pt>
                      <c:pt idx="10">
                        <c:v>144</c:v>
                      </c:pt>
                      <c:pt idx="11">
                        <c:v>158</c:v>
                      </c:pt>
                      <c:pt idx="12">
                        <c:v>172</c:v>
                      </c:pt>
                      <c:pt idx="13">
                        <c:v>186</c:v>
                      </c:pt>
                      <c:pt idx="14">
                        <c:v>225</c:v>
                      </c:pt>
                      <c:pt idx="15">
                        <c:v>263</c:v>
                      </c:pt>
                      <c:pt idx="16">
                        <c:v>287</c:v>
                      </c:pt>
                      <c:pt idx="17">
                        <c:v>310</c:v>
                      </c:pt>
                      <c:pt idx="18">
                        <c:v>343</c:v>
                      </c:pt>
                      <c:pt idx="19">
                        <c:v>374</c:v>
                      </c:pt>
                      <c:pt idx="20">
                        <c:v>394</c:v>
                      </c:pt>
                    </c:numCache>
                  </c:numRef>
                </c:yVal>
                <c:smooth val="0"/>
                <c:extLst xmlns:c15="http://schemas.microsoft.com/office/drawing/2012/chart">
                  <c:ext xmlns:c16="http://schemas.microsoft.com/office/drawing/2014/chart" uri="{C3380CC4-5D6E-409C-BE32-E72D297353CC}">
                    <c16:uniqueId val="{00000008-BBC2-42F0-8F8B-72898AF78465}"/>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Tabelle'!$D$7:$X$7</c15:sqref>
                        </c15:formulaRef>
                      </c:ext>
                    </c:extLst>
                    <c:numCache>
                      <c:formatCode>General</c:formatCode>
                      <c:ptCount val="21"/>
                      <c:pt idx="0">
                        <c:v>0</c:v>
                      </c:pt>
                      <c:pt idx="1">
                        <c:v>53</c:v>
                      </c:pt>
                      <c:pt idx="2">
                        <c:v>62</c:v>
                      </c:pt>
                      <c:pt idx="3">
                        <c:v>72</c:v>
                      </c:pt>
                      <c:pt idx="4">
                        <c:v>81</c:v>
                      </c:pt>
                      <c:pt idx="5">
                        <c:v>90</c:v>
                      </c:pt>
                      <c:pt idx="6">
                        <c:v>99</c:v>
                      </c:pt>
                      <c:pt idx="7">
                        <c:v>108</c:v>
                      </c:pt>
                      <c:pt idx="8">
                        <c:v>117</c:v>
                      </c:pt>
                      <c:pt idx="9">
                        <c:v>143</c:v>
                      </c:pt>
                      <c:pt idx="10">
                        <c:v>168</c:v>
                      </c:pt>
                      <c:pt idx="11">
                        <c:v>185</c:v>
                      </c:pt>
                      <c:pt idx="12">
                        <c:v>201</c:v>
                      </c:pt>
                      <c:pt idx="13">
                        <c:v>217</c:v>
                      </c:pt>
                      <c:pt idx="14">
                        <c:v>264</c:v>
                      </c:pt>
                      <c:pt idx="15">
                        <c:v>309</c:v>
                      </c:pt>
                      <c:pt idx="16">
                        <c:v>339</c:v>
                      </c:pt>
                      <c:pt idx="17">
                        <c:v>367</c:v>
                      </c:pt>
                      <c:pt idx="18">
                        <c:v>408</c:v>
                      </c:pt>
                      <c:pt idx="19">
                        <c:v>448</c:v>
                      </c:pt>
                      <c:pt idx="20">
                        <c:v>474</c:v>
                      </c:pt>
                    </c:numCache>
                  </c:numRef>
                </c:yVal>
                <c:smooth val="0"/>
                <c:extLst xmlns:c15="http://schemas.microsoft.com/office/drawing/2012/chart">
                  <c:ext xmlns:c16="http://schemas.microsoft.com/office/drawing/2014/chart" uri="{C3380CC4-5D6E-409C-BE32-E72D297353CC}">
                    <c16:uniqueId val="{00000009-BBC2-42F0-8F8B-72898AF78465}"/>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Tabelle'!$C$4:$V$4</c15:sqref>
                        </c15:formulaRef>
                      </c:ext>
                    </c:extLst>
                    <c:numCache>
                      <c:formatCode>General</c:formatCode>
                      <c:ptCount val="20"/>
                      <c:pt idx="0">
                        <c:v>21.1</c:v>
                      </c:pt>
                      <c:pt idx="1">
                        <c:v>23.6</c:v>
                      </c:pt>
                      <c:pt idx="2">
                        <c:v>27.5</c:v>
                      </c:pt>
                      <c:pt idx="3">
                        <c:v>31.2</c:v>
                      </c:pt>
                      <c:pt idx="4">
                        <c:v>34.9</c:v>
                      </c:pt>
                      <c:pt idx="5">
                        <c:v>38.4</c:v>
                      </c:pt>
                      <c:pt idx="6">
                        <c:v>41.9</c:v>
                      </c:pt>
                      <c:pt idx="7">
                        <c:v>45.3</c:v>
                      </c:pt>
                      <c:pt idx="8">
                        <c:v>55</c:v>
                      </c:pt>
                      <c:pt idx="9">
                        <c:v>63.9</c:v>
                      </c:pt>
                      <c:pt idx="10">
                        <c:v>69.5</c:v>
                      </c:pt>
                      <c:pt idx="11">
                        <c:v>74.7</c:v>
                      </c:pt>
                      <c:pt idx="12">
                        <c:v>82.7</c:v>
                      </c:pt>
                      <c:pt idx="13">
                        <c:v>104</c:v>
                      </c:pt>
                      <c:pt idx="14">
                        <c:v>124</c:v>
                      </c:pt>
                      <c:pt idx="15">
                        <c:v>138</c:v>
                      </c:pt>
                      <c:pt idx="16">
                        <c:v>151</c:v>
                      </c:pt>
                      <c:pt idx="17">
                        <c:v>171</c:v>
                      </c:pt>
                      <c:pt idx="18">
                        <c:v>189</c:v>
                      </c:pt>
                      <c:pt idx="19">
                        <c:v>201</c:v>
                      </c:pt>
                    </c:numCache>
                  </c:numRef>
                </c:yVal>
                <c:smooth val="0"/>
                <c:extLst xmlns:c15="http://schemas.microsoft.com/office/drawing/2012/chart">
                  <c:ext xmlns:c16="http://schemas.microsoft.com/office/drawing/2014/chart" uri="{C3380CC4-5D6E-409C-BE32-E72D297353CC}">
                    <c16:uniqueId val="{00000001-BBC2-42F0-8F8B-72898AF78465}"/>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Tabelle'!$C$5:$V$5</c15:sqref>
                        </c15:formulaRef>
                      </c:ext>
                    </c:extLst>
                    <c:numCache>
                      <c:formatCode>General</c:formatCode>
                      <c:ptCount val="20"/>
                      <c:pt idx="0">
                        <c:v>27.9</c:v>
                      </c:pt>
                      <c:pt idx="1">
                        <c:v>32</c:v>
                      </c:pt>
                      <c:pt idx="2">
                        <c:v>37</c:v>
                      </c:pt>
                      <c:pt idx="3">
                        <c:v>41.9</c:v>
                      </c:pt>
                      <c:pt idx="4">
                        <c:v>46.8</c:v>
                      </c:pt>
                      <c:pt idx="5">
                        <c:v>51.6</c:v>
                      </c:pt>
                      <c:pt idx="6">
                        <c:v>56.3</c:v>
                      </c:pt>
                      <c:pt idx="7">
                        <c:v>60.9</c:v>
                      </c:pt>
                      <c:pt idx="8">
                        <c:v>74.3</c:v>
                      </c:pt>
                      <c:pt idx="9">
                        <c:v>87</c:v>
                      </c:pt>
                      <c:pt idx="10">
                        <c:v>95.1</c:v>
                      </c:pt>
                      <c:pt idx="11">
                        <c:v>103</c:v>
                      </c:pt>
                      <c:pt idx="12">
                        <c:v>115</c:v>
                      </c:pt>
                      <c:pt idx="13">
                        <c:v>140</c:v>
                      </c:pt>
                      <c:pt idx="14">
                        <c:v>166</c:v>
                      </c:pt>
                      <c:pt idx="15">
                        <c:v>183</c:v>
                      </c:pt>
                      <c:pt idx="16">
                        <c:v>200</c:v>
                      </c:pt>
                      <c:pt idx="17">
                        <c:v>225</c:v>
                      </c:pt>
                      <c:pt idx="18">
                        <c:v>251</c:v>
                      </c:pt>
                      <c:pt idx="19">
                        <c:v>269</c:v>
                      </c:pt>
                    </c:numCache>
                  </c:numRef>
                </c:yVal>
                <c:smooth val="0"/>
                <c:extLst xmlns:c15="http://schemas.microsoft.com/office/drawing/2012/chart">
                  <c:ext xmlns:c16="http://schemas.microsoft.com/office/drawing/2014/chart" uri="{C3380CC4-5D6E-409C-BE32-E72D297353CC}">
                    <c16:uniqueId val="{0000000A-BBC2-42F0-8F8B-72898AF78465}"/>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Tabelle'!$C$7:$V$7</c15:sqref>
                        </c15:formulaRef>
                      </c:ext>
                    </c:extLst>
                    <c:numCache>
                      <c:formatCode>General</c:formatCode>
                      <c:ptCount val="20"/>
                      <c:pt idx="0">
                        <c:v>45.1</c:v>
                      </c:pt>
                      <c:pt idx="1">
                        <c:v>51.7</c:v>
                      </c:pt>
                      <c:pt idx="2">
                        <c:v>59.9</c:v>
                      </c:pt>
                      <c:pt idx="3">
                        <c:v>67.900000000000006</c:v>
                      </c:pt>
                      <c:pt idx="4">
                        <c:v>75.8</c:v>
                      </c:pt>
                      <c:pt idx="5">
                        <c:v>83.5</c:v>
                      </c:pt>
                      <c:pt idx="6">
                        <c:v>91.1</c:v>
                      </c:pt>
                      <c:pt idx="7">
                        <c:v>98.6</c:v>
                      </c:pt>
                      <c:pt idx="8">
                        <c:v>120</c:v>
                      </c:pt>
                      <c:pt idx="9">
                        <c:v>141</c:v>
                      </c:pt>
                      <c:pt idx="10">
                        <c:v>154</c:v>
                      </c:pt>
                      <c:pt idx="11">
                        <c:v>167</c:v>
                      </c:pt>
                      <c:pt idx="12">
                        <c:v>179</c:v>
                      </c:pt>
                      <c:pt idx="13">
                        <c:v>219</c:v>
                      </c:pt>
                      <c:pt idx="14">
                        <c:v>259</c:v>
                      </c:pt>
                      <c:pt idx="15">
                        <c:v>285</c:v>
                      </c:pt>
                      <c:pt idx="16">
                        <c:v>312</c:v>
                      </c:pt>
                      <c:pt idx="17">
                        <c:v>352</c:v>
                      </c:pt>
                      <c:pt idx="18">
                        <c:v>392</c:v>
                      </c:pt>
                      <c:pt idx="19">
                        <c:v>420</c:v>
                      </c:pt>
                    </c:numCache>
                  </c:numRef>
                </c:yVal>
                <c:smooth val="0"/>
                <c:extLst xmlns:c15="http://schemas.microsoft.com/office/drawing/2012/chart">
                  <c:ext xmlns:c16="http://schemas.microsoft.com/office/drawing/2014/chart" uri="{C3380CC4-5D6E-409C-BE32-E72D297353CC}">
                    <c16:uniqueId val="{0000000C-BBC2-42F0-8F8B-72898AF78465}"/>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Tabelle'!$C$8:$V$8</c15:sqref>
                        </c15:formulaRef>
                      </c:ext>
                    </c:extLst>
                    <c:numCache>
                      <c:formatCode>General</c:formatCode>
                      <c:ptCount val="20"/>
                      <c:pt idx="0">
                        <c:v>53.5</c:v>
                      </c:pt>
                      <c:pt idx="1">
                        <c:v>61.3</c:v>
                      </c:pt>
                      <c:pt idx="2">
                        <c:v>71</c:v>
                      </c:pt>
                      <c:pt idx="3">
                        <c:v>80.5</c:v>
                      </c:pt>
                      <c:pt idx="4">
                        <c:v>89.8</c:v>
                      </c:pt>
                      <c:pt idx="5">
                        <c:v>99</c:v>
                      </c:pt>
                      <c:pt idx="6">
                        <c:v>108</c:v>
                      </c:pt>
                      <c:pt idx="7">
                        <c:v>117</c:v>
                      </c:pt>
                      <c:pt idx="8">
                        <c:v>143</c:v>
                      </c:pt>
                      <c:pt idx="9">
                        <c:v>167</c:v>
                      </c:pt>
                      <c:pt idx="10">
                        <c:v>183</c:v>
                      </c:pt>
                      <c:pt idx="11">
                        <c:v>198</c:v>
                      </c:pt>
                      <c:pt idx="12">
                        <c:v>210</c:v>
                      </c:pt>
                      <c:pt idx="13">
                        <c:v>256</c:v>
                      </c:pt>
                      <c:pt idx="14">
                        <c:v>303</c:v>
                      </c:pt>
                      <c:pt idx="15">
                        <c:v>334</c:v>
                      </c:pt>
                      <c:pt idx="16">
                        <c:v>365</c:v>
                      </c:pt>
                      <c:pt idx="17">
                        <c:v>412</c:v>
                      </c:pt>
                      <c:pt idx="18">
                        <c:v>459</c:v>
                      </c:pt>
                      <c:pt idx="19">
                        <c:v>491</c:v>
                      </c:pt>
                    </c:numCache>
                  </c:numRef>
                </c:yVal>
                <c:smooth val="0"/>
                <c:extLst xmlns:c15="http://schemas.microsoft.com/office/drawing/2012/chart">
                  <c:ext xmlns:c16="http://schemas.microsoft.com/office/drawing/2014/chart" uri="{C3380CC4-5D6E-409C-BE32-E72D297353CC}">
                    <c16:uniqueId val="{0000000D-BBC2-42F0-8F8B-72898AF78465}"/>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2-BBC2-42F0-8F8B-72898AF78465}"/>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E-BBC2-42F0-8F8B-72898AF78465}"/>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10-BBC2-42F0-8F8B-72898AF78465}"/>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1-BBC2-42F0-8F8B-72898AF78465}"/>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Tabelle'!$C$3:$AB$3</c15:sqref>
                        </c15:formulaRef>
                      </c:ext>
                    </c:extLst>
                    <c:numCache>
                      <c:formatCode>General</c:formatCode>
                      <c:ptCount val="26"/>
                      <c:pt idx="0">
                        <c:v>17.5</c:v>
                      </c:pt>
                      <c:pt idx="1">
                        <c:v>25.6</c:v>
                      </c:pt>
                      <c:pt idx="2">
                        <c:v>33</c:v>
                      </c:pt>
                      <c:pt idx="3">
                        <c:v>40.1</c:v>
                      </c:pt>
                      <c:pt idx="4">
                        <c:v>44</c:v>
                      </c:pt>
                      <c:pt idx="5">
                        <c:v>46.1</c:v>
                      </c:pt>
                      <c:pt idx="6">
                        <c:v>47.1</c:v>
                      </c:pt>
                      <c:pt idx="7">
                        <c:v>48.9</c:v>
                      </c:pt>
                      <c:pt idx="8">
                        <c:v>51</c:v>
                      </c:pt>
                      <c:pt idx="9">
                        <c:v>52.4</c:v>
                      </c:pt>
                      <c:pt idx="10">
                        <c:v>57.6</c:v>
                      </c:pt>
                      <c:pt idx="11">
                        <c:v>58</c:v>
                      </c:pt>
                      <c:pt idx="12">
                        <c:v>60.1</c:v>
                      </c:pt>
                      <c:pt idx="13">
                        <c:v>65.099999999999994</c:v>
                      </c:pt>
                      <c:pt idx="14">
                        <c:v>66.5</c:v>
                      </c:pt>
                      <c:pt idx="15">
                        <c:v>70</c:v>
                      </c:pt>
                      <c:pt idx="16">
                        <c:v>75.2</c:v>
                      </c:pt>
                      <c:pt idx="17">
                        <c:v>89.5</c:v>
                      </c:pt>
                      <c:pt idx="18">
                        <c:v>111.4</c:v>
                      </c:pt>
                      <c:pt idx="19">
                        <c:v>123.1</c:v>
                      </c:pt>
                      <c:pt idx="20">
                        <c:v>134.1</c:v>
                      </c:pt>
                      <c:pt idx="21">
                        <c:v>138.4</c:v>
                      </c:pt>
                      <c:pt idx="22">
                        <c:v>149.80000000000001</c:v>
                      </c:pt>
                      <c:pt idx="23">
                        <c:v>154.19999999999999</c:v>
                      </c:pt>
                      <c:pt idx="24">
                        <c:v>165.9</c:v>
                      </c:pt>
                      <c:pt idx="25">
                        <c:v>190.9</c:v>
                      </c:pt>
                    </c:numCache>
                  </c:numRef>
                </c:yVal>
                <c:smooth val="0"/>
                <c:extLst xmlns:c15="http://schemas.microsoft.com/office/drawing/2012/chart">
                  <c:ext xmlns:c16="http://schemas.microsoft.com/office/drawing/2014/chart" uri="{C3380CC4-5D6E-409C-BE32-E72D297353CC}">
                    <c16:uniqueId val="{00000003-BBC2-42F0-8F8B-72898AF78465}"/>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Tabelle'!$C$4:$AB$4</c15:sqref>
                        </c15:formulaRef>
                      </c:ext>
                    </c:extLst>
                    <c:numCache>
                      <c:formatCode>General</c:formatCode>
                      <c:ptCount val="26"/>
                      <c:pt idx="0">
                        <c:v>24.8</c:v>
                      </c:pt>
                      <c:pt idx="1">
                        <c:v>34.700000000000003</c:v>
                      </c:pt>
                      <c:pt idx="2">
                        <c:v>45.1</c:v>
                      </c:pt>
                      <c:pt idx="3">
                        <c:v>55.2</c:v>
                      </c:pt>
                      <c:pt idx="4">
                        <c:v>60.9</c:v>
                      </c:pt>
                      <c:pt idx="5">
                        <c:v>63.8</c:v>
                      </c:pt>
                      <c:pt idx="6">
                        <c:v>65.2</c:v>
                      </c:pt>
                      <c:pt idx="7">
                        <c:v>67.8</c:v>
                      </c:pt>
                      <c:pt idx="8">
                        <c:v>70.8</c:v>
                      </c:pt>
                      <c:pt idx="9">
                        <c:v>72.8</c:v>
                      </c:pt>
                      <c:pt idx="10">
                        <c:v>80</c:v>
                      </c:pt>
                      <c:pt idx="11">
                        <c:v>80.599999999999994</c:v>
                      </c:pt>
                      <c:pt idx="12">
                        <c:v>83.6</c:v>
                      </c:pt>
                      <c:pt idx="13">
                        <c:v>90.4</c:v>
                      </c:pt>
                      <c:pt idx="14">
                        <c:v>92.3</c:v>
                      </c:pt>
                      <c:pt idx="15">
                        <c:v>97.2</c:v>
                      </c:pt>
                      <c:pt idx="16">
                        <c:v>104.3</c:v>
                      </c:pt>
                      <c:pt idx="17">
                        <c:v>123.5</c:v>
                      </c:pt>
                      <c:pt idx="18">
                        <c:v>151.9</c:v>
                      </c:pt>
                      <c:pt idx="19">
                        <c:v>166.7</c:v>
                      </c:pt>
                      <c:pt idx="20">
                        <c:v>180.2</c:v>
                      </c:pt>
                      <c:pt idx="21">
                        <c:v>185.5</c:v>
                      </c:pt>
                      <c:pt idx="22">
                        <c:v>199</c:v>
                      </c:pt>
                      <c:pt idx="23">
                        <c:v>204.3</c:v>
                      </c:pt>
                      <c:pt idx="24">
                        <c:v>217.8</c:v>
                      </c:pt>
                      <c:pt idx="25">
                        <c:v>245.9</c:v>
                      </c:pt>
                    </c:numCache>
                  </c:numRef>
                </c:yVal>
                <c:smooth val="0"/>
                <c:extLst xmlns:c15="http://schemas.microsoft.com/office/drawing/2012/chart">
                  <c:ext xmlns:c16="http://schemas.microsoft.com/office/drawing/2014/chart" uri="{C3380CC4-5D6E-409C-BE32-E72D297353CC}">
                    <c16:uniqueId val="{00000012-BBC2-42F0-8F8B-72898AF78465}"/>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Tabelle'!$C$6:$AB$6</c15:sqref>
                        </c15:formulaRef>
                      </c:ext>
                    </c:extLst>
                    <c:numCache>
                      <c:formatCode>General</c:formatCode>
                      <c:ptCount val="26"/>
                      <c:pt idx="0">
                        <c:v>39.700000000000003</c:v>
                      </c:pt>
                      <c:pt idx="1">
                        <c:v>56.5</c:v>
                      </c:pt>
                      <c:pt idx="2">
                        <c:v>72.400000000000006</c:v>
                      </c:pt>
                      <c:pt idx="3">
                        <c:v>87.7</c:v>
                      </c:pt>
                      <c:pt idx="4">
                        <c:v>96.2</c:v>
                      </c:pt>
                      <c:pt idx="5">
                        <c:v>100.7</c:v>
                      </c:pt>
                      <c:pt idx="6">
                        <c:v>102.7</c:v>
                      </c:pt>
                      <c:pt idx="7">
                        <c:v>106.6</c:v>
                      </c:pt>
                      <c:pt idx="8">
                        <c:v>111</c:v>
                      </c:pt>
                      <c:pt idx="9">
                        <c:v>114</c:v>
                      </c:pt>
                      <c:pt idx="10">
                        <c:v>124.8</c:v>
                      </c:pt>
                      <c:pt idx="11">
                        <c:v>125.7</c:v>
                      </c:pt>
                      <c:pt idx="12">
                        <c:v>130</c:v>
                      </c:pt>
                      <c:pt idx="13">
                        <c:v>140.1</c:v>
                      </c:pt>
                      <c:pt idx="14">
                        <c:v>143</c:v>
                      </c:pt>
                      <c:pt idx="15">
                        <c:v>150.1</c:v>
                      </c:pt>
                      <c:pt idx="16">
                        <c:v>160.6</c:v>
                      </c:pt>
                      <c:pt idx="17">
                        <c:v>188.8</c:v>
                      </c:pt>
                      <c:pt idx="18">
                        <c:v>230.4</c:v>
                      </c:pt>
                      <c:pt idx="19">
                        <c:v>251.9</c:v>
                      </c:pt>
                      <c:pt idx="20">
                        <c:v>271.60000000000002</c:v>
                      </c:pt>
                      <c:pt idx="21">
                        <c:v>279.3</c:v>
                      </c:pt>
                      <c:pt idx="22">
                        <c:v>299</c:v>
                      </c:pt>
                      <c:pt idx="23">
                        <c:v>306.7</c:v>
                      </c:pt>
                      <c:pt idx="24">
                        <c:v>326.39999999999998</c:v>
                      </c:pt>
                      <c:pt idx="25">
                        <c:v>367.4</c:v>
                      </c:pt>
                    </c:numCache>
                  </c:numRef>
                </c:yVal>
                <c:smooth val="0"/>
                <c:extLst xmlns:c15="http://schemas.microsoft.com/office/drawing/2012/chart">
                  <c:ext xmlns:c16="http://schemas.microsoft.com/office/drawing/2014/chart" uri="{C3380CC4-5D6E-409C-BE32-E72D297353CC}">
                    <c16:uniqueId val="{00000014-BBC2-42F0-8F8B-72898AF78465}"/>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Tabelle'!$C$7:$AB$7</c15:sqref>
                        </c15:formulaRef>
                      </c:ext>
                    </c:extLst>
                    <c:numCache>
                      <c:formatCode>General</c:formatCode>
                      <c:ptCount val="26"/>
                      <c:pt idx="0">
                        <c:v>48.7</c:v>
                      </c:pt>
                      <c:pt idx="1">
                        <c:v>67.7</c:v>
                      </c:pt>
                      <c:pt idx="2">
                        <c:v>87.3</c:v>
                      </c:pt>
                      <c:pt idx="3">
                        <c:v>106.2</c:v>
                      </c:pt>
                      <c:pt idx="4">
                        <c:v>116.5</c:v>
                      </c:pt>
                      <c:pt idx="5">
                        <c:v>121.9</c:v>
                      </c:pt>
                      <c:pt idx="6">
                        <c:v>124.5</c:v>
                      </c:pt>
                      <c:pt idx="7">
                        <c:v>129.1</c:v>
                      </c:pt>
                      <c:pt idx="8">
                        <c:v>134.5</c:v>
                      </c:pt>
                      <c:pt idx="9">
                        <c:v>138</c:v>
                      </c:pt>
                      <c:pt idx="10">
                        <c:v>150.9</c:v>
                      </c:pt>
                      <c:pt idx="11">
                        <c:v>152</c:v>
                      </c:pt>
                      <c:pt idx="12">
                        <c:v>157.1</c:v>
                      </c:pt>
                      <c:pt idx="13">
                        <c:v>169</c:v>
                      </c:pt>
                      <c:pt idx="14">
                        <c:v>172.4</c:v>
                      </c:pt>
                      <c:pt idx="15">
                        <c:v>180.7</c:v>
                      </c:pt>
                      <c:pt idx="16">
                        <c:v>192.9</c:v>
                      </c:pt>
                      <c:pt idx="17">
                        <c:v>224.7</c:v>
                      </c:pt>
                      <c:pt idx="18">
                        <c:v>270</c:v>
                      </c:pt>
                      <c:pt idx="19">
                        <c:v>292.5</c:v>
                      </c:pt>
                      <c:pt idx="20">
                        <c:v>312.7</c:v>
                      </c:pt>
                      <c:pt idx="21">
                        <c:v>320.39999999999998</c:v>
                      </c:pt>
                      <c:pt idx="22">
                        <c:v>339.8</c:v>
                      </c:pt>
                      <c:pt idx="23">
                        <c:v>347.2</c:v>
                      </c:pt>
                      <c:pt idx="24">
                        <c:v>366</c:v>
                      </c:pt>
                      <c:pt idx="25">
                        <c:v>403.4</c:v>
                      </c:pt>
                    </c:numCache>
                  </c:numRef>
                </c:yVal>
                <c:smooth val="0"/>
                <c:extLst xmlns:c15="http://schemas.microsoft.com/office/drawing/2012/chart">
                  <c:ext xmlns:c16="http://schemas.microsoft.com/office/drawing/2014/chart" uri="{C3380CC4-5D6E-409C-BE32-E72D297353CC}">
                    <c16:uniqueId val="{00000015-BBC2-42F0-8F8B-72898AF78465}"/>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04-BBC2-42F0-8F8B-72898AF78465}"/>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BBC2-42F0-8F8B-72898AF78465}"/>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BBC2-42F0-8F8B-72898AF78465}"/>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BBC2-42F0-8F8B-72898AF78465}"/>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428025230044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 </a:t>
            </a:r>
            <a:r>
              <a:rPr lang="de-CH" baseline="0"/>
              <a:t> 5-Säule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9"/>
          <c:order val="3"/>
          <c:tx>
            <c:strRef>
              <c:f>'Arbonia Tabelle'!$Y$6</c:f>
              <c:strCache>
                <c:ptCount val="1"/>
                <c:pt idx="0">
                  <c:v>ARB 5-Säule</c:v>
                </c:pt>
              </c:strCache>
              <c:extLst xmlns:c15="http://schemas.microsoft.com/office/drawing/2012/chart"/>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'Arbonia Tabelle'!$E$2:$X$2</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'Arbonia Tabelle'!$E$6:$X$6</c:f>
              <c:numCache>
                <c:formatCode>General</c:formatCode>
                <c:ptCount val="20"/>
                <c:pt idx="0">
                  <c:v>45</c:v>
                </c:pt>
                <c:pt idx="1">
                  <c:v>53</c:v>
                </c:pt>
                <c:pt idx="2">
                  <c:v>61</c:v>
                </c:pt>
                <c:pt idx="3">
                  <c:v>69</c:v>
                </c:pt>
                <c:pt idx="4">
                  <c:v>77</c:v>
                </c:pt>
                <c:pt idx="5">
                  <c:v>85</c:v>
                </c:pt>
                <c:pt idx="6">
                  <c:v>93</c:v>
                </c:pt>
                <c:pt idx="7">
                  <c:v>100</c:v>
                </c:pt>
                <c:pt idx="8">
                  <c:v>123</c:v>
                </c:pt>
                <c:pt idx="9">
                  <c:v>144</c:v>
                </c:pt>
                <c:pt idx="10">
                  <c:v>158</c:v>
                </c:pt>
                <c:pt idx="11">
                  <c:v>172</c:v>
                </c:pt>
                <c:pt idx="12">
                  <c:v>186</c:v>
                </c:pt>
                <c:pt idx="13">
                  <c:v>225</c:v>
                </c:pt>
                <c:pt idx="14">
                  <c:v>263</c:v>
                </c:pt>
                <c:pt idx="15">
                  <c:v>287</c:v>
                </c:pt>
                <c:pt idx="16">
                  <c:v>310</c:v>
                </c:pt>
                <c:pt idx="17">
                  <c:v>343</c:v>
                </c:pt>
                <c:pt idx="18">
                  <c:v>374</c:v>
                </c:pt>
                <c:pt idx="19">
                  <c:v>394</c:v>
                </c:pt>
              </c:numCache>
            </c:numRef>
          </c:yVal>
          <c:smooth val="0"/>
          <c:extLst>
            <c:ext xmlns:c16="http://schemas.microsoft.com/office/drawing/2014/chart" uri="{C3380CC4-5D6E-409C-BE32-E72D297353CC}">
              <c16:uniqueId val="{00000008-FC32-4DE3-9533-35683B119785}"/>
            </c:ext>
          </c:extLst>
        </c:ser>
        <c:ser>
          <c:idx val="11"/>
          <c:order val="8"/>
          <c:tx>
            <c:strRef>
              <c:f>'Zehnder Charl. Tabelle'!$W$7</c:f>
              <c:strCache>
                <c:ptCount val="1"/>
                <c:pt idx="0">
                  <c:v>ZEHN 5-Säule</c:v>
                </c:pt>
              </c:strCache>
              <c:extLst xmlns:c15="http://schemas.microsoft.com/office/drawing/2012/chart"/>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Tabelle'!$C$7:$V$7</c:f>
              <c:numCache>
                <c:formatCode>General</c:formatCode>
                <c:ptCount val="20"/>
                <c:pt idx="0">
                  <c:v>45.1</c:v>
                </c:pt>
                <c:pt idx="1">
                  <c:v>51.7</c:v>
                </c:pt>
                <c:pt idx="2">
                  <c:v>59.9</c:v>
                </c:pt>
                <c:pt idx="3">
                  <c:v>67.900000000000006</c:v>
                </c:pt>
                <c:pt idx="4">
                  <c:v>75.8</c:v>
                </c:pt>
                <c:pt idx="5">
                  <c:v>83.5</c:v>
                </c:pt>
                <c:pt idx="6">
                  <c:v>91.1</c:v>
                </c:pt>
                <c:pt idx="7">
                  <c:v>98.6</c:v>
                </c:pt>
                <c:pt idx="8">
                  <c:v>120</c:v>
                </c:pt>
                <c:pt idx="9">
                  <c:v>141</c:v>
                </c:pt>
                <c:pt idx="10">
                  <c:v>154</c:v>
                </c:pt>
                <c:pt idx="11">
                  <c:v>167</c:v>
                </c:pt>
                <c:pt idx="12">
                  <c:v>179</c:v>
                </c:pt>
                <c:pt idx="13">
                  <c:v>219</c:v>
                </c:pt>
                <c:pt idx="14">
                  <c:v>259</c:v>
                </c:pt>
                <c:pt idx="15">
                  <c:v>285</c:v>
                </c:pt>
                <c:pt idx="16">
                  <c:v>312</c:v>
                </c:pt>
                <c:pt idx="17">
                  <c:v>352</c:v>
                </c:pt>
                <c:pt idx="18">
                  <c:v>392</c:v>
                </c:pt>
                <c:pt idx="19">
                  <c:v>420</c:v>
                </c:pt>
              </c:numCache>
              <c:extLst xmlns:c15="http://schemas.microsoft.com/office/drawing/2012/chart"/>
            </c:numRef>
          </c:yVal>
          <c:smooth val="0"/>
          <c:extLst>
            <c:ext xmlns:c16="http://schemas.microsoft.com/office/drawing/2014/chart" uri="{C3380CC4-5D6E-409C-BE32-E72D297353CC}">
              <c16:uniqueId val="{0000000C-FC32-4DE3-9533-35683B119785}"/>
            </c:ext>
          </c:extLst>
        </c:ser>
        <c:ser>
          <c:idx val="13"/>
          <c:order val="13"/>
          <c:tx>
            <c:strRef>
              <c:f>'IRSAP Tabelle'!$AD$6</c:f>
              <c:strCache>
                <c:ptCount val="1"/>
                <c:pt idx="0">
                  <c:v>IRSAP 5-Säule</c:v>
                </c:pt>
              </c:strCache>
              <c:extLst xmlns:c15="http://schemas.microsoft.com/office/drawing/2012/chart"/>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f>'IRSAP Tabelle'!$C$6:$AC$6</c:f>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c:ext xmlns:c16="http://schemas.microsoft.com/office/drawing/2014/chart" uri="{C3380CC4-5D6E-409C-BE32-E72D297353CC}">
              <c16:uniqueId val="{00000010-FC32-4DE3-9533-35683B119785}"/>
            </c:ext>
          </c:extLst>
        </c:ser>
        <c:ser>
          <c:idx val="18"/>
          <c:order val="18"/>
          <c:tx>
            <c:strRef>
              <c:f>'Cordivari Tabelle'!$AC$6</c:f>
              <c:strCache>
                <c:ptCount val="1"/>
                <c:pt idx="0">
                  <c:v>Cordivari 5-Säule</c:v>
                </c:pt>
              </c:strCache>
              <c:extLst xmlns:c15="http://schemas.microsoft.com/office/drawing/2012/chart"/>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Tabelle'!$C$6:$AB$6</c:f>
              <c:numCache>
                <c:formatCode>General</c:formatCode>
                <c:ptCount val="26"/>
                <c:pt idx="0">
                  <c:v>39.700000000000003</c:v>
                </c:pt>
                <c:pt idx="1">
                  <c:v>56.5</c:v>
                </c:pt>
                <c:pt idx="2">
                  <c:v>72.400000000000006</c:v>
                </c:pt>
                <c:pt idx="3">
                  <c:v>87.7</c:v>
                </c:pt>
                <c:pt idx="4">
                  <c:v>96.2</c:v>
                </c:pt>
                <c:pt idx="5">
                  <c:v>100.7</c:v>
                </c:pt>
                <c:pt idx="6">
                  <c:v>102.7</c:v>
                </c:pt>
                <c:pt idx="7">
                  <c:v>106.6</c:v>
                </c:pt>
                <c:pt idx="8">
                  <c:v>111</c:v>
                </c:pt>
                <c:pt idx="9">
                  <c:v>114</c:v>
                </c:pt>
                <c:pt idx="10">
                  <c:v>124.8</c:v>
                </c:pt>
                <c:pt idx="11">
                  <c:v>125.7</c:v>
                </c:pt>
                <c:pt idx="12">
                  <c:v>130</c:v>
                </c:pt>
                <c:pt idx="13">
                  <c:v>140.1</c:v>
                </c:pt>
                <c:pt idx="14">
                  <c:v>143</c:v>
                </c:pt>
                <c:pt idx="15">
                  <c:v>150.1</c:v>
                </c:pt>
                <c:pt idx="16">
                  <c:v>160.6</c:v>
                </c:pt>
                <c:pt idx="17">
                  <c:v>188.8</c:v>
                </c:pt>
                <c:pt idx="18">
                  <c:v>230.4</c:v>
                </c:pt>
                <c:pt idx="19">
                  <c:v>251.9</c:v>
                </c:pt>
                <c:pt idx="20">
                  <c:v>271.60000000000002</c:v>
                </c:pt>
                <c:pt idx="21">
                  <c:v>279.3</c:v>
                </c:pt>
                <c:pt idx="22">
                  <c:v>299</c:v>
                </c:pt>
                <c:pt idx="23">
                  <c:v>306.7</c:v>
                </c:pt>
                <c:pt idx="24">
                  <c:v>326.39999999999998</c:v>
                </c:pt>
                <c:pt idx="25">
                  <c:v>367.4</c:v>
                </c:pt>
              </c:numCache>
              <c:extLst xmlns:c15="http://schemas.microsoft.com/office/drawing/2012/chart"/>
            </c:numRef>
          </c:yVal>
          <c:smooth val="0"/>
          <c:extLst>
            <c:ext xmlns:c16="http://schemas.microsoft.com/office/drawing/2014/chart" uri="{C3380CC4-5D6E-409C-BE32-E72D297353CC}">
              <c16:uniqueId val="{00000014-FC32-4DE3-9533-35683B119785}"/>
            </c:ext>
          </c:extLst>
        </c:ser>
        <c:ser>
          <c:idx val="23"/>
          <c:order val="23"/>
          <c:tx>
            <c:strRef>
              <c:f>'FIR Iron'!$AD$6</c:f>
              <c:strCache>
                <c:ptCount val="1"/>
                <c:pt idx="0">
                  <c:v>FIR Iron 5-Säule</c:v>
                </c:pt>
              </c:strCache>
              <c:extLst xmlns:c15="http://schemas.microsoft.com/office/drawing/2012/chart"/>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Iron'!$C$6:$AC$6</c:f>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extLst xmlns:c15="http://schemas.microsoft.com/office/drawing/2012/chart"/>
            </c:numRef>
          </c:yVal>
          <c:smooth val="0"/>
          <c:extLst>
            <c:ext xmlns:c16="http://schemas.microsoft.com/office/drawing/2014/chart" uri="{C3380CC4-5D6E-409C-BE32-E72D297353CC}">
              <c16:uniqueId val="{00000018-FC32-4DE3-9533-35683B119785}"/>
            </c:ext>
          </c:extLst>
        </c:ser>
        <c:ser>
          <c:idx val="25"/>
          <c:order val="25"/>
          <c:tx>
            <c:strRef>
              <c:f>'Leistung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'Leistung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'Leistung alle'!$B$106:$U$106</c:f>
              <c:numCache>
                <c:formatCode>0.0</c:formatCode>
                <c:ptCount val="20"/>
                <c:pt idx="0">
                  <c:v>45.05</c:v>
                </c:pt>
                <c:pt idx="1">
                  <c:v>53.715999999999994</c:v>
                </c:pt>
                <c:pt idx="2">
                  <c:v>60.972500000000004</c:v>
                </c:pt>
                <c:pt idx="3">
                  <c:v>69.534000000000006</c:v>
                </c:pt>
                <c:pt idx="4">
                  <c:v>76.61</c:v>
                </c:pt>
                <c:pt idx="5">
                  <c:v>84.963999999999999</c:v>
                </c:pt>
                <c:pt idx="6">
                  <c:v>92.786000000000001</c:v>
                </c:pt>
                <c:pt idx="7">
                  <c:v>99.936000000000007</c:v>
                </c:pt>
                <c:pt idx="8">
                  <c:v>122</c:v>
                </c:pt>
                <c:pt idx="9">
                  <c:v>142.57249999999999</c:v>
                </c:pt>
                <c:pt idx="10">
                  <c:v>157.262</c:v>
                </c:pt>
                <c:pt idx="11">
                  <c:v>171.59</c:v>
                </c:pt>
                <c:pt idx="12">
                  <c:v>184.79399999999998</c:v>
                </c:pt>
                <c:pt idx="13">
                  <c:v>225.696</c:v>
                </c:pt>
                <c:pt idx="14">
                  <c:v>266.20799999999997</c:v>
                </c:pt>
                <c:pt idx="15">
                  <c:v>292.77</c:v>
                </c:pt>
                <c:pt idx="16">
                  <c:v>319.35599999999999</c:v>
                </c:pt>
                <c:pt idx="17">
                  <c:v>358.822</c:v>
                </c:pt>
                <c:pt idx="18">
                  <c:v>395.72666666666669</c:v>
                </c:pt>
                <c:pt idx="19">
                  <c:v>421.59333333333331</c:v>
                </c:pt>
              </c:numCache>
            </c:numRef>
          </c:yVal>
          <c:smooth val="0"/>
          <c:extLst>
            <c:ext xmlns:c16="http://schemas.microsoft.com/office/drawing/2014/chart" uri="{C3380CC4-5D6E-409C-BE32-E72D297353CC}">
              <c16:uniqueId val="{00000005-FC32-4DE3-9533-35683B119785}"/>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Tabelle'!$D$3:$X$3</c15:sqref>
                        </c15:formulaRef>
                      </c:ext>
                    </c:extLst>
                    <c:numCache>
                      <c:formatCode>General</c:formatCode>
                      <c:ptCount val="21"/>
                      <c:pt idx="0">
                        <c:v>15</c:v>
                      </c:pt>
                      <c:pt idx="1">
                        <c:v>20</c:v>
                      </c:pt>
                      <c:pt idx="2">
                        <c:v>24</c:v>
                      </c:pt>
                      <c:pt idx="3">
                        <c:v>28</c:v>
                      </c:pt>
                      <c:pt idx="4">
                        <c:v>31</c:v>
                      </c:pt>
                      <c:pt idx="5">
                        <c:v>35</c:v>
                      </c:pt>
                      <c:pt idx="6">
                        <c:v>39</c:v>
                      </c:pt>
                      <c:pt idx="7">
                        <c:v>42</c:v>
                      </c:pt>
                      <c:pt idx="8">
                        <c:v>46</c:v>
                      </c:pt>
                      <c:pt idx="9">
                        <c:v>57</c:v>
                      </c:pt>
                      <c:pt idx="10">
                        <c:v>67</c:v>
                      </c:pt>
                      <c:pt idx="11">
                        <c:v>74</c:v>
                      </c:pt>
                      <c:pt idx="12">
                        <c:v>81</c:v>
                      </c:pt>
                      <c:pt idx="13">
                        <c:v>88</c:v>
                      </c:pt>
                      <c:pt idx="14">
                        <c:v>109</c:v>
                      </c:pt>
                      <c:pt idx="15">
                        <c:v>130</c:v>
                      </c:pt>
                      <c:pt idx="16">
                        <c:v>144</c:v>
                      </c:pt>
                      <c:pt idx="17">
                        <c:v>158</c:v>
                      </c:pt>
                      <c:pt idx="18">
                        <c:v>179</c:v>
                      </c:pt>
                      <c:pt idx="19">
                        <c:v>200</c:v>
                      </c:pt>
                      <c:pt idx="20">
                        <c:v>214</c:v>
                      </c:pt>
                    </c:numCache>
                  </c:numRef>
                </c:yVal>
                <c:smooth val="0"/>
                <c:extLst>
                  <c:ext xmlns:c16="http://schemas.microsoft.com/office/drawing/2014/chart" uri="{C3380CC4-5D6E-409C-BE32-E72D297353CC}">
                    <c16:uniqueId val="{00000000-FC32-4DE3-9533-35683B119785}"/>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Tabelle'!$D$4:$X$4</c15:sqref>
                        </c15:formulaRef>
                      </c:ext>
                    </c:extLst>
                    <c:numCache>
                      <c:formatCode>General</c:formatCode>
                      <c:ptCount val="21"/>
                      <c:pt idx="0">
                        <c:v>20</c:v>
                      </c:pt>
                      <c:pt idx="1">
                        <c:v>28</c:v>
                      </c:pt>
                      <c:pt idx="2">
                        <c:v>33</c:v>
                      </c:pt>
                      <c:pt idx="3">
                        <c:v>38</c:v>
                      </c:pt>
                      <c:pt idx="4">
                        <c:v>43</c:v>
                      </c:pt>
                      <c:pt idx="5">
                        <c:v>48</c:v>
                      </c:pt>
                      <c:pt idx="6">
                        <c:v>53</c:v>
                      </c:pt>
                      <c:pt idx="7">
                        <c:v>58</c:v>
                      </c:pt>
                      <c:pt idx="8">
                        <c:v>63</c:v>
                      </c:pt>
                      <c:pt idx="9">
                        <c:v>78</c:v>
                      </c:pt>
                      <c:pt idx="10">
                        <c:v>92</c:v>
                      </c:pt>
                      <c:pt idx="11">
                        <c:v>102</c:v>
                      </c:pt>
                      <c:pt idx="12">
                        <c:v>111</c:v>
                      </c:pt>
                      <c:pt idx="13">
                        <c:v>120</c:v>
                      </c:pt>
                      <c:pt idx="14">
                        <c:v>147</c:v>
                      </c:pt>
                      <c:pt idx="15">
                        <c:v>173</c:v>
                      </c:pt>
                      <c:pt idx="16">
                        <c:v>190</c:v>
                      </c:pt>
                      <c:pt idx="17">
                        <c:v>207</c:v>
                      </c:pt>
                      <c:pt idx="18">
                        <c:v>231</c:v>
                      </c:pt>
                      <c:pt idx="19">
                        <c:v>255</c:v>
                      </c:pt>
                      <c:pt idx="20">
                        <c:v>270</c:v>
                      </c:pt>
                    </c:numCache>
                  </c:numRef>
                </c:yVal>
                <c:smooth val="0"/>
                <c:extLst xmlns:c15="http://schemas.microsoft.com/office/drawing/2012/chart">
                  <c:ext xmlns:c16="http://schemas.microsoft.com/office/drawing/2014/chart" uri="{C3380CC4-5D6E-409C-BE32-E72D297353CC}">
                    <c16:uniqueId val="{00000006-FC32-4DE3-9533-35683B119785}"/>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Tabelle'!$D$5:$X$5</c15:sqref>
                        </c15:formulaRef>
                      </c:ext>
                    </c:extLst>
                    <c:numCache>
                      <c:formatCode>General</c:formatCode>
                      <c:ptCount val="21"/>
                      <c:pt idx="0">
                        <c:v>27</c:v>
                      </c:pt>
                      <c:pt idx="1">
                        <c:v>36</c:v>
                      </c:pt>
                      <c:pt idx="2">
                        <c:v>43</c:v>
                      </c:pt>
                      <c:pt idx="3">
                        <c:v>49</c:v>
                      </c:pt>
                      <c:pt idx="4">
                        <c:v>56</c:v>
                      </c:pt>
                      <c:pt idx="5">
                        <c:v>62</c:v>
                      </c:pt>
                      <c:pt idx="6">
                        <c:v>69</c:v>
                      </c:pt>
                      <c:pt idx="7">
                        <c:v>75</c:v>
                      </c:pt>
                      <c:pt idx="8">
                        <c:v>81</c:v>
                      </c:pt>
                      <c:pt idx="9">
                        <c:v>100</c:v>
                      </c:pt>
                      <c:pt idx="10">
                        <c:v>117</c:v>
                      </c:pt>
                      <c:pt idx="11">
                        <c:v>129</c:v>
                      </c:pt>
                      <c:pt idx="12">
                        <c:v>141</c:v>
                      </c:pt>
                      <c:pt idx="13">
                        <c:v>152</c:v>
                      </c:pt>
                      <c:pt idx="14">
                        <c:v>186</c:v>
                      </c:pt>
                      <c:pt idx="15">
                        <c:v>219</c:v>
                      </c:pt>
                      <c:pt idx="16">
                        <c:v>241</c:v>
                      </c:pt>
                      <c:pt idx="17">
                        <c:v>262</c:v>
                      </c:pt>
                      <c:pt idx="18">
                        <c:v>293</c:v>
                      </c:pt>
                      <c:pt idx="19">
                        <c:v>323</c:v>
                      </c:pt>
                      <c:pt idx="20">
                        <c:v>343</c:v>
                      </c:pt>
                    </c:numCache>
                  </c:numRef>
                </c:yVal>
                <c:smooth val="0"/>
                <c:extLst xmlns:c15="http://schemas.microsoft.com/office/drawing/2012/chart">
                  <c:ext xmlns:c16="http://schemas.microsoft.com/office/drawing/2014/chart" uri="{C3380CC4-5D6E-409C-BE32-E72D297353CC}">
                    <c16:uniqueId val="{00000007-FC32-4DE3-9533-35683B119785}"/>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Tabelle'!$D$7:$X$7</c15:sqref>
                        </c15:formulaRef>
                      </c:ext>
                    </c:extLst>
                    <c:numCache>
                      <c:formatCode>General</c:formatCode>
                      <c:ptCount val="21"/>
                      <c:pt idx="0">
                        <c:v>0</c:v>
                      </c:pt>
                      <c:pt idx="1">
                        <c:v>53</c:v>
                      </c:pt>
                      <c:pt idx="2">
                        <c:v>62</c:v>
                      </c:pt>
                      <c:pt idx="3">
                        <c:v>72</c:v>
                      </c:pt>
                      <c:pt idx="4">
                        <c:v>81</c:v>
                      </c:pt>
                      <c:pt idx="5">
                        <c:v>90</c:v>
                      </c:pt>
                      <c:pt idx="6">
                        <c:v>99</c:v>
                      </c:pt>
                      <c:pt idx="7">
                        <c:v>108</c:v>
                      </c:pt>
                      <c:pt idx="8">
                        <c:v>117</c:v>
                      </c:pt>
                      <c:pt idx="9">
                        <c:v>143</c:v>
                      </c:pt>
                      <c:pt idx="10">
                        <c:v>168</c:v>
                      </c:pt>
                      <c:pt idx="11">
                        <c:v>185</c:v>
                      </c:pt>
                      <c:pt idx="12">
                        <c:v>201</c:v>
                      </c:pt>
                      <c:pt idx="13">
                        <c:v>217</c:v>
                      </c:pt>
                      <c:pt idx="14">
                        <c:v>264</c:v>
                      </c:pt>
                      <c:pt idx="15">
                        <c:v>309</c:v>
                      </c:pt>
                      <c:pt idx="16">
                        <c:v>339</c:v>
                      </c:pt>
                      <c:pt idx="17">
                        <c:v>367</c:v>
                      </c:pt>
                      <c:pt idx="18">
                        <c:v>408</c:v>
                      </c:pt>
                      <c:pt idx="19">
                        <c:v>448</c:v>
                      </c:pt>
                      <c:pt idx="20">
                        <c:v>474</c:v>
                      </c:pt>
                    </c:numCache>
                  </c:numRef>
                </c:yVal>
                <c:smooth val="0"/>
                <c:extLst xmlns:c15="http://schemas.microsoft.com/office/drawing/2012/chart">
                  <c:ext xmlns:c16="http://schemas.microsoft.com/office/drawing/2014/chart" uri="{C3380CC4-5D6E-409C-BE32-E72D297353CC}">
                    <c16:uniqueId val="{00000009-FC32-4DE3-9533-35683B119785}"/>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Tabelle'!$C$4:$V$4</c15:sqref>
                        </c15:formulaRef>
                      </c:ext>
                    </c:extLst>
                    <c:numCache>
                      <c:formatCode>General</c:formatCode>
                      <c:ptCount val="20"/>
                      <c:pt idx="0">
                        <c:v>21.1</c:v>
                      </c:pt>
                      <c:pt idx="1">
                        <c:v>23.6</c:v>
                      </c:pt>
                      <c:pt idx="2">
                        <c:v>27.5</c:v>
                      </c:pt>
                      <c:pt idx="3">
                        <c:v>31.2</c:v>
                      </c:pt>
                      <c:pt idx="4">
                        <c:v>34.9</c:v>
                      </c:pt>
                      <c:pt idx="5">
                        <c:v>38.4</c:v>
                      </c:pt>
                      <c:pt idx="6">
                        <c:v>41.9</c:v>
                      </c:pt>
                      <c:pt idx="7">
                        <c:v>45.3</c:v>
                      </c:pt>
                      <c:pt idx="8">
                        <c:v>55</c:v>
                      </c:pt>
                      <c:pt idx="9">
                        <c:v>63.9</c:v>
                      </c:pt>
                      <c:pt idx="10">
                        <c:v>69.5</c:v>
                      </c:pt>
                      <c:pt idx="11">
                        <c:v>74.7</c:v>
                      </c:pt>
                      <c:pt idx="12">
                        <c:v>82.7</c:v>
                      </c:pt>
                      <c:pt idx="13">
                        <c:v>104</c:v>
                      </c:pt>
                      <c:pt idx="14">
                        <c:v>124</c:v>
                      </c:pt>
                      <c:pt idx="15">
                        <c:v>138</c:v>
                      </c:pt>
                      <c:pt idx="16">
                        <c:v>151</c:v>
                      </c:pt>
                      <c:pt idx="17">
                        <c:v>171</c:v>
                      </c:pt>
                      <c:pt idx="18">
                        <c:v>189</c:v>
                      </c:pt>
                      <c:pt idx="19">
                        <c:v>201</c:v>
                      </c:pt>
                    </c:numCache>
                  </c:numRef>
                </c:yVal>
                <c:smooth val="0"/>
                <c:extLst xmlns:c15="http://schemas.microsoft.com/office/drawing/2012/chart">
                  <c:ext xmlns:c16="http://schemas.microsoft.com/office/drawing/2014/chart" uri="{C3380CC4-5D6E-409C-BE32-E72D297353CC}">
                    <c16:uniqueId val="{00000001-FC32-4DE3-9533-35683B119785}"/>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Tabelle'!$C$5:$V$5</c15:sqref>
                        </c15:formulaRef>
                      </c:ext>
                    </c:extLst>
                    <c:numCache>
                      <c:formatCode>General</c:formatCode>
                      <c:ptCount val="20"/>
                      <c:pt idx="0">
                        <c:v>27.9</c:v>
                      </c:pt>
                      <c:pt idx="1">
                        <c:v>32</c:v>
                      </c:pt>
                      <c:pt idx="2">
                        <c:v>37</c:v>
                      </c:pt>
                      <c:pt idx="3">
                        <c:v>41.9</c:v>
                      </c:pt>
                      <c:pt idx="4">
                        <c:v>46.8</c:v>
                      </c:pt>
                      <c:pt idx="5">
                        <c:v>51.6</c:v>
                      </c:pt>
                      <c:pt idx="6">
                        <c:v>56.3</c:v>
                      </c:pt>
                      <c:pt idx="7">
                        <c:v>60.9</c:v>
                      </c:pt>
                      <c:pt idx="8">
                        <c:v>74.3</c:v>
                      </c:pt>
                      <c:pt idx="9">
                        <c:v>87</c:v>
                      </c:pt>
                      <c:pt idx="10">
                        <c:v>95.1</c:v>
                      </c:pt>
                      <c:pt idx="11">
                        <c:v>103</c:v>
                      </c:pt>
                      <c:pt idx="12">
                        <c:v>115</c:v>
                      </c:pt>
                      <c:pt idx="13">
                        <c:v>140</c:v>
                      </c:pt>
                      <c:pt idx="14">
                        <c:v>166</c:v>
                      </c:pt>
                      <c:pt idx="15">
                        <c:v>183</c:v>
                      </c:pt>
                      <c:pt idx="16">
                        <c:v>200</c:v>
                      </c:pt>
                      <c:pt idx="17">
                        <c:v>225</c:v>
                      </c:pt>
                      <c:pt idx="18">
                        <c:v>251</c:v>
                      </c:pt>
                      <c:pt idx="19">
                        <c:v>269</c:v>
                      </c:pt>
                    </c:numCache>
                  </c:numRef>
                </c:yVal>
                <c:smooth val="0"/>
                <c:extLst xmlns:c15="http://schemas.microsoft.com/office/drawing/2012/chart">
                  <c:ext xmlns:c16="http://schemas.microsoft.com/office/drawing/2014/chart" uri="{C3380CC4-5D6E-409C-BE32-E72D297353CC}">
                    <c16:uniqueId val="{0000000A-FC32-4DE3-9533-35683B119785}"/>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Tabelle'!$C$6:$V$6</c15:sqref>
                        </c15:formulaRef>
                      </c:ext>
                    </c:extLst>
                    <c:numCache>
                      <c:formatCode>General</c:formatCode>
                      <c:ptCount val="20"/>
                      <c:pt idx="0">
                        <c:v>36.5</c:v>
                      </c:pt>
                      <c:pt idx="1">
                        <c:v>41.9</c:v>
                      </c:pt>
                      <c:pt idx="2">
                        <c:v>48.5</c:v>
                      </c:pt>
                      <c:pt idx="3">
                        <c:v>54.9</c:v>
                      </c:pt>
                      <c:pt idx="4">
                        <c:v>61.3</c:v>
                      </c:pt>
                      <c:pt idx="5">
                        <c:v>67.599999999999994</c:v>
                      </c:pt>
                      <c:pt idx="6">
                        <c:v>73.7</c:v>
                      </c:pt>
                      <c:pt idx="7">
                        <c:v>79.8</c:v>
                      </c:pt>
                      <c:pt idx="8">
                        <c:v>97.4</c:v>
                      </c:pt>
                      <c:pt idx="9">
                        <c:v>114</c:v>
                      </c:pt>
                      <c:pt idx="10">
                        <c:v>125</c:v>
                      </c:pt>
                      <c:pt idx="11">
                        <c:v>135</c:v>
                      </c:pt>
                      <c:pt idx="12">
                        <c:v>147</c:v>
                      </c:pt>
                      <c:pt idx="13">
                        <c:v>180</c:v>
                      </c:pt>
                      <c:pt idx="14">
                        <c:v>213</c:v>
                      </c:pt>
                      <c:pt idx="15">
                        <c:v>234</c:v>
                      </c:pt>
                      <c:pt idx="16">
                        <c:v>256</c:v>
                      </c:pt>
                      <c:pt idx="17">
                        <c:v>289</c:v>
                      </c:pt>
                      <c:pt idx="18">
                        <c:v>323</c:v>
                      </c:pt>
                      <c:pt idx="19">
                        <c:v>345</c:v>
                      </c:pt>
                    </c:numCache>
                  </c:numRef>
                </c:yVal>
                <c:smooth val="0"/>
                <c:extLst xmlns:c15="http://schemas.microsoft.com/office/drawing/2012/chart">
                  <c:ext xmlns:c16="http://schemas.microsoft.com/office/drawing/2014/chart" uri="{C3380CC4-5D6E-409C-BE32-E72D297353CC}">
                    <c16:uniqueId val="{0000000B-FC32-4DE3-9533-35683B119785}"/>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Tabelle'!$C$8:$V$8</c15:sqref>
                        </c15:formulaRef>
                      </c:ext>
                    </c:extLst>
                    <c:numCache>
                      <c:formatCode>General</c:formatCode>
                      <c:ptCount val="20"/>
                      <c:pt idx="0">
                        <c:v>53.5</c:v>
                      </c:pt>
                      <c:pt idx="1">
                        <c:v>61.3</c:v>
                      </c:pt>
                      <c:pt idx="2">
                        <c:v>71</c:v>
                      </c:pt>
                      <c:pt idx="3">
                        <c:v>80.5</c:v>
                      </c:pt>
                      <c:pt idx="4">
                        <c:v>89.8</c:v>
                      </c:pt>
                      <c:pt idx="5">
                        <c:v>99</c:v>
                      </c:pt>
                      <c:pt idx="6">
                        <c:v>108</c:v>
                      </c:pt>
                      <c:pt idx="7">
                        <c:v>117</c:v>
                      </c:pt>
                      <c:pt idx="8">
                        <c:v>143</c:v>
                      </c:pt>
                      <c:pt idx="9">
                        <c:v>167</c:v>
                      </c:pt>
                      <c:pt idx="10">
                        <c:v>183</c:v>
                      </c:pt>
                      <c:pt idx="11">
                        <c:v>198</c:v>
                      </c:pt>
                      <c:pt idx="12">
                        <c:v>210</c:v>
                      </c:pt>
                      <c:pt idx="13">
                        <c:v>256</c:v>
                      </c:pt>
                      <c:pt idx="14">
                        <c:v>303</c:v>
                      </c:pt>
                      <c:pt idx="15">
                        <c:v>334</c:v>
                      </c:pt>
                      <c:pt idx="16">
                        <c:v>365</c:v>
                      </c:pt>
                      <c:pt idx="17">
                        <c:v>412</c:v>
                      </c:pt>
                      <c:pt idx="18">
                        <c:v>459</c:v>
                      </c:pt>
                      <c:pt idx="19">
                        <c:v>491</c:v>
                      </c:pt>
                    </c:numCache>
                  </c:numRef>
                </c:yVal>
                <c:smooth val="0"/>
                <c:extLst xmlns:c15="http://schemas.microsoft.com/office/drawing/2012/chart">
                  <c:ext xmlns:c16="http://schemas.microsoft.com/office/drawing/2014/chart" uri="{C3380CC4-5D6E-409C-BE32-E72D297353CC}">
                    <c16:uniqueId val="{0000000D-FC32-4DE3-9533-35683B119785}"/>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2-FC32-4DE3-9533-35683B119785}"/>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E-FC32-4DE3-9533-35683B119785}"/>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F-FC32-4DE3-9533-35683B119785}"/>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yVal>
                  <c:numLit>
                    <c:formatCode>General</c:formatCode>
                    <c:ptCount val="1"/>
                    <c:pt idx="0">
                      <c:v>1</c:v>
                    </c:pt>
                  </c:numLit>
                </c:yVal>
                <c:smooth val="0"/>
                <c:extLst xmlns:c15="http://schemas.microsoft.com/office/drawing/2012/chart">
                  <c:ext xmlns:c16="http://schemas.microsoft.com/office/drawing/2014/chart" uri="{C3380CC4-5D6E-409C-BE32-E72D297353CC}">
                    <c16:uniqueId val="{00000011-FC32-4DE3-9533-35683B119785}"/>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Tabelle'!$C$3:$AB$3</c15:sqref>
                        </c15:formulaRef>
                      </c:ext>
                    </c:extLst>
                    <c:numCache>
                      <c:formatCode>General</c:formatCode>
                      <c:ptCount val="26"/>
                      <c:pt idx="0">
                        <c:v>17.5</c:v>
                      </c:pt>
                      <c:pt idx="1">
                        <c:v>25.6</c:v>
                      </c:pt>
                      <c:pt idx="2">
                        <c:v>33</c:v>
                      </c:pt>
                      <c:pt idx="3">
                        <c:v>40.1</c:v>
                      </c:pt>
                      <c:pt idx="4">
                        <c:v>44</c:v>
                      </c:pt>
                      <c:pt idx="5">
                        <c:v>46.1</c:v>
                      </c:pt>
                      <c:pt idx="6">
                        <c:v>47.1</c:v>
                      </c:pt>
                      <c:pt idx="7">
                        <c:v>48.9</c:v>
                      </c:pt>
                      <c:pt idx="8">
                        <c:v>51</c:v>
                      </c:pt>
                      <c:pt idx="9">
                        <c:v>52.4</c:v>
                      </c:pt>
                      <c:pt idx="10">
                        <c:v>57.6</c:v>
                      </c:pt>
                      <c:pt idx="11">
                        <c:v>58</c:v>
                      </c:pt>
                      <c:pt idx="12">
                        <c:v>60.1</c:v>
                      </c:pt>
                      <c:pt idx="13">
                        <c:v>65.099999999999994</c:v>
                      </c:pt>
                      <c:pt idx="14">
                        <c:v>66.5</c:v>
                      </c:pt>
                      <c:pt idx="15">
                        <c:v>70</c:v>
                      </c:pt>
                      <c:pt idx="16">
                        <c:v>75.2</c:v>
                      </c:pt>
                      <c:pt idx="17">
                        <c:v>89.5</c:v>
                      </c:pt>
                      <c:pt idx="18">
                        <c:v>111.4</c:v>
                      </c:pt>
                      <c:pt idx="19">
                        <c:v>123.1</c:v>
                      </c:pt>
                      <c:pt idx="20">
                        <c:v>134.1</c:v>
                      </c:pt>
                      <c:pt idx="21">
                        <c:v>138.4</c:v>
                      </c:pt>
                      <c:pt idx="22">
                        <c:v>149.80000000000001</c:v>
                      </c:pt>
                      <c:pt idx="23">
                        <c:v>154.19999999999999</c:v>
                      </c:pt>
                      <c:pt idx="24">
                        <c:v>165.9</c:v>
                      </c:pt>
                      <c:pt idx="25">
                        <c:v>190.9</c:v>
                      </c:pt>
                    </c:numCache>
                  </c:numRef>
                </c:yVal>
                <c:smooth val="0"/>
                <c:extLst xmlns:c15="http://schemas.microsoft.com/office/drawing/2012/chart">
                  <c:ext xmlns:c16="http://schemas.microsoft.com/office/drawing/2014/chart" uri="{C3380CC4-5D6E-409C-BE32-E72D297353CC}">
                    <c16:uniqueId val="{00000003-FC32-4DE3-9533-35683B119785}"/>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Tabelle'!$C$4:$AB$4</c15:sqref>
                        </c15:formulaRef>
                      </c:ext>
                    </c:extLst>
                    <c:numCache>
                      <c:formatCode>General</c:formatCode>
                      <c:ptCount val="26"/>
                      <c:pt idx="0">
                        <c:v>24.8</c:v>
                      </c:pt>
                      <c:pt idx="1">
                        <c:v>34.700000000000003</c:v>
                      </c:pt>
                      <c:pt idx="2">
                        <c:v>45.1</c:v>
                      </c:pt>
                      <c:pt idx="3">
                        <c:v>55.2</c:v>
                      </c:pt>
                      <c:pt idx="4">
                        <c:v>60.9</c:v>
                      </c:pt>
                      <c:pt idx="5">
                        <c:v>63.8</c:v>
                      </c:pt>
                      <c:pt idx="6">
                        <c:v>65.2</c:v>
                      </c:pt>
                      <c:pt idx="7">
                        <c:v>67.8</c:v>
                      </c:pt>
                      <c:pt idx="8">
                        <c:v>70.8</c:v>
                      </c:pt>
                      <c:pt idx="9">
                        <c:v>72.8</c:v>
                      </c:pt>
                      <c:pt idx="10">
                        <c:v>80</c:v>
                      </c:pt>
                      <c:pt idx="11">
                        <c:v>80.599999999999994</c:v>
                      </c:pt>
                      <c:pt idx="12">
                        <c:v>83.6</c:v>
                      </c:pt>
                      <c:pt idx="13">
                        <c:v>90.4</c:v>
                      </c:pt>
                      <c:pt idx="14">
                        <c:v>92.3</c:v>
                      </c:pt>
                      <c:pt idx="15">
                        <c:v>97.2</c:v>
                      </c:pt>
                      <c:pt idx="16">
                        <c:v>104.3</c:v>
                      </c:pt>
                      <c:pt idx="17">
                        <c:v>123.5</c:v>
                      </c:pt>
                      <c:pt idx="18">
                        <c:v>151.9</c:v>
                      </c:pt>
                      <c:pt idx="19">
                        <c:v>166.7</c:v>
                      </c:pt>
                      <c:pt idx="20">
                        <c:v>180.2</c:v>
                      </c:pt>
                      <c:pt idx="21">
                        <c:v>185.5</c:v>
                      </c:pt>
                      <c:pt idx="22">
                        <c:v>199</c:v>
                      </c:pt>
                      <c:pt idx="23">
                        <c:v>204.3</c:v>
                      </c:pt>
                      <c:pt idx="24">
                        <c:v>217.8</c:v>
                      </c:pt>
                      <c:pt idx="25">
                        <c:v>245.9</c:v>
                      </c:pt>
                    </c:numCache>
                  </c:numRef>
                </c:yVal>
                <c:smooth val="0"/>
                <c:extLst xmlns:c15="http://schemas.microsoft.com/office/drawing/2012/chart">
                  <c:ext xmlns:c16="http://schemas.microsoft.com/office/drawing/2014/chart" uri="{C3380CC4-5D6E-409C-BE32-E72D297353CC}">
                    <c16:uniqueId val="{00000012-FC32-4DE3-9533-35683B119785}"/>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Tabelle'!$C$5:$AB$5</c15:sqref>
                        </c15:formulaRef>
                      </c:ext>
                    </c:extLst>
                    <c:numCache>
                      <c:formatCode>General</c:formatCode>
                      <c:ptCount val="26"/>
                      <c:pt idx="0">
                        <c:v>32</c:v>
                      </c:pt>
                      <c:pt idx="1">
                        <c:v>46.8</c:v>
                      </c:pt>
                      <c:pt idx="2">
                        <c:v>59.8</c:v>
                      </c:pt>
                      <c:pt idx="3">
                        <c:v>72.400000000000006</c:v>
                      </c:pt>
                      <c:pt idx="4">
                        <c:v>79.3</c:v>
                      </c:pt>
                      <c:pt idx="5">
                        <c:v>83</c:v>
                      </c:pt>
                      <c:pt idx="6">
                        <c:v>84.7</c:v>
                      </c:pt>
                      <c:pt idx="7">
                        <c:v>87.9</c:v>
                      </c:pt>
                      <c:pt idx="8">
                        <c:v>91.6</c:v>
                      </c:pt>
                      <c:pt idx="9">
                        <c:v>94</c:v>
                      </c:pt>
                      <c:pt idx="10">
                        <c:v>102.9</c:v>
                      </c:pt>
                      <c:pt idx="11">
                        <c:v>103.6</c:v>
                      </c:pt>
                      <c:pt idx="12">
                        <c:v>107.2</c:v>
                      </c:pt>
                      <c:pt idx="13">
                        <c:v>115.6</c:v>
                      </c:pt>
                      <c:pt idx="14">
                        <c:v>118</c:v>
                      </c:pt>
                      <c:pt idx="15">
                        <c:v>123.9</c:v>
                      </c:pt>
                      <c:pt idx="16">
                        <c:v>132.69999999999999</c:v>
                      </c:pt>
                      <c:pt idx="17">
                        <c:v>156.19999999999999</c:v>
                      </c:pt>
                      <c:pt idx="18">
                        <c:v>191.4</c:v>
                      </c:pt>
                      <c:pt idx="19">
                        <c:v>209.7</c:v>
                      </c:pt>
                      <c:pt idx="20">
                        <c:v>226.6</c:v>
                      </c:pt>
                      <c:pt idx="21">
                        <c:v>233.3</c:v>
                      </c:pt>
                      <c:pt idx="22">
                        <c:v>250.3</c:v>
                      </c:pt>
                      <c:pt idx="23">
                        <c:v>256.89999999999998</c:v>
                      </c:pt>
                      <c:pt idx="24">
                        <c:v>274.10000000000002</c:v>
                      </c:pt>
                      <c:pt idx="25">
                        <c:v>310.2</c:v>
                      </c:pt>
                    </c:numCache>
                  </c:numRef>
                </c:yVal>
                <c:smooth val="0"/>
                <c:extLst xmlns:c15="http://schemas.microsoft.com/office/drawing/2012/chart">
                  <c:ext xmlns:c16="http://schemas.microsoft.com/office/drawing/2014/chart" uri="{C3380CC4-5D6E-409C-BE32-E72D297353CC}">
                    <c16:uniqueId val="{00000013-FC32-4DE3-9533-35683B119785}"/>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Tabelle'!$C$7:$AB$7</c15:sqref>
                        </c15:formulaRef>
                      </c:ext>
                    </c:extLst>
                    <c:numCache>
                      <c:formatCode>General</c:formatCode>
                      <c:ptCount val="26"/>
                      <c:pt idx="0">
                        <c:v>48.7</c:v>
                      </c:pt>
                      <c:pt idx="1">
                        <c:v>67.7</c:v>
                      </c:pt>
                      <c:pt idx="2">
                        <c:v>87.3</c:v>
                      </c:pt>
                      <c:pt idx="3">
                        <c:v>106.2</c:v>
                      </c:pt>
                      <c:pt idx="4">
                        <c:v>116.5</c:v>
                      </c:pt>
                      <c:pt idx="5">
                        <c:v>121.9</c:v>
                      </c:pt>
                      <c:pt idx="6">
                        <c:v>124.5</c:v>
                      </c:pt>
                      <c:pt idx="7">
                        <c:v>129.1</c:v>
                      </c:pt>
                      <c:pt idx="8">
                        <c:v>134.5</c:v>
                      </c:pt>
                      <c:pt idx="9">
                        <c:v>138</c:v>
                      </c:pt>
                      <c:pt idx="10">
                        <c:v>150.9</c:v>
                      </c:pt>
                      <c:pt idx="11">
                        <c:v>152</c:v>
                      </c:pt>
                      <c:pt idx="12">
                        <c:v>157.1</c:v>
                      </c:pt>
                      <c:pt idx="13">
                        <c:v>169</c:v>
                      </c:pt>
                      <c:pt idx="14">
                        <c:v>172.4</c:v>
                      </c:pt>
                      <c:pt idx="15">
                        <c:v>180.7</c:v>
                      </c:pt>
                      <c:pt idx="16">
                        <c:v>192.9</c:v>
                      </c:pt>
                      <c:pt idx="17">
                        <c:v>224.7</c:v>
                      </c:pt>
                      <c:pt idx="18">
                        <c:v>270</c:v>
                      </c:pt>
                      <c:pt idx="19">
                        <c:v>292.5</c:v>
                      </c:pt>
                      <c:pt idx="20">
                        <c:v>312.7</c:v>
                      </c:pt>
                      <c:pt idx="21">
                        <c:v>320.39999999999998</c:v>
                      </c:pt>
                      <c:pt idx="22">
                        <c:v>339.8</c:v>
                      </c:pt>
                      <c:pt idx="23">
                        <c:v>347.2</c:v>
                      </c:pt>
                      <c:pt idx="24">
                        <c:v>366</c:v>
                      </c:pt>
                      <c:pt idx="25">
                        <c:v>403.4</c:v>
                      </c:pt>
                    </c:numCache>
                  </c:numRef>
                </c:yVal>
                <c:smooth val="0"/>
                <c:extLst xmlns:c15="http://schemas.microsoft.com/office/drawing/2012/chart">
                  <c:ext xmlns:c16="http://schemas.microsoft.com/office/drawing/2014/chart" uri="{C3380CC4-5D6E-409C-BE32-E72D297353CC}">
                    <c16:uniqueId val="{00000015-FC32-4DE3-9533-35683B119785}"/>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04-FC32-4DE3-9533-35683B119785}"/>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FC32-4DE3-9533-35683B119785}"/>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FC32-4DE3-9533-35683B119785}"/>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FC32-4DE3-9533-35683B119785}"/>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428025230044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Heizleistung </a:t>
            </a:r>
            <a:r>
              <a:rPr lang="de-CH" baseline="0"/>
              <a:t> 6-Säule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10"/>
          <c:order val="4"/>
          <c:tx>
            <c:strRef>
              <c:f>'Arbonia Tabelle'!$Y$7</c:f>
              <c:strCache>
                <c:ptCount val="1"/>
                <c:pt idx="0">
                  <c:v>ARB 6-Säule</c:v>
                </c:pt>
              </c:strCache>
              <c:extLst xmlns:c15="http://schemas.microsoft.com/office/drawing/2012/chart"/>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'Arbonia Tabelle'!$E$2:$X$2</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'Arbonia Tabelle'!$E$7:$X$7</c:f>
              <c:numCache>
                <c:formatCode>General</c:formatCode>
                <c:ptCount val="20"/>
                <c:pt idx="0">
                  <c:v>53</c:v>
                </c:pt>
                <c:pt idx="1">
                  <c:v>62</c:v>
                </c:pt>
                <c:pt idx="2">
                  <c:v>72</c:v>
                </c:pt>
                <c:pt idx="3">
                  <c:v>81</c:v>
                </c:pt>
                <c:pt idx="4">
                  <c:v>90</c:v>
                </c:pt>
                <c:pt idx="5">
                  <c:v>99</c:v>
                </c:pt>
                <c:pt idx="6">
                  <c:v>108</c:v>
                </c:pt>
                <c:pt idx="7">
                  <c:v>117</c:v>
                </c:pt>
                <c:pt idx="8">
                  <c:v>143</c:v>
                </c:pt>
                <c:pt idx="9">
                  <c:v>168</c:v>
                </c:pt>
                <c:pt idx="10">
                  <c:v>185</c:v>
                </c:pt>
                <c:pt idx="11">
                  <c:v>201</c:v>
                </c:pt>
                <c:pt idx="12">
                  <c:v>217</c:v>
                </c:pt>
                <c:pt idx="13">
                  <c:v>264</c:v>
                </c:pt>
                <c:pt idx="14">
                  <c:v>309</c:v>
                </c:pt>
                <c:pt idx="15">
                  <c:v>339</c:v>
                </c:pt>
                <c:pt idx="16">
                  <c:v>367</c:v>
                </c:pt>
                <c:pt idx="17">
                  <c:v>408</c:v>
                </c:pt>
                <c:pt idx="18">
                  <c:v>448</c:v>
                </c:pt>
                <c:pt idx="19">
                  <c:v>474</c:v>
                </c:pt>
              </c:numCache>
            </c:numRef>
          </c:yVal>
          <c:smooth val="0"/>
          <c:extLst>
            <c:ext xmlns:c16="http://schemas.microsoft.com/office/drawing/2014/chart" uri="{C3380CC4-5D6E-409C-BE32-E72D297353CC}">
              <c16:uniqueId val="{00000009-77FE-41C7-AAE8-33DF46154623}"/>
            </c:ext>
          </c:extLst>
        </c:ser>
        <c:ser>
          <c:idx val="12"/>
          <c:order val="9"/>
          <c:tx>
            <c:strRef>
              <c:f>'Zehnder Charl. Tabelle'!$W$8</c:f>
              <c:strCache>
                <c:ptCount val="1"/>
                <c:pt idx="0">
                  <c:v>ZEHN 6-Säule</c:v>
                </c:pt>
              </c:strCache>
              <c:extLst xmlns:c15="http://schemas.microsoft.com/office/drawing/2012/chart"/>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Tabelle'!$C$8:$V$8</c:f>
              <c:numCache>
                <c:formatCode>General</c:formatCode>
                <c:ptCount val="20"/>
                <c:pt idx="0">
                  <c:v>53.5</c:v>
                </c:pt>
                <c:pt idx="1">
                  <c:v>61.3</c:v>
                </c:pt>
                <c:pt idx="2">
                  <c:v>71</c:v>
                </c:pt>
                <c:pt idx="3">
                  <c:v>80.5</c:v>
                </c:pt>
                <c:pt idx="4">
                  <c:v>89.8</c:v>
                </c:pt>
                <c:pt idx="5">
                  <c:v>99</c:v>
                </c:pt>
                <c:pt idx="6">
                  <c:v>108</c:v>
                </c:pt>
                <c:pt idx="7">
                  <c:v>117</c:v>
                </c:pt>
                <c:pt idx="8">
                  <c:v>143</c:v>
                </c:pt>
                <c:pt idx="9">
                  <c:v>167</c:v>
                </c:pt>
                <c:pt idx="10">
                  <c:v>183</c:v>
                </c:pt>
                <c:pt idx="11">
                  <c:v>198</c:v>
                </c:pt>
                <c:pt idx="12">
                  <c:v>210</c:v>
                </c:pt>
                <c:pt idx="13">
                  <c:v>256</c:v>
                </c:pt>
                <c:pt idx="14">
                  <c:v>303</c:v>
                </c:pt>
                <c:pt idx="15">
                  <c:v>334</c:v>
                </c:pt>
                <c:pt idx="16">
                  <c:v>365</c:v>
                </c:pt>
                <c:pt idx="17">
                  <c:v>412</c:v>
                </c:pt>
                <c:pt idx="18">
                  <c:v>459</c:v>
                </c:pt>
                <c:pt idx="19">
                  <c:v>491</c:v>
                </c:pt>
              </c:numCache>
              <c:extLst xmlns:c15="http://schemas.microsoft.com/office/drawing/2012/chart"/>
            </c:numRef>
          </c:yVal>
          <c:smooth val="0"/>
          <c:extLst>
            <c:ext xmlns:c16="http://schemas.microsoft.com/office/drawing/2014/chart" uri="{C3380CC4-5D6E-409C-BE32-E72D297353CC}">
              <c16:uniqueId val="{0000000D-77FE-41C7-AAE8-33DF46154623}"/>
            </c:ext>
          </c:extLst>
        </c:ser>
        <c:ser>
          <c:idx val="14"/>
          <c:order val="14"/>
          <c:tx>
            <c:strRef>
              <c:f>'IRSAP Tabelle'!$AD$7</c:f>
              <c:strCache>
                <c:ptCount val="1"/>
                <c:pt idx="0">
                  <c:v>IRSAP 6-Säule</c:v>
                </c:pt>
              </c:strCache>
              <c:extLst xmlns:c15="http://schemas.microsoft.com/office/drawing/2012/chart"/>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f>'IRSAP Tabelle'!$C$7:$AC$7</c:f>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c:ext xmlns:c16="http://schemas.microsoft.com/office/drawing/2014/chart" uri="{C3380CC4-5D6E-409C-BE32-E72D297353CC}">
              <c16:uniqueId val="{00000011-77FE-41C7-AAE8-33DF46154623}"/>
            </c:ext>
          </c:extLst>
        </c:ser>
        <c:ser>
          <c:idx val="19"/>
          <c:order val="19"/>
          <c:tx>
            <c:strRef>
              <c:f>'Cordivari Tabelle'!$AC$7</c:f>
              <c:strCache>
                <c:ptCount val="1"/>
                <c:pt idx="0">
                  <c:v>Cordivari 6-Säule</c:v>
                </c:pt>
              </c:strCache>
              <c:extLst xmlns:c15="http://schemas.microsoft.com/office/drawing/2012/chart"/>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Tabelle'!$C$7:$AB$7</c:f>
              <c:numCache>
                <c:formatCode>General</c:formatCode>
                <c:ptCount val="26"/>
                <c:pt idx="0">
                  <c:v>48.7</c:v>
                </c:pt>
                <c:pt idx="1">
                  <c:v>67.7</c:v>
                </c:pt>
                <c:pt idx="2">
                  <c:v>87.3</c:v>
                </c:pt>
                <c:pt idx="3">
                  <c:v>106.2</c:v>
                </c:pt>
                <c:pt idx="4">
                  <c:v>116.5</c:v>
                </c:pt>
                <c:pt idx="5">
                  <c:v>121.9</c:v>
                </c:pt>
                <c:pt idx="6">
                  <c:v>124.5</c:v>
                </c:pt>
                <c:pt idx="7">
                  <c:v>129.1</c:v>
                </c:pt>
                <c:pt idx="8">
                  <c:v>134.5</c:v>
                </c:pt>
                <c:pt idx="9">
                  <c:v>138</c:v>
                </c:pt>
                <c:pt idx="10">
                  <c:v>150.9</c:v>
                </c:pt>
                <c:pt idx="11">
                  <c:v>152</c:v>
                </c:pt>
                <c:pt idx="12">
                  <c:v>157.1</c:v>
                </c:pt>
                <c:pt idx="13">
                  <c:v>169</c:v>
                </c:pt>
                <c:pt idx="14">
                  <c:v>172.4</c:v>
                </c:pt>
                <c:pt idx="15">
                  <c:v>180.7</c:v>
                </c:pt>
                <c:pt idx="16">
                  <c:v>192.9</c:v>
                </c:pt>
                <c:pt idx="17">
                  <c:v>224.7</c:v>
                </c:pt>
                <c:pt idx="18">
                  <c:v>270</c:v>
                </c:pt>
                <c:pt idx="19">
                  <c:v>292.5</c:v>
                </c:pt>
                <c:pt idx="20">
                  <c:v>312.7</c:v>
                </c:pt>
                <c:pt idx="21">
                  <c:v>320.39999999999998</c:v>
                </c:pt>
                <c:pt idx="22">
                  <c:v>339.8</c:v>
                </c:pt>
                <c:pt idx="23">
                  <c:v>347.2</c:v>
                </c:pt>
                <c:pt idx="24">
                  <c:v>366</c:v>
                </c:pt>
                <c:pt idx="25">
                  <c:v>403.4</c:v>
                </c:pt>
              </c:numCache>
              <c:extLst xmlns:c15="http://schemas.microsoft.com/office/drawing/2012/chart"/>
            </c:numRef>
          </c:yVal>
          <c:smooth val="0"/>
          <c:extLst>
            <c:ext xmlns:c16="http://schemas.microsoft.com/office/drawing/2014/chart" uri="{C3380CC4-5D6E-409C-BE32-E72D297353CC}">
              <c16:uniqueId val="{00000015-77FE-41C7-AAE8-33DF46154623}"/>
            </c:ext>
          </c:extLst>
        </c:ser>
        <c:ser>
          <c:idx val="24"/>
          <c:order val="24"/>
          <c:tx>
            <c:strRef>
              <c:f>'FIR Iron'!$AD$7</c:f>
              <c:strCache>
                <c:ptCount val="1"/>
                <c:pt idx="0">
                  <c:v>FIR Iron 6-Säule</c:v>
                </c:pt>
              </c:strCache>
              <c:extLst xmlns:c15="http://schemas.microsoft.com/office/drawing/2012/chart"/>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Iron'!$C$7:$AC$7</c:f>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extLst xmlns:c15="http://schemas.microsoft.com/office/drawing/2012/chart"/>
            </c:numRef>
          </c:yVal>
          <c:smooth val="0"/>
          <c:extLst>
            <c:ext xmlns:c16="http://schemas.microsoft.com/office/drawing/2014/chart" uri="{C3380CC4-5D6E-409C-BE32-E72D297353CC}">
              <c16:uniqueId val="{00000019-77FE-41C7-AAE8-33DF46154623}"/>
            </c:ext>
          </c:extLst>
        </c:ser>
        <c:ser>
          <c:idx val="25"/>
          <c:order val="25"/>
          <c:tx>
            <c:strRef>
              <c:f>'Leistung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'Leistung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'Leistung alle'!$B$125:$U$125</c:f>
              <c:numCache>
                <c:formatCode>0.0</c:formatCode>
                <c:ptCount val="20"/>
                <c:pt idx="0">
                  <c:v>53.25</c:v>
                </c:pt>
                <c:pt idx="1">
                  <c:v>63.617999999999995</c:v>
                </c:pt>
                <c:pt idx="2">
                  <c:v>72.132499999999993</c:v>
                </c:pt>
                <c:pt idx="3">
                  <c:v>82.525999999999996</c:v>
                </c:pt>
                <c:pt idx="4">
                  <c:v>90.4</c:v>
                </c:pt>
                <c:pt idx="5">
                  <c:v>100.752</c:v>
                </c:pt>
                <c:pt idx="6">
                  <c:v>109.926</c:v>
                </c:pt>
                <c:pt idx="7">
                  <c:v>118.626</c:v>
                </c:pt>
                <c:pt idx="8">
                  <c:v>144.65</c:v>
                </c:pt>
                <c:pt idx="9">
                  <c:v>168.0625</c:v>
                </c:pt>
                <c:pt idx="10">
                  <c:v>186.35</c:v>
                </c:pt>
                <c:pt idx="11">
                  <c:v>202.72</c:v>
                </c:pt>
                <c:pt idx="12">
                  <c:v>217.83800000000002</c:v>
                </c:pt>
                <c:pt idx="13">
                  <c:v>265.30200000000002</c:v>
                </c:pt>
                <c:pt idx="14">
                  <c:v>311.91000000000003</c:v>
                </c:pt>
                <c:pt idx="15">
                  <c:v>342.608</c:v>
                </c:pt>
                <c:pt idx="16">
                  <c:v>372.74400000000003</c:v>
                </c:pt>
                <c:pt idx="17">
                  <c:v>417.476</c:v>
                </c:pt>
                <c:pt idx="18">
                  <c:v>468.84333333333331</c:v>
                </c:pt>
                <c:pt idx="19">
                  <c:v>499.76666666666665</c:v>
                </c:pt>
              </c:numCache>
            </c:numRef>
          </c:yVal>
          <c:smooth val="0"/>
          <c:extLst>
            <c:ext xmlns:c16="http://schemas.microsoft.com/office/drawing/2014/chart" uri="{C3380CC4-5D6E-409C-BE32-E72D297353CC}">
              <c16:uniqueId val="{00000005-77FE-41C7-AAE8-33DF46154623}"/>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Tabelle'!$D$3:$X$3</c15:sqref>
                        </c15:formulaRef>
                      </c:ext>
                    </c:extLst>
                    <c:numCache>
                      <c:formatCode>General</c:formatCode>
                      <c:ptCount val="21"/>
                      <c:pt idx="0">
                        <c:v>15</c:v>
                      </c:pt>
                      <c:pt idx="1">
                        <c:v>20</c:v>
                      </c:pt>
                      <c:pt idx="2">
                        <c:v>24</c:v>
                      </c:pt>
                      <c:pt idx="3">
                        <c:v>28</c:v>
                      </c:pt>
                      <c:pt idx="4">
                        <c:v>31</c:v>
                      </c:pt>
                      <c:pt idx="5">
                        <c:v>35</c:v>
                      </c:pt>
                      <c:pt idx="6">
                        <c:v>39</c:v>
                      </c:pt>
                      <c:pt idx="7">
                        <c:v>42</c:v>
                      </c:pt>
                      <c:pt idx="8">
                        <c:v>46</c:v>
                      </c:pt>
                      <c:pt idx="9">
                        <c:v>57</c:v>
                      </c:pt>
                      <c:pt idx="10">
                        <c:v>67</c:v>
                      </c:pt>
                      <c:pt idx="11">
                        <c:v>74</c:v>
                      </c:pt>
                      <c:pt idx="12">
                        <c:v>81</c:v>
                      </c:pt>
                      <c:pt idx="13">
                        <c:v>88</c:v>
                      </c:pt>
                      <c:pt idx="14">
                        <c:v>109</c:v>
                      </c:pt>
                      <c:pt idx="15">
                        <c:v>130</c:v>
                      </c:pt>
                      <c:pt idx="16">
                        <c:v>144</c:v>
                      </c:pt>
                      <c:pt idx="17">
                        <c:v>158</c:v>
                      </c:pt>
                      <c:pt idx="18">
                        <c:v>179</c:v>
                      </c:pt>
                      <c:pt idx="19">
                        <c:v>200</c:v>
                      </c:pt>
                      <c:pt idx="20">
                        <c:v>214</c:v>
                      </c:pt>
                    </c:numCache>
                  </c:numRef>
                </c:yVal>
                <c:smooth val="0"/>
                <c:extLst>
                  <c:ext xmlns:c16="http://schemas.microsoft.com/office/drawing/2014/chart" uri="{C3380CC4-5D6E-409C-BE32-E72D297353CC}">
                    <c16:uniqueId val="{00000000-77FE-41C7-AAE8-33DF46154623}"/>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Tabelle'!$D$4:$X$4</c15:sqref>
                        </c15:formulaRef>
                      </c:ext>
                    </c:extLst>
                    <c:numCache>
                      <c:formatCode>General</c:formatCode>
                      <c:ptCount val="21"/>
                      <c:pt idx="0">
                        <c:v>20</c:v>
                      </c:pt>
                      <c:pt idx="1">
                        <c:v>28</c:v>
                      </c:pt>
                      <c:pt idx="2">
                        <c:v>33</c:v>
                      </c:pt>
                      <c:pt idx="3">
                        <c:v>38</c:v>
                      </c:pt>
                      <c:pt idx="4">
                        <c:v>43</c:v>
                      </c:pt>
                      <c:pt idx="5">
                        <c:v>48</c:v>
                      </c:pt>
                      <c:pt idx="6">
                        <c:v>53</c:v>
                      </c:pt>
                      <c:pt idx="7">
                        <c:v>58</c:v>
                      </c:pt>
                      <c:pt idx="8">
                        <c:v>63</c:v>
                      </c:pt>
                      <c:pt idx="9">
                        <c:v>78</c:v>
                      </c:pt>
                      <c:pt idx="10">
                        <c:v>92</c:v>
                      </c:pt>
                      <c:pt idx="11">
                        <c:v>102</c:v>
                      </c:pt>
                      <c:pt idx="12">
                        <c:v>111</c:v>
                      </c:pt>
                      <c:pt idx="13">
                        <c:v>120</c:v>
                      </c:pt>
                      <c:pt idx="14">
                        <c:v>147</c:v>
                      </c:pt>
                      <c:pt idx="15">
                        <c:v>173</c:v>
                      </c:pt>
                      <c:pt idx="16">
                        <c:v>190</c:v>
                      </c:pt>
                      <c:pt idx="17">
                        <c:v>207</c:v>
                      </c:pt>
                      <c:pt idx="18">
                        <c:v>231</c:v>
                      </c:pt>
                      <c:pt idx="19">
                        <c:v>255</c:v>
                      </c:pt>
                      <c:pt idx="20">
                        <c:v>270</c:v>
                      </c:pt>
                    </c:numCache>
                  </c:numRef>
                </c:yVal>
                <c:smooth val="0"/>
                <c:extLst xmlns:c15="http://schemas.microsoft.com/office/drawing/2012/chart">
                  <c:ext xmlns:c16="http://schemas.microsoft.com/office/drawing/2014/chart" uri="{C3380CC4-5D6E-409C-BE32-E72D297353CC}">
                    <c16:uniqueId val="{00000006-77FE-41C7-AAE8-33DF46154623}"/>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Tabelle'!$D$5:$X$5</c15:sqref>
                        </c15:formulaRef>
                      </c:ext>
                    </c:extLst>
                    <c:numCache>
                      <c:formatCode>General</c:formatCode>
                      <c:ptCount val="21"/>
                      <c:pt idx="0">
                        <c:v>27</c:v>
                      </c:pt>
                      <c:pt idx="1">
                        <c:v>36</c:v>
                      </c:pt>
                      <c:pt idx="2">
                        <c:v>43</c:v>
                      </c:pt>
                      <c:pt idx="3">
                        <c:v>49</c:v>
                      </c:pt>
                      <c:pt idx="4">
                        <c:v>56</c:v>
                      </c:pt>
                      <c:pt idx="5">
                        <c:v>62</c:v>
                      </c:pt>
                      <c:pt idx="6">
                        <c:v>69</c:v>
                      </c:pt>
                      <c:pt idx="7">
                        <c:v>75</c:v>
                      </c:pt>
                      <c:pt idx="8">
                        <c:v>81</c:v>
                      </c:pt>
                      <c:pt idx="9">
                        <c:v>100</c:v>
                      </c:pt>
                      <c:pt idx="10">
                        <c:v>117</c:v>
                      </c:pt>
                      <c:pt idx="11">
                        <c:v>129</c:v>
                      </c:pt>
                      <c:pt idx="12">
                        <c:v>141</c:v>
                      </c:pt>
                      <c:pt idx="13">
                        <c:v>152</c:v>
                      </c:pt>
                      <c:pt idx="14">
                        <c:v>186</c:v>
                      </c:pt>
                      <c:pt idx="15">
                        <c:v>219</c:v>
                      </c:pt>
                      <c:pt idx="16">
                        <c:v>241</c:v>
                      </c:pt>
                      <c:pt idx="17">
                        <c:v>262</c:v>
                      </c:pt>
                      <c:pt idx="18">
                        <c:v>293</c:v>
                      </c:pt>
                      <c:pt idx="19">
                        <c:v>323</c:v>
                      </c:pt>
                      <c:pt idx="20">
                        <c:v>343</c:v>
                      </c:pt>
                    </c:numCache>
                  </c:numRef>
                </c:yVal>
                <c:smooth val="0"/>
                <c:extLst xmlns:c15="http://schemas.microsoft.com/office/drawing/2012/chart">
                  <c:ext xmlns:c16="http://schemas.microsoft.com/office/drawing/2014/chart" uri="{C3380CC4-5D6E-409C-BE32-E72D297353CC}">
                    <c16:uniqueId val="{00000007-77FE-41C7-AAE8-33DF46154623}"/>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Tabelle'!$D$6:$X$6</c15:sqref>
                        </c15:formulaRef>
                      </c:ext>
                    </c:extLst>
                    <c:numCache>
                      <c:formatCode>General</c:formatCode>
                      <c:ptCount val="21"/>
                      <c:pt idx="0">
                        <c:v>0</c:v>
                      </c:pt>
                      <c:pt idx="1">
                        <c:v>45</c:v>
                      </c:pt>
                      <c:pt idx="2">
                        <c:v>53</c:v>
                      </c:pt>
                      <c:pt idx="3">
                        <c:v>61</c:v>
                      </c:pt>
                      <c:pt idx="4">
                        <c:v>69</c:v>
                      </c:pt>
                      <c:pt idx="5">
                        <c:v>77</c:v>
                      </c:pt>
                      <c:pt idx="6">
                        <c:v>85</c:v>
                      </c:pt>
                      <c:pt idx="7">
                        <c:v>93</c:v>
                      </c:pt>
                      <c:pt idx="8">
                        <c:v>100</c:v>
                      </c:pt>
                      <c:pt idx="9">
                        <c:v>123</c:v>
                      </c:pt>
                      <c:pt idx="10">
                        <c:v>144</c:v>
                      </c:pt>
                      <c:pt idx="11">
                        <c:v>158</c:v>
                      </c:pt>
                      <c:pt idx="12">
                        <c:v>172</c:v>
                      </c:pt>
                      <c:pt idx="13">
                        <c:v>186</c:v>
                      </c:pt>
                      <c:pt idx="14">
                        <c:v>225</c:v>
                      </c:pt>
                      <c:pt idx="15">
                        <c:v>263</c:v>
                      </c:pt>
                      <c:pt idx="16">
                        <c:v>287</c:v>
                      </c:pt>
                      <c:pt idx="17">
                        <c:v>310</c:v>
                      </c:pt>
                      <c:pt idx="18">
                        <c:v>343</c:v>
                      </c:pt>
                      <c:pt idx="19">
                        <c:v>374</c:v>
                      </c:pt>
                      <c:pt idx="20">
                        <c:v>394</c:v>
                      </c:pt>
                    </c:numCache>
                  </c:numRef>
                </c:yVal>
                <c:smooth val="0"/>
                <c:extLst xmlns:c15="http://schemas.microsoft.com/office/drawing/2012/chart">
                  <c:ext xmlns:c16="http://schemas.microsoft.com/office/drawing/2014/chart" uri="{C3380CC4-5D6E-409C-BE32-E72D297353CC}">
                    <c16:uniqueId val="{00000008-77FE-41C7-AAE8-33DF46154623}"/>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Tabelle'!$C$4:$V$4</c15:sqref>
                        </c15:formulaRef>
                      </c:ext>
                    </c:extLst>
                    <c:numCache>
                      <c:formatCode>General</c:formatCode>
                      <c:ptCount val="20"/>
                      <c:pt idx="0">
                        <c:v>21.1</c:v>
                      </c:pt>
                      <c:pt idx="1">
                        <c:v>23.6</c:v>
                      </c:pt>
                      <c:pt idx="2">
                        <c:v>27.5</c:v>
                      </c:pt>
                      <c:pt idx="3">
                        <c:v>31.2</c:v>
                      </c:pt>
                      <c:pt idx="4">
                        <c:v>34.9</c:v>
                      </c:pt>
                      <c:pt idx="5">
                        <c:v>38.4</c:v>
                      </c:pt>
                      <c:pt idx="6">
                        <c:v>41.9</c:v>
                      </c:pt>
                      <c:pt idx="7">
                        <c:v>45.3</c:v>
                      </c:pt>
                      <c:pt idx="8">
                        <c:v>55</c:v>
                      </c:pt>
                      <c:pt idx="9">
                        <c:v>63.9</c:v>
                      </c:pt>
                      <c:pt idx="10">
                        <c:v>69.5</c:v>
                      </c:pt>
                      <c:pt idx="11">
                        <c:v>74.7</c:v>
                      </c:pt>
                      <c:pt idx="12">
                        <c:v>82.7</c:v>
                      </c:pt>
                      <c:pt idx="13">
                        <c:v>104</c:v>
                      </c:pt>
                      <c:pt idx="14">
                        <c:v>124</c:v>
                      </c:pt>
                      <c:pt idx="15">
                        <c:v>138</c:v>
                      </c:pt>
                      <c:pt idx="16">
                        <c:v>151</c:v>
                      </c:pt>
                      <c:pt idx="17">
                        <c:v>171</c:v>
                      </c:pt>
                      <c:pt idx="18">
                        <c:v>189</c:v>
                      </c:pt>
                      <c:pt idx="19">
                        <c:v>201</c:v>
                      </c:pt>
                    </c:numCache>
                  </c:numRef>
                </c:yVal>
                <c:smooth val="0"/>
                <c:extLst xmlns:c15="http://schemas.microsoft.com/office/drawing/2012/chart">
                  <c:ext xmlns:c16="http://schemas.microsoft.com/office/drawing/2014/chart" uri="{C3380CC4-5D6E-409C-BE32-E72D297353CC}">
                    <c16:uniqueId val="{00000001-77FE-41C7-AAE8-33DF46154623}"/>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Tabelle'!$C$5:$V$5</c15:sqref>
                        </c15:formulaRef>
                      </c:ext>
                    </c:extLst>
                    <c:numCache>
                      <c:formatCode>General</c:formatCode>
                      <c:ptCount val="20"/>
                      <c:pt idx="0">
                        <c:v>27.9</c:v>
                      </c:pt>
                      <c:pt idx="1">
                        <c:v>32</c:v>
                      </c:pt>
                      <c:pt idx="2">
                        <c:v>37</c:v>
                      </c:pt>
                      <c:pt idx="3">
                        <c:v>41.9</c:v>
                      </c:pt>
                      <c:pt idx="4">
                        <c:v>46.8</c:v>
                      </c:pt>
                      <c:pt idx="5">
                        <c:v>51.6</c:v>
                      </c:pt>
                      <c:pt idx="6">
                        <c:v>56.3</c:v>
                      </c:pt>
                      <c:pt idx="7">
                        <c:v>60.9</c:v>
                      </c:pt>
                      <c:pt idx="8">
                        <c:v>74.3</c:v>
                      </c:pt>
                      <c:pt idx="9">
                        <c:v>87</c:v>
                      </c:pt>
                      <c:pt idx="10">
                        <c:v>95.1</c:v>
                      </c:pt>
                      <c:pt idx="11">
                        <c:v>103</c:v>
                      </c:pt>
                      <c:pt idx="12">
                        <c:v>115</c:v>
                      </c:pt>
                      <c:pt idx="13">
                        <c:v>140</c:v>
                      </c:pt>
                      <c:pt idx="14">
                        <c:v>166</c:v>
                      </c:pt>
                      <c:pt idx="15">
                        <c:v>183</c:v>
                      </c:pt>
                      <c:pt idx="16">
                        <c:v>200</c:v>
                      </c:pt>
                      <c:pt idx="17">
                        <c:v>225</c:v>
                      </c:pt>
                      <c:pt idx="18">
                        <c:v>251</c:v>
                      </c:pt>
                      <c:pt idx="19">
                        <c:v>269</c:v>
                      </c:pt>
                    </c:numCache>
                  </c:numRef>
                </c:yVal>
                <c:smooth val="0"/>
                <c:extLst xmlns:c15="http://schemas.microsoft.com/office/drawing/2012/chart">
                  <c:ext xmlns:c16="http://schemas.microsoft.com/office/drawing/2014/chart" uri="{C3380CC4-5D6E-409C-BE32-E72D297353CC}">
                    <c16:uniqueId val="{0000000A-77FE-41C7-AAE8-33DF46154623}"/>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Tabelle'!$C$6:$V$6</c15:sqref>
                        </c15:formulaRef>
                      </c:ext>
                    </c:extLst>
                    <c:numCache>
                      <c:formatCode>General</c:formatCode>
                      <c:ptCount val="20"/>
                      <c:pt idx="0">
                        <c:v>36.5</c:v>
                      </c:pt>
                      <c:pt idx="1">
                        <c:v>41.9</c:v>
                      </c:pt>
                      <c:pt idx="2">
                        <c:v>48.5</c:v>
                      </c:pt>
                      <c:pt idx="3">
                        <c:v>54.9</c:v>
                      </c:pt>
                      <c:pt idx="4">
                        <c:v>61.3</c:v>
                      </c:pt>
                      <c:pt idx="5">
                        <c:v>67.599999999999994</c:v>
                      </c:pt>
                      <c:pt idx="6">
                        <c:v>73.7</c:v>
                      </c:pt>
                      <c:pt idx="7">
                        <c:v>79.8</c:v>
                      </c:pt>
                      <c:pt idx="8">
                        <c:v>97.4</c:v>
                      </c:pt>
                      <c:pt idx="9">
                        <c:v>114</c:v>
                      </c:pt>
                      <c:pt idx="10">
                        <c:v>125</c:v>
                      </c:pt>
                      <c:pt idx="11">
                        <c:v>135</c:v>
                      </c:pt>
                      <c:pt idx="12">
                        <c:v>147</c:v>
                      </c:pt>
                      <c:pt idx="13">
                        <c:v>180</c:v>
                      </c:pt>
                      <c:pt idx="14">
                        <c:v>213</c:v>
                      </c:pt>
                      <c:pt idx="15">
                        <c:v>234</c:v>
                      </c:pt>
                      <c:pt idx="16">
                        <c:v>256</c:v>
                      </c:pt>
                      <c:pt idx="17">
                        <c:v>289</c:v>
                      </c:pt>
                      <c:pt idx="18">
                        <c:v>323</c:v>
                      </c:pt>
                      <c:pt idx="19">
                        <c:v>345</c:v>
                      </c:pt>
                    </c:numCache>
                  </c:numRef>
                </c:yVal>
                <c:smooth val="0"/>
                <c:extLst xmlns:c15="http://schemas.microsoft.com/office/drawing/2012/chart">
                  <c:ext xmlns:c16="http://schemas.microsoft.com/office/drawing/2014/chart" uri="{C3380CC4-5D6E-409C-BE32-E72D297353CC}">
                    <c16:uniqueId val="{0000000B-77FE-41C7-AAE8-33DF46154623}"/>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Tabelle'!$C$7:$V$7</c15:sqref>
                        </c15:formulaRef>
                      </c:ext>
                    </c:extLst>
                    <c:numCache>
                      <c:formatCode>General</c:formatCode>
                      <c:ptCount val="20"/>
                      <c:pt idx="0">
                        <c:v>45.1</c:v>
                      </c:pt>
                      <c:pt idx="1">
                        <c:v>51.7</c:v>
                      </c:pt>
                      <c:pt idx="2">
                        <c:v>59.9</c:v>
                      </c:pt>
                      <c:pt idx="3">
                        <c:v>67.900000000000006</c:v>
                      </c:pt>
                      <c:pt idx="4">
                        <c:v>75.8</c:v>
                      </c:pt>
                      <c:pt idx="5">
                        <c:v>83.5</c:v>
                      </c:pt>
                      <c:pt idx="6">
                        <c:v>91.1</c:v>
                      </c:pt>
                      <c:pt idx="7">
                        <c:v>98.6</c:v>
                      </c:pt>
                      <c:pt idx="8">
                        <c:v>120</c:v>
                      </c:pt>
                      <c:pt idx="9">
                        <c:v>141</c:v>
                      </c:pt>
                      <c:pt idx="10">
                        <c:v>154</c:v>
                      </c:pt>
                      <c:pt idx="11">
                        <c:v>167</c:v>
                      </c:pt>
                      <c:pt idx="12">
                        <c:v>179</c:v>
                      </c:pt>
                      <c:pt idx="13">
                        <c:v>219</c:v>
                      </c:pt>
                      <c:pt idx="14">
                        <c:v>259</c:v>
                      </c:pt>
                      <c:pt idx="15">
                        <c:v>285</c:v>
                      </c:pt>
                      <c:pt idx="16">
                        <c:v>312</c:v>
                      </c:pt>
                      <c:pt idx="17">
                        <c:v>352</c:v>
                      </c:pt>
                      <c:pt idx="18">
                        <c:v>392</c:v>
                      </c:pt>
                      <c:pt idx="19">
                        <c:v>420</c:v>
                      </c:pt>
                    </c:numCache>
                  </c:numRef>
                </c:yVal>
                <c:smooth val="0"/>
                <c:extLst xmlns:c15="http://schemas.microsoft.com/office/drawing/2012/chart">
                  <c:ext xmlns:c16="http://schemas.microsoft.com/office/drawing/2014/chart" uri="{C3380CC4-5D6E-409C-BE32-E72D297353CC}">
                    <c16:uniqueId val="{0000000C-77FE-41C7-AAE8-33DF46154623}"/>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2-77FE-41C7-AAE8-33DF46154623}"/>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E-77FE-41C7-AAE8-33DF46154623}"/>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F-77FE-41C7-AAE8-33DF46154623}"/>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10-77FE-41C7-AAE8-33DF46154623}"/>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Tabelle'!$C$3:$AB$3</c15:sqref>
                        </c15:formulaRef>
                      </c:ext>
                    </c:extLst>
                    <c:numCache>
                      <c:formatCode>General</c:formatCode>
                      <c:ptCount val="26"/>
                      <c:pt idx="0">
                        <c:v>17.5</c:v>
                      </c:pt>
                      <c:pt idx="1">
                        <c:v>25.6</c:v>
                      </c:pt>
                      <c:pt idx="2">
                        <c:v>33</c:v>
                      </c:pt>
                      <c:pt idx="3">
                        <c:v>40.1</c:v>
                      </c:pt>
                      <c:pt idx="4">
                        <c:v>44</c:v>
                      </c:pt>
                      <c:pt idx="5">
                        <c:v>46.1</c:v>
                      </c:pt>
                      <c:pt idx="6">
                        <c:v>47.1</c:v>
                      </c:pt>
                      <c:pt idx="7">
                        <c:v>48.9</c:v>
                      </c:pt>
                      <c:pt idx="8">
                        <c:v>51</c:v>
                      </c:pt>
                      <c:pt idx="9">
                        <c:v>52.4</c:v>
                      </c:pt>
                      <c:pt idx="10">
                        <c:v>57.6</c:v>
                      </c:pt>
                      <c:pt idx="11">
                        <c:v>58</c:v>
                      </c:pt>
                      <c:pt idx="12">
                        <c:v>60.1</c:v>
                      </c:pt>
                      <c:pt idx="13">
                        <c:v>65.099999999999994</c:v>
                      </c:pt>
                      <c:pt idx="14">
                        <c:v>66.5</c:v>
                      </c:pt>
                      <c:pt idx="15">
                        <c:v>70</c:v>
                      </c:pt>
                      <c:pt idx="16">
                        <c:v>75.2</c:v>
                      </c:pt>
                      <c:pt idx="17">
                        <c:v>89.5</c:v>
                      </c:pt>
                      <c:pt idx="18">
                        <c:v>111.4</c:v>
                      </c:pt>
                      <c:pt idx="19">
                        <c:v>123.1</c:v>
                      </c:pt>
                      <c:pt idx="20">
                        <c:v>134.1</c:v>
                      </c:pt>
                      <c:pt idx="21">
                        <c:v>138.4</c:v>
                      </c:pt>
                      <c:pt idx="22">
                        <c:v>149.80000000000001</c:v>
                      </c:pt>
                      <c:pt idx="23">
                        <c:v>154.19999999999999</c:v>
                      </c:pt>
                      <c:pt idx="24">
                        <c:v>165.9</c:v>
                      </c:pt>
                      <c:pt idx="25">
                        <c:v>190.9</c:v>
                      </c:pt>
                    </c:numCache>
                  </c:numRef>
                </c:yVal>
                <c:smooth val="0"/>
                <c:extLst xmlns:c15="http://schemas.microsoft.com/office/drawing/2012/chart">
                  <c:ext xmlns:c16="http://schemas.microsoft.com/office/drawing/2014/chart" uri="{C3380CC4-5D6E-409C-BE32-E72D297353CC}">
                    <c16:uniqueId val="{00000003-77FE-41C7-AAE8-33DF46154623}"/>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Tabelle'!$C$4:$AB$4</c15:sqref>
                        </c15:formulaRef>
                      </c:ext>
                    </c:extLst>
                    <c:numCache>
                      <c:formatCode>General</c:formatCode>
                      <c:ptCount val="26"/>
                      <c:pt idx="0">
                        <c:v>24.8</c:v>
                      </c:pt>
                      <c:pt idx="1">
                        <c:v>34.700000000000003</c:v>
                      </c:pt>
                      <c:pt idx="2">
                        <c:v>45.1</c:v>
                      </c:pt>
                      <c:pt idx="3">
                        <c:v>55.2</c:v>
                      </c:pt>
                      <c:pt idx="4">
                        <c:v>60.9</c:v>
                      </c:pt>
                      <c:pt idx="5">
                        <c:v>63.8</c:v>
                      </c:pt>
                      <c:pt idx="6">
                        <c:v>65.2</c:v>
                      </c:pt>
                      <c:pt idx="7">
                        <c:v>67.8</c:v>
                      </c:pt>
                      <c:pt idx="8">
                        <c:v>70.8</c:v>
                      </c:pt>
                      <c:pt idx="9">
                        <c:v>72.8</c:v>
                      </c:pt>
                      <c:pt idx="10">
                        <c:v>80</c:v>
                      </c:pt>
                      <c:pt idx="11">
                        <c:v>80.599999999999994</c:v>
                      </c:pt>
                      <c:pt idx="12">
                        <c:v>83.6</c:v>
                      </c:pt>
                      <c:pt idx="13">
                        <c:v>90.4</c:v>
                      </c:pt>
                      <c:pt idx="14">
                        <c:v>92.3</c:v>
                      </c:pt>
                      <c:pt idx="15">
                        <c:v>97.2</c:v>
                      </c:pt>
                      <c:pt idx="16">
                        <c:v>104.3</c:v>
                      </c:pt>
                      <c:pt idx="17">
                        <c:v>123.5</c:v>
                      </c:pt>
                      <c:pt idx="18">
                        <c:v>151.9</c:v>
                      </c:pt>
                      <c:pt idx="19">
                        <c:v>166.7</c:v>
                      </c:pt>
                      <c:pt idx="20">
                        <c:v>180.2</c:v>
                      </c:pt>
                      <c:pt idx="21">
                        <c:v>185.5</c:v>
                      </c:pt>
                      <c:pt idx="22">
                        <c:v>199</c:v>
                      </c:pt>
                      <c:pt idx="23">
                        <c:v>204.3</c:v>
                      </c:pt>
                      <c:pt idx="24">
                        <c:v>217.8</c:v>
                      </c:pt>
                      <c:pt idx="25">
                        <c:v>245.9</c:v>
                      </c:pt>
                    </c:numCache>
                  </c:numRef>
                </c:yVal>
                <c:smooth val="0"/>
                <c:extLst xmlns:c15="http://schemas.microsoft.com/office/drawing/2012/chart">
                  <c:ext xmlns:c16="http://schemas.microsoft.com/office/drawing/2014/chart" uri="{C3380CC4-5D6E-409C-BE32-E72D297353CC}">
                    <c16:uniqueId val="{00000012-77FE-41C7-AAE8-33DF46154623}"/>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Tabelle'!$C$5:$AB$5</c15:sqref>
                        </c15:formulaRef>
                      </c:ext>
                    </c:extLst>
                    <c:numCache>
                      <c:formatCode>General</c:formatCode>
                      <c:ptCount val="26"/>
                      <c:pt idx="0">
                        <c:v>32</c:v>
                      </c:pt>
                      <c:pt idx="1">
                        <c:v>46.8</c:v>
                      </c:pt>
                      <c:pt idx="2">
                        <c:v>59.8</c:v>
                      </c:pt>
                      <c:pt idx="3">
                        <c:v>72.400000000000006</c:v>
                      </c:pt>
                      <c:pt idx="4">
                        <c:v>79.3</c:v>
                      </c:pt>
                      <c:pt idx="5">
                        <c:v>83</c:v>
                      </c:pt>
                      <c:pt idx="6">
                        <c:v>84.7</c:v>
                      </c:pt>
                      <c:pt idx="7">
                        <c:v>87.9</c:v>
                      </c:pt>
                      <c:pt idx="8">
                        <c:v>91.6</c:v>
                      </c:pt>
                      <c:pt idx="9">
                        <c:v>94</c:v>
                      </c:pt>
                      <c:pt idx="10">
                        <c:v>102.9</c:v>
                      </c:pt>
                      <c:pt idx="11">
                        <c:v>103.6</c:v>
                      </c:pt>
                      <c:pt idx="12">
                        <c:v>107.2</c:v>
                      </c:pt>
                      <c:pt idx="13">
                        <c:v>115.6</c:v>
                      </c:pt>
                      <c:pt idx="14">
                        <c:v>118</c:v>
                      </c:pt>
                      <c:pt idx="15">
                        <c:v>123.9</c:v>
                      </c:pt>
                      <c:pt idx="16">
                        <c:v>132.69999999999999</c:v>
                      </c:pt>
                      <c:pt idx="17">
                        <c:v>156.19999999999999</c:v>
                      </c:pt>
                      <c:pt idx="18">
                        <c:v>191.4</c:v>
                      </c:pt>
                      <c:pt idx="19">
                        <c:v>209.7</c:v>
                      </c:pt>
                      <c:pt idx="20">
                        <c:v>226.6</c:v>
                      </c:pt>
                      <c:pt idx="21">
                        <c:v>233.3</c:v>
                      </c:pt>
                      <c:pt idx="22">
                        <c:v>250.3</c:v>
                      </c:pt>
                      <c:pt idx="23">
                        <c:v>256.89999999999998</c:v>
                      </c:pt>
                      <c:pt idx="24">
                        <c:v>274.10000000000002</c:v>
                      </c:pt>
                      <c:pt idx="25">
                        <c:v>310.2</c:v>
                      </c:pt>
                    </c:numCache>
                  </c:numRef>
                </c:yVal>
                <c:smooth val="0"/>
                <c:extLst xmlns:c15="http://schemas.microsoft.com/office/drawing/2012/chart">
                  <c:ext xmlns:c16="http://schemas.microsoft.com/office/drawing/2014/chart" uri="{C3380CC4-5D6E-409C-BE32-E72D297353CC}">
                    <c16:uniqueId val="{00000013-77FE-41C7-AAE8-33DF46154623}"/>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Tabelle'!$C$6:$AB$6</c15:sqref>
                        </c15:formulaRef>
                      </c:ext>
                    </c:extLst>
                    <c:numCache>
                      <c:formatCode>General</c:formatCode>
                      <c:ptCount val="26"/>
                      <c:pt idx="0">
                        <c:v>39.700000000000003</c:v>
                      </c:pt>
                      <c:pt idx="1">
                        <c:v>56.5</c:v>
                      </c:pt>
                      <c:pt idx="2">
                        <c:v>72.400000000000006</c:v>
                      </c:pt>
                      <c:pt idx="3">
                        <c:v>87.7</c:v>
                      </c:pt>
                      <c:pt idx="4">
                        <c:v>96.2</c:v>
                      </c:pt>
                      <c:pt idx="5">
                        <c:v>100.7</c:v>
                      </c:pt>
                      <c:pt idx="6">
                        <c:v>102.7</c:v>
                      </c:pt>
                      <c:pt idx="7">
                        <c:v>106.6</c:v>
                      </c:pt>
                      <c:pt idx="8">
                        <c:v>111</c:v>
                      </c:pt>
                      <c:pt idx="9">
                        <c:v>114</c:v>
                      </c:pt>
                      <c:pt idx="10">
                        <c:v>124.8</c:v>
                      </c:pt>
                      <c:pt idx="11">
                        <c:v>125.7</c:v>
                      </c:pt>
                      <c:pt idx="12">
                        <c:v>130</c:v>
                      </c:pt>
                      <c:pt idx="13">
                        <c:v>140.1</c:v>
                      </c:pt>
                      <c:pt idx="14">
                        <c:v>143</c:v>
                      </c:pt>
                      <c:pt idx="15">
                        <c:v>150.1</c:v>
                      </c:pt>
                      <c:pt idx="16">
                        <c:v>160.6</c:v>
                      </c:pt>
                      <c:pt idx="17">
                        <c:v>188.8</c:v>
                      </c:pt>
                      <c:pt idx="18">
                        <c:v>230.4</c:v>
                      </c:pt>
                      <c:pt idx="19">
                        <c:v>251.9</c:v>
                      </c:pt>
                      <c:pt idx="20">
                        <c:v>271.60000000000002</c:v>
                      </c:pt>
                      <c:pt idx="21">
                        <c:v>279.3</c:v>
                      </c:pt>
                      <c:pt idx="22">
                        <c:v>299</c:v>
                      </c:pt>
                      <c:pt idx="23">
                        <c:v>306.7</c:v>
                      </c:pt>
                      <c:pt idx="24">
                        <c:v>326.39999999999998</c:v>
                      </c:pt>
                      <c:pt idx="25">
                        <c:v>367.4</c:v>
                      </c:pt>
                    </c:numCache>
                  </c:numRef>
                </c:yVal>
                <c:smooth val="0"/>
                <c:extLst xmlns:c15="http://schemas.microsoft.com/office/drawing/2012/chart">
                  <c:ext xmlns:c16="http://schemas.microsoft.com/office/drawing/2014/chart" uri="{C3380CC4-5D6E-409C-BE32-E72D297353CC}">
                    <c16:uniqueId val="{00000014-77FE-41C7-AAE8-33DF46154623}"/>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04-77FE-41C7-AAE8-33DF46154623}"/>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77FE-41C7-AAE8-33DF46154623}"/>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77FE-41C7-AAE8-33DF46154623}"/>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77FE-41C7-AAE8-33DF46154623}"/>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428025230044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THGE </a:t>
            </a:r>
            <a:r>
              <a:rPr lang="de-CH" baseline="0"/>
              <a:t> 2-Säule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0"/>
          <c:order val="0"/>
          <c:tx>
            <c:strRef>
              <c:f>'Arbonia Tabelle'!$Y$3</c:f>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f>'Arbonia Tabelle'!$D$75:$X$75</c:f>
              <c:numCache>
                <c:formatCode>0.00</c:formatCode>
                <c:ptCount val="21"/>
                <c:pt idx="0">
                  <c:v>0.369672</c:v>
                </c:pt>
                <c:pt idx="1">
                  <c:v>0.47829599999999994</c:v>
                </c:pt>
                <c:pt idx="2">
                  <c:v>0.55771999999999999</c:v>
                </c:pt>
                <c:pt idx="3">
                  <c:v>0.64444400000000002</c:v>
                </c:pt>
                <c:pt idx="4">
                  <c:v>0.73116800000000004</c:v>
                </c:pt>
                <c:pt idx="5">
                  <c:v>0.7749680000000001</c:v>
                </c:pt>
                <c:pt idx="6">
                  <c:v>0.8616919999999999</c:v>
                </c:pt>
                <c:pt idx="7">
                  <c:v>0.94841599999999993</c:v>
                </c:pt>
                <c:pt idx="8">
                  <c:v>1.0351399999999999</c:v>
                </c:pt>
                <c:pt idx="9">
                  <c:v>1.2596879999999999</c:v>
                </c:pt>
                <c:pt idx="10">
                  <c:v>1.51986</c:v>
                </c:pt>
                <c:pt idx="11">
                  <c:v>1.6503839999999999</c:v>
                </c:pt>
                <c:pt idx="12">
                  <c:v>1.8238319999999999</c:v>
                </c:pt>
                <c:pt idx="13">
                  <c:v>1.9543560000000002</c:v>
                </c:pt>
                <c:pt idx="14">
                  <c:v>2.439076</c:v>
                </c:pt>
                <c:pt idx="15">
                  <c:v>2.9164959999999995</c:v>
                </c:pt>
                <c:pt idx="16">
                  <c:v>3.2204679999999994</c:v>
                </c:pt>
                <c:pt idx="17">
                  <c:v>3.5317400000000001</c:v>
                </c:pt>
                <c:pt idx="18">
                  <c:v>4.0091599999999996</c:v>
                </c:pt>
                <c:pt idx="19">
                  <c:v>4.4436559999999998</c:v>
                </c:pt>
                <c:pt idx="20">
                  <c:v>4.7978519999999998</c:v>
                </c:pt>
              </c:numCache>
            </c:numRef>
          </c:yVal>
          <c:smooth val="0"/>
          <c:extLst>
            <c:ext xmlns:c16="http://schemas.microsoft.com/office/drawing/2014/chart" uri="{C3380CC4-5D6E-409C-BE32-E72D297353CC}">
              <c16:uniqueId val="{00000000-F3D3-4E16-AA91-F9D1B392AE12}"/>
            </c:ext>
          </c:extLst>
        </c:ser>
        <c:ser>
          <c:idx val="5"/>
          <c:order val="5"/>
          <c:tx>
            <c:strRef>
              <c:f>'Zehnder Charl. Tabelle'!$W$4</c:f>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f>'Zehnder Charl. Tabelle'!$C$2:$V$2</c:f>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f>'Zehnder Charl. Tabelle'!$C$85:$V$85</c:f>
              <c:numCache>
                <c:formatCode>0.00</c:formatCode>
                <c:ptCount val="20"/>
                <c:pt idx="0">
                  <c:v>0.463696</c:v>
                </c:pt>
                <c:pt idx="1">
                  <c:v>0.492896</c:v>
                </c:pt>
                <c:pt idx="2">
                  <c:v>0.58692</c:v>
                </c:pt>
                <c:pt idx="3">
                  <c:v>0.65904399999999996</c:v>
                </c:pt>
                <c:pt idx="4">
                  <c:v>0.75306800000000007</c:v>
                </c:pt>
                <c:pt idx="5">
                  <c:v>0.80416799999999999</c:v>
                </c:pt>
                <c:pt idx="6">
                  <c:v>0.89089200000000002</c:v>
                </c:pt>
                <c:pt idx="7">
                  <c:v>0.9849159999999999</c:v>
                </c:pt>
                <c:pt idx="8">
                  <c:v>1.2094640000000001</c:v>
                </c:pt>
                <c:pt idx="9">
                  <c:v>1.4842360000000001</c:v>
                </c:pt>
                <c:pt idx="10">
                  <c:v>1.6220599999999998</c:v>
                </c:pt>
                <c:pt idx="11">
                  <c:v>1.8028080000000002</c:v>
                </c:pt>
                <c:pt idx="12">
                  <c:v>1.9406319999999999</c:v>
                </c:pt>
                <c:pt idx="13">
                  <c:v>2.4472519999999998</c:v>
                </c:pt>
                <c:pt idx="14">
                  <c:v>2.9465720000000006</c:v>
                </c:pt>
                <c:pt idx="15">
                  <c:v>3.2651439999999998</c:v>
                </c:pt>
                <c:pt idx="16">
                  <c:v>3.5910159999999998</c:v>
                </c:pt>
                <c:pt idx="17">
                  <c:v>4.0903359999999997</c:v>
                </c:pt>
                <c:pt idx="18">
                  <c:v>4.5896559999999997</c:v>
                </c:pt>
                <c:pt idx="19">
                  <c:v>4.9155280000000001</c:v>
                </c:pt>
              </c:numCache>
            </c:numRef>
          </c:yVal>
          <c:smooth val="0"/>
          <c:extLst>
            <c:ext xmlns:c16="http://schemas.microsoft.com/office/drawing/2014/chart" uri="{C3380CC4-5D6E-409C-BE32-E72D297353CC}">
              <c16:uniqueId val="{00000001-F3D3-4E16-AA91-F9D1B392AE12}"/>
            </c:ext>
          </c:extLst>
        </c:ser>
        <c:ser>
          <c:idx val="15"/>
          <c:order val="15"/>
          <c:tx>
            <c:strRef>
              <c:f>'Cordivari Tabelle'!$AC$3</c:f>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f>'Cordivari Tabelle'!$C$75:$AB$75</c:f>
              <c:numCache>
                <c:formatCode>0.00</c:formatCode>
                <c:ptCount val="26"/>
                <c:pt idx="0">
                  <c:v>0.38427199999999995</c:v>
                </c:pt>
                <c:pt idx="1">
                  <c:v>0.57231999999999994</c:v>
                </c:pt>
                <c:pt idx="2">
                  <c:v>0.71744399999999997</c:v>
                </c:pt>
                <c:pt idx="3">
                  <c:v>0.90549199999999996</c:v>
                </c:pt>
                <c:pt idx="4">
                  <c:v>1.0068159999999999</c:v>
                </c:pt>
                <c:pt idx="5">
                  <c:v>1.036016</c:v>
                </c:pt>
                <c:pt idx="6">
                  <c:v>1.050616</c:v>
                </c:pt>
                <c:pt idx="7">
                  <c:v>1.2085879999999998</c:v>
                </c:pt>
                <c:pt idx="8">
                  <c:v>1.15194</c:v>
                </c:pt>
                <c:pt idx="9">
                  <c:v>1.216764</c:v>
                </c:pt>
                <c:pt idx="10">
                  <c:v>1.3326880000000001</c:v>
                </c:pt>
                <c:pt idx="11">
                  <c:v>1.339988</c:v>
                </c:pt>
                <c:pt idx="12">
                  <c:v>1.29064</c:v>
                </c:pt>
                <c:pt idx="13">
                  <c:v>1.485112</c:v>
                </c:pt>
                <c:pt idx="14">
                  <c:v>1.5499360000000002</c:v>
                </c:pt>
                <c:pt idx="15">
                  <c:v>1.5426360000000001</c:v>
                </c:pt>
                <c:pt idx="16">
                  <c:v>1.7242599999999997</c:v>
                </c:pt>
                <c:pt idx="17">
                  <c:v>2.0574319999999999</c:v>
                </c:pt>
                <c:pt idx="18">
                  <c:v>2.5786519999999999</c:v>
                </c:pt>
                <c:pt idx="19">
                  <c:v>2.8250999999999999</c:v>
                </c:pt>
                <c:pt idx="20">
                  <c:v>3.0998720000000004</c:v>
                </c:pt>
                <c:pt idx="21">
                  <c:v>3.1655720000000001</c:v>
                </c:pt>
                <c:pt idx="22">
                  <c:v>3.4403439999999996</c:v>
                </c:pt>
                <c:pt idx="23">
                  <c:v>3.5060440000000002</c:v>
                </c:pt>
                <c:pt idx="24">
                  <c:v>3.7735159999999999</c:v>
                </c:pt>
                <c:pt idx="25">
                  <c:v>4.2518120000000001</c:v>
                </c:pt>
              </c:numCache>
            </c:numRef>
          </c:yVal>
          <c:smooth val="0"/>
          <c:extLst>
            <c:ext xmlns:c16="http://schemas.microsoft.com/office/drawing/2014/chart" uri="{C3380CC4-5D6E-409C-BE32-E72D297353CC}">
              <c16:uniqueId val="{00000003-F3D3-4E16-AA91-F9D1B392AE12}"/>
            </c:ext>
          </c:extLst>
        </c:ser>
        <c:ser>
          <c:idx val="25"/>
          <c:order val="25"/>
          <c:tx>
            <c:strRef>
              <c:f>'Emissionen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'Emissionen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'Emissionen alle'!$B$48:$U$48</c:f>
              <c:numCache>
                <c:formatCode>0.00</c:formatCode>
                <c:ptCount val="20"/>
                <c:pt idx="0">
                  <c:v>0.47099599999999997</c:v>
                </c:pt>
                <c:pt idx="1">
                  <c:v>0.54097866666666661</c:v>
                </c:pt>
                <c:pt idx="2">
                  <c:v>0.61568200000000006</c:v>
                </c:pt>
                <c:pt idx="3">
                  <c:v>0.70255199999999995</c:v>
                </c:pt>
                <c:pt idx="4">
                  <c:v>0.76401800000000009</c:v>
                </c:pt>
                <c:pt idx="5">
                  <c:v>0.8571173333333334</c:v>
                </c:pt>
                <c:pt idx="6">
                  <c:v>0.94870799999999988</c:v>
                </c:pt>
                <c:pt idx="7">
                  <c:v>1.0235573333333334</c:v>
                </c:pt>
                <c:pt idx="8">
                  <c:v>1.2672800000000002</c:v>
                </c:pt>
                <c:pt idx="9">
                  <c:v>1.502048</c:v>
                </c:pt>
                <c:pt idx="10">
                  <c:v>1.6655679999999997</c:v>
                </c:pt>
                <c:pt idx="11">
                  <c:v>1.81332</c:v>
                </c:pt>
                <c:pt idx="12">
                  <c:v>1.98414</c:v>
                </c:pt>
                <c:pt idx="13">
                  <c:v>2.4883266666666666</c:v>
                </c:pt>
                <c:pt idx="14">
                  <c:v>2.9876466666666666</c:v>
                </c:pt>
                <c:pt idx="15">
                  <c:v>3.3086519999999999</c:v>
                </c:pt>
                <c:pt idx="16">
                  <c:v>3.6320906666666666</c:v>
                </c:pt>
                <c:pt idx="17">
                  <c:v>4.1171026666666668</c:v>
                </c:pt>
                <c:pt idx="18">
                  <c:v>4.5166559999999993</c:v>
                </c:pt>
                <c:pt idx="19">
                  <c:v>4.8566900000000004</c:v>
                </c:pt>
              </c:numCache>
            </c:numRef>
          </c:yVal>
          <c:smooth val="0"/>
          <c:extLst>
            <c:ext xmlns:c16="http://schemas.microsoft.com/office/drawing/2014/chart" uri="{C3380CC4-5D6E-409C-BE32-E72D297353CC}">
              <c16:uniqueId val="{00000005-F3D3-4E16-AA91-F9D1B392AE12}"/>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1"/>
                <c:order val="1"/>
                <c:tx>
                  <c:strRef>
                    <c:extLst>
                      <c:ex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Tabelle'!$D$76:$X$76</c15:sqref>
                        </c15:formulaRef>
                      </c:ext>
                    </c:extLst>
                    <c:numCache>
                      <c:formatCode>0.00</c:formatCode>
                      <c:ptCount val="21"/>
                      <c:pt idx="0">
                        <c:v>0.57962000000000002</c:v>
                      </c:pt>
                      <c:pt idx="1">
                        <c:v>0.76036800000000004</c:v>
                      </c:pt>
                      <c:pt idx="2">
                        <c:v>0.85439199999999982</c:v>
                      </c:pt>
                      <c:pt idx="3">
                        <c:v>0.96301599999999998</c:v>
                      </c:pt>
                      <c:pt idx="4">
                        <c:v>1.0716399999999999</c:v>
                      </c:pt>
                      <c:pt idx="5">
                        <c:v>1.180264</c:v>
                      </c:pt>
                      <c:pt idx="6">
                        <c:v>1.288888</c:v>
                      </c:pt>
                      <c:pt idx="7">
                        <c:v>1.4477359999999999</c:v>
                      </c:pt>
                      <c:pt idx="8">
                        <c:v>1.5563599999999997</c:v>
                      </c:pt>
                      <c:pt idx="9">
                        <c:v>1.8822319999999999</c:v>
                      </c:pt>
                      <c:pt idx="10">
                        <c:v>2.2510279999999998</c:v>
                      </c:pt>
                      <c:pt idx="11">
                        <c:v>2.4755760000000002</c:v>
                      </c:pt>
                      <c:pt idx="12">
                        <c:v>2.7357480000000001</c:v>
                      </c:pt>
                      <c:pt idx="13">
                        <c:v>2.9529959999999997</c:v>
                      </c:pt>
                      <c:pt idx="14">
                        <c:v>3.6549640000000001</c:v>
                      </c:pt>
                      <c:pt idx="15">
                        <c:v>4.3496319999999997</c:v>
                      </c:pt>
                      <c:pt idx="16">
                        <c:v>4.8343519999999991</c:v>
                      </c:pt>
                      <c:pt idx="17">
                        <c:v>5.2688480000000002</c:v>
                      </c:pt>
                      <c:pt idx="18">
                        <c:v>5.9708159999999992</c:v>
                      </c:pt>
                      <c:pt idx="19">
                        <c:v>6.7084080000000004</c:v>
                      </c:pt>
                      <c:pt idx="20">
                        <c:v>7.1502039999999996</c:v>
                      </c:pt>
                    </c:numCache>
                  </c:numRef>
                </c:yVal>
                <c:smooth val="0"/>
                <c:extLst>
                  <c:ext xmlns:c16="http://schemas.microsoft.com/office/drawing/2014/chart" uri="{C3380CC4-5D6E-409C-BE32-E72D297353CC}">
                    <c16:uniqueId val="{00000006-F3D3-4E16-AA91-F9D1B392AE12}"/>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Tabelle'!$D$77:$X$77</c15:sqref>
                        </c15:formulaRef>
                      </c:ext>
                    </c:extLst>
                    <c:numCache>
                      <c:formatCode>0.00</c:formatCode>
                      <c:ptCount val="21"/>
                      <c:pt idx="0">
                        <c:v>0.78226800000000007</c:v>
                      </c:pt>
                      <c:pt idx="1">
                        <c:v>0.99951599999999996</c:v>
                      </c:pt>
                      <c:pt idx="2">
                        <c:v>1.1081399999999999</c:v>
                      </c:pt>
                      <c:pt idx="3">
                        <c:v>1.288888</c:v>
                      </c:pt>
                      <c:pt idx="4">
                        <c:v>1.4194119999999999</c:v>
                      </c:pt>
                      <c:pt idx="5">
                        <c:v>1.5928599999999999</c:v>
                      </c:pt>
                      <c:pt idx="6">
                        <c:v>1.766308</c:v>
                      </c:pt>
                      <c:pt idx="7">
                        <c:v>1.8968319999999999</c:v>
                      </c:pt>
                      <c:pt idx="8">
                        <c:v>2.0702799999999999</c:v>
                      </c:pt>
                      <c:pt idx="9">
                        <c:v>2.5120759999999995</c:v>
                      </c:pt>
                      <c:pt idx="10">
                        <c:v>2.9894959999999999</c:v>
                      </c:pt>
                      <c:pt idx="11">
                        <c:v>3.2934679999999998</c:v>
                      </c:pt>
                      <c:pt idx="12">
                        <c:v>3.6047400000000001</c:v>
                      </c:pt>
                      <c:pt idx="13">
                        <c:v>3.9087120000000004</c:v>
                      </c:pt>
                      <c:pt idx="14">
                        <c:v>4.8708519999999993</c:v>
                      </c:pt>
                      <c:pt idx="15">
                        <c:v>5.7900679999999998</c:v>
                      </c:pt>
                      <c:pt idx="16">
                        <c:v>6.4409359999999989</c:v>
                      </c:pt>
                      <c:pt idx="17">
                        <c:v>7.0561799999999995</c:v>
                      </c:pt>
                      <c:pt idx="18">
                        <c:v>7.9680959999999992</c:v>
                      </c:pt>
                      <c:pt idx="19">
                        <c:v>8.9302360000000007</c:v>
                      </c:pt>
                      <c:pt idx="20">
                        <c:v>9.5454799999999995</c:v>
                      </c:pt>
                    </c:numCache>
                  </c:numRef>
                </c:yVal>
                <c:smooth val="0"/>
                <c:extLst xmlns:c15="http://schemas.microsoft.com/office/drawing/2012/chart">
                  <c:ext xmlns:c16="http://schemas.microsoft.com/office/drawing/2014/chart" uri="{C3380CC4-5D6E-409C-BE32-E72D297353CC}">
                    <c16:uniqueId val="{00000007-F3D3-4E16-AA91-F9D1B392AE12}"/>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Tabelle'!$D$78:$X$78</c15:sqref>
                        </c15:formulaRef>
                      </c:ext>
                    </c:extLst>
                    <c:numCache>
                      <c:formatCode>0.00</c:formatCode>
                      <c:ptCount val="21"/>
                      <c:pt idx="0">
                        <c:v>0</c:v>
                      </c:pt>
                      <c:pt idx="1">
                        <c:v>1.282464</c:v>
                      </c:pt>
                      <c:pt idx="2">
                        <c:v>1.4559120000000001</c:v>
                      </c:pt>
                      <c:pt idx="3">
                        <c:v>1.6512599999999997</c:v>
                      </c:pt>
                      <c:pt idx="4">
                        <c:v>1.8466080000000002</c:v>
                      </c:pt>
                      <c:pt idx="5">
                        <c:v>2.0419559999999999</c:v>
                      </c:pt>
                      <c:pt idx="6">
                        <c:v>2.237304</c:v>
                      </c:pt>
                      <c:pt idx="7">
                        <c:v>2.4399519999999999</c:v>
                      </c:pt>
                      <c:pt idx="8">
                        <c:v>2.6353</c:v>
                      </c:pt>
                      <c:pt idx="9">
                        <c:v>3.1784199999999996</c:v>
                      </c:pt>
                      <c:pt idx="10">
                        <c:v>3.7717639999999997</c:v>
                      </c:pt>
                      <c:pt idx="11">
                        <c:v>4.1624600000000003</c:v>
                      </c:pt>
                      <c:pt idx="12">
                        <c:v>4.5531559999999995</c:v>
                      </c:pt>
                      <c:pt idx="13">
                        <c:v>4.9511520000000004</c:v>
                      </c:pt>
                      <c:pt idx="14">
                        <c:v>6.1305399999999999</c:v>
                      </c:pt>
                      <c:pt idx="15">
                        <c:v>7.3099280000000002</c:v>
                      </c:pt>
                      <c:pt idx="16">
                        <c:v>8.0913199999999996</c:v>
                      </c:pt>
                      <c:pt idx="17">
                        <c:v>8.8370879999999996</c:v>
                      </c:pt>
                      <c:pt idx="18">
                        <c:v>10.016476000000001</c:v>
                      </c:pt>
                      <c:pt idx="19">
                        <c:v>11.195864</c:v>
                      </c:pt>
                      <c:pt idx="20">
                        <c:v>11.984556</c:v>
                      </c:pt>
                    </c:numCache>
                  </c:numRef>
                </c:yVal>
                <c:smooth val="0"/>
                <c:extLst xmlns:c15="http://schemas.microsoft.com/office/drawing/2012/chart">
                  <c:ext xmlns:c16="http://schemas.microsoft.com/office/drawing/2014/chart" uri="{C3380CC4-5D6E-409C-BE32-E72D297353CC}">
                    <c16:uniqueId val="{00000008-F3D3-4E16-AA91-F9D1B392AE12}"/>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Tabelle'!$D$79:$X$79</c15:sqref>
                        </c15:formulaRef>
                      </c:ext>
                    </c:extLst>
                    <c:numCache>
                      <c:formatCode>0.00</c:formatCode>
                      <c:ptCount val="21"/>
                      <c:pt idx="0">
                        <c:v>0</c:v>
                      </c:pt>
                      <c:pt idx="1">
                        <c:v>1.5362119999999999</c:v>
                      </c:pt>
                      <c:pt idx="2">
                        <c:v>1.73156</c:v>
                      </c:pt>
                      <c:pt idx="3">
                        <c:v>1.9917319999999998</c:v>
                      </c:pt>
                      <c:pt idx="4">
                        <c:v>2.2089799999999999</c:v>
                      </c:pt>
                      <c:pt idx="5">
                        <c:v>2.4262279999999996</c:v>
                      </c:pt>
                      <c:pt idx="6">
                        <c:v>2.6863999999999999</c:v>
                      </c:pt>
                      <c:pt idx="7">
                        <c:v>2.9109480000000003</c:v>
                      </c:pt>
                      <c:pt idx="8">
                        <c:v>3.128196</c:v>
                      </c:pt>
                      <c:pt idx="9">
                        <c:v>3.8657880000000002</c:v>
                      </c:pt>
                      <c:pt idx="10">
                        <c:v>4.5677560000000001</c:v>
                      </c:pt>
                      <c:pt idx="11">
                        <c:v>5.0022520000000004</c:v>
                      </c:pt>
                      <c:pt idx="12">
                        <c:v>5.4869719999999997</c:v>
                      </c:pt>
                      <c:pt idx="13">
                        <c:v>5.9643919999999992</c:v>
                      </c:pt>
                      <c:pt idx="14">
                        <c:v>7.3610279999999992</c:v>
                      </c:pt>
                      <c:pt idx="15">
                        <c:v>8.7649639999999991</c:v>
                      </c:pt>
                      <c:pt idx="16">
                        <c:v>9.6768800000000006</c:v>
                      </c:pt>
                      <c:pt idx="17">
                        <c:v>10.63902</c:v>
                      </c:pt>
                      <c:pt idx="18">
                        <c:v>12.035655999999999</c:v>
                      </c:pt>
                      <c:pt idx="19">
                        <c:v>13.439592000000001</c:v>
                      </c:pt>
                      <c:pt idx="20">
                        <c:v>14.394432000000002</c:v>
                      </c:pt>
                    </c:numCache>
                  </c:numRef>
                </c:yVal>
                <c:smooth val="0"/>
                <c:extLst xmlns:c15="http://schemas.microsoft.com/office/drawing/2012/chart">
                  <c:ext xmlns:c16="http://schemas.microsoft.com/office/drawing/2014/chart" uri="{C3380CC4-5D6E-409C-BE32-E72D297353CC}">
                    <c16:uniqueId val="{00000009-F3D3-4E16-AA91-F9D1B392AE12}"/>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Tabelle'!$C$86:$V$86</c15:sqref>
                        </c15:formulaRef>
                      </c:ext>
                    </c:extLst>
                    <c:numCache>
                      <c:formatCode>0.00</c:formatCode>
                      <c:ptCount val="20"/>
                      <c:pt idx="0">
                        <c:v>0.66634400000000005</c:v>
                      </c:pt>
                      <c:pt idx="1">
                        <c:v>0.76036800000000004</c:v>
                      </c:pt>
                      <c:pt idx="2">
                        <c:v>0.87629199999999985</c:v>
                      </c:pt>
                      <c:pt idx="3">
                        <c:v>0.99221599999999988</c:v>
                      </c:pt>
                      <c:pt idx="4">
                        <c:v>1.1081399999999999</c:v>
                      </c:pt>
                      <c:pt idx="5">
                        <c:v>1.2240639999999998</c:v>
                      </c:pt>
                      <c:pt idx="6">
                        <c:v>1.339988</c:v>
                      </c:pt>
                      <c:pt idx="7">
                        <c:v>1.4988360000000001</c:v>
                      </c:pt>
                      <c:pt idx="8">
                        <c:v>1.8393079999999999</c:v>
                      </c:pt>
                      <c:pt idx="9">
                        <c:v>2.2227040000000002</c:v>
                      </c:pt>
                      <c:pt idx="10">
                        <c:v>2.4545519999999996</c:v>
                      </c:pt>
                      <c:pt idx="11">
                        <c:v>2.6863999999999999</c:v>
                      </c:pt>
                      <c:pt idx="12">
                        <c:v>2.9538720000000001</c:v>
                      </c:pt>
                      <c:pt idx="13">
                        <c:v>3.6850400000000003</c:v>
                      </c:pt>
                      <c:pt idx="14">
                        <c:v>4.4162080000000001</c:v>
                      </c:pt>
                      <c:pt idx="15">
                        <c:v>4.9155280000000001</c:v>
                      </c:pt>
                      <c:pt idx="16">
                        <c:v>5.3719239999999999</c:v>
                      </c:pt>
                      <c:pt idx="17">
                        <c:v>6.1030919999999993</c:v>
                      </c:pt>
                      <c:pt idx="18">
                        <c:v>6.8342599999999996</c:v>
                      </c:pt>
                      <c:pt idx="19">
                        <c:v>7.3335799999999995</c:v>
                      </c:pt>
                    </c:numCache>
                  </c:numRef>
                </c:yVal>
                <c:smooth val="0"/>
                <c:extLst xmlns:c15="http://schemas.microsoft.com/office/drawing/2012/chart">
                  <c:ext xmlns:c16="http://schemas.microsoft.com/office/drawing/2014/chart" uri="{C3380CC4-5D6E-409C-BE32-E72D297353CC}">
                    <c16:uniqueId val="{0000000A-F3D3-4E16-AA91-F9D1B392AE12}"/>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Tabelle'!$C$87:$V$87</c15:sqref>
                        </c15:formulaRef>
                      </c:ext>
                    </c:extLst>
                    <c:numCache>
                      <c:formatCode>0.00</c:formatCode>
                      <c:ptCount val="20"/>
                      <c:pt idx="0">
                        <c:v>0.90549199999999996</c:v>
                      </c:pt>
                      <c:pt idx="1">
                        <c:v>1.028716</c:v>
                      </c:pt>
                      <c:pt idx="2">
                        <c:v>1.2094640000000001</c:v>
                      </c:pt>
                      <c:pt idx="3">
                        <c:v>1.361888</c:v>
                      </c:pt>
                      <c:pt idx="4">
                        <c:v>1.5426360000000001</c:v>
                      </c:pt>
                      <c:pt idx="5">
                        <c:v>1.6804599999999996</c:v>
                      </c:pt>
                      <c:pt idx="6">
                        <c:v>1.861208</c:v>
                      </c:pt>
                      <c:pt idx="7">
                        <c:v>2.034656</c:v>
                      </c:pt>
                      <c:pt idx="8">
                        <c:v>2.4910519999999998</c:v>
                      </c:pt>
                      <c:pt idx="9">
                        <c:v>2.9903720000000003</c:v>
                      </c:pt>
                      <c:pt idx="10">
                        <c:v>3.301644</c:v>
                      </c:pt>
                      <c:pt idx="11">
                        <c:v>3.6202160000000001</c:v>
                      </c:pt>
                      <c:pt idx="12">
                        <c:v>3.9387880000000002</c:v>
                      </c:pt>
                      <c:pt idx="13">
                        <c:v>4.9301279999999998</c:v>
                      </c:pt>
                      <c:pt idx="14">
                        <c:v>5.8785439999999998</c:v>
                      </c:pt>
                      <c:pt idx="15">
                        <c:v>6.5586120000000001</c:v>
                      </c:pt>
                      <c:pt idx="16">
                        <c:v>7.1884559999999995</c:v>
                      </c:pt>
                      <c:pt idx="17">
                        <c:v>8.1368719999999986</c:v>
                      </c:pt>
                      <c:pt idx="18">
                        <c:v>9.1282120000000013</c:v>
                      </c:pt>
                      <c:pt idx="19">
                        <c:v>9.7653559999999988</c:v>
                      </c:pt>
                    </c:numCache>
                  </c:numRef>
                </c:yVal>
                <c:smooth val="0"/>
                <c:extLst xmlns:c15="http://schemas.microsoft.com/office/drawing/2012/chart">
                  <c:ext xmlns:c16="http://schemas.microsoft.com/office/drawing/2014/chart" uri="{C3380CC4-5D6E-409C-BE32-E72D297353CC}">
                    <c16:uniqueId val="{0000000B-F3D3-4E16-AA91-F9D1B392AE12}"/>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Tabelle'!$C$88:$V$88</c15:sqref>
                        </c15:formulaRef>
                      </c:ext>
                    </c:extLst>
                    <c:numCache>
                      <c:formatCode>0.00</c:formatCode>
                      <c:ptCount val="20"/>
                      <c:pt idx="0">
                        <c:v>1.0716399999999999</c:v>
                      </c:pt>
                      <c:pt idx="1">
                        <c:v>1.2523879999999998</c:v>
                      </c:pt>
                      <c:pt idx="2">
                        <c:v>1.4194119999999999</c:v>
                      </c:pt>
                      <c:pt idx="3">
                        <c:v>1.7461599999999997</c:v>
                      </c:pt>
                      <c:pt idx="4">
                        <c:v>1.9488080000000001</c:v>
                      </c:pt>
                      <c:pt idx="5">
                        <c:v>2.151456</c:v>
                      </c:pt>
                      <c:pt idx="6">
                        <c:v>2.3184800000000001</c:v>
                      </c:pt>
                      <c:pt idx="7">
                        <c:v>2.5640520000000002</c:v>
                      </c:pt>
                      <c:pt idx="8">
                        <c:v>3.1792959999999995</c:v>
                      </c:pt>
                      <c:pt idx="9">
                        <c:v>3.79454</c:v>
                      </c:pt>
                      <c:pt idx="10">
                        <c:v>4.2071360000000002</c:v>
                      </c:pt>
                      <c:pt idx="11">
                        <c:v>4.6124320000000001</c:v>
                      </c:pt>
                      <c:pt idx="12">
                        <c:v>5.0250279999999998</c:v>
                      </c:pt>
                      <c:pt idx="13">
                        <c:v>6.2555159999999992</c:v>
                      </c:pt>
                      <c:pt idx="14">
                        <c:v>7.4430800000000001</c:v>
                      </c:pt>
                      <c:pt idx="15">
                        <c:v>8.2609720000000006</c:v>
                      </c:pt>
                      <c:pt idx="16">
                        <c:v>9.0861640000000001</c:v>
                      </c:pt>
                      <c:pt idx="17">
                        <c:v>10.316651999999999</c:v>
                      </c:pt>
                      <c:pt idx="18">
                        <c:v>11.547140000000001</c:v>
                      </c:pt>
                      <c:pt idx="19">
                        <c:v>12.365031999999999</c:v>
                      </c:pt>
                    </c:numCache>
                  </c:numRef>
                </c:yVal>
                <c:smooth val="0"/>
                <c:extLst xmlns:c15="http://schemas.microsoft.com/office/drawing/2012/chart">
                  <c:ext xmlns:c16="http://schemas.microsoft.com/office/drawing/2014/chart" uri="{C3380CC4-5D6E-409C-BE32-E72D297353CC}">
                    <c16:uniqueId val="{0000000C-F3D3-4E16-AA91-F9D1B392AE12}"/>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Tabelle'!$C$89:$V$89</c15:sqref>
                        </c15:formulaRef>
                      </c:ext>
                    </c:extLst>
                    <c:numCache>
                      <c:formatCode>0.00</c:formatCode>
                      <c:ptCount val="20"/>
                      <c:pt idx="0">
                        <c:v>1.4348879999999999</c:v>
                      </c:pt>
                      <c:pt idx="1">
                        <c:v>1.6375359999999999</c:v>
                      </c:pt>
                      <c:pt idx="2">
                        <c:v>1.8693840000000002</c:v>
                      </c:pt>
                      <c:pt idx="3">
                        <c:v>2.1222560000000001</c:v>
                      </c:pt>
                      <c:pt idx="4">
                        <c:v>2.3541039999999995</c:v>
                      </c:pt>
                      <c:pt idx="5">
                        <c:v>2.5859519999999998</c:v>
                      </c:pt>
                      <c:pt idx="6">
                        <c:v>2.8534239999999995</c:v>
                      </c:pt>
                      <c:pt idx="7">
                        <c:v>3.0852720000000002</c:v>
                      </c:pt>
                      <c:pt idx="8">
                        <c:v>3.8164400000000001</c:v>
                      </c:pt>
                      <c:pt idx="9">
                        <c:v>4.5476080000000003</c:v>
                      </c:pt>
                      <c:pt idx="10">
                        <c:v>5.0542280000000002</c:v>
                      </c:pt>
                      <c:pt idx="11">
                        <c:v>5.5535479999999993</c:v>
                      </c:pt>
                      <c:pt idx="12">
                        <c:v>6.0172440000000007</c:v>
                      </c:pt>
                      <c:pt idx="13">
                        <c:v>7.4795800000000003</c:v>
                      </c:pt>
                      <c:pt idx="14">
                        <c:v>8.9848399999999984</c:v>
                      </c:pt>
                      <c:pt idx="15">
                        <c:v>9.947855999999998</c:v>
                      </c:pt>
                      <c:pt idx="16">
                        <c:v>10.910872000000001</c:v>
                      </c:pt>
                      <c:pt idx="17">
                        <c:v>12.416131999999999</c:v>
                      </c:pt>
                      <c:pt idx="18">
                        <c:v>13.921392000000001</c:v>
                      </c:pt>
                      <c:pt idx="19">
                        <c:v>14.841483999999998</c:v>
                      </c:pt>
                    </c:numCache>
                  </c:numRef>
                </c:yVal>
                <c:smooth val="0"/>
                <c:extLst xmlns:c15="http://schemas.microsoft.com/office/drawing/2012/chart">
                  <c:ext xmlns:c16="http://schemas.microsoft.com/office/drawing/2014/chart" uri="{C3380CC4-5D6E-409C-BE32-E72D297353CC}">
                    <c16:uniqueId val="{0000000D-F3D3-4E16-AA91-F9D1B392AE12}"/>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2-F3D3-4E16-AA91-F9D1B392AE12}"/>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E-F3D3-4E16-AA91-F9D1B392AE12}"/>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F-F3D3-4E16-AA91-F9D1B392AE12}"/>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10-F3D3-4E16-AA91-F9D1B392AE12}"/>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1-F3D3-4E16-AA91-F9D1B392AE12}"/>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Tabelle'!$C$76:$AB$76</c15:sqref>
                        </c15:formulaRef>
                      </c:ext>
                    </c:extLst>
                    <c:numCache>
                      <c:formatCode>0.00</c:formatCode>
                      <c:ptCount val="26"/>
                      <c:pt idx="0">
                        <c:v>0.60152000000000005</c:v>
                      </c:pt>
                      <c:pt idx="1">
                        <c:v>0.84066799999999997</c:v>
                      </c:pt>
                      <c:pt idx="2">
                        <c:v>1.1227399999999998</c:v>
                      </c:pt>
                      <c:pt idx="3">
                        <c:v>1.361888</c:v>
                      </c:pt>
                      <c:pt idx="4">
                        <c:v>1.4924119999999998</c:v>
                      </c:pt>
                      <c:pt idx="5">
                        <c:v>1.5791360000000001</c:v>
                      </c:pt>
                      <c:pt idx="6">
                        <c:v>1.6010360000000001</c:v>
                      </c:pt>
                      <c:pt idx="7">
                        <c:v>1.6877599999999999</c:v>
                      </c:pt>
                      <c:pt idx="8">
                        <c:v>1.73156</c:v>
                      </c:pt>
                      <c:pt idx="9">
                        <c:v>1.8036840000000001</c:v>
                      </c:pt>
                      <c:pt idx="10">
                        <c:v>2.0063319999999996</c:v>
                      </c:pt>
                      <c:pt idx="11">
                        <c:v>2.0136319999999999</c:v>
                      </c:pt>
                      <c:pt idx="12">
                        <c:v>2.0647320000000002</c:v>
                      </c:pt>
                      <c:pt idx="13">
                        <c:v>2.25278</c:v>
                      </c:pt>
                      <c:pt idx="14">
                        <c:v>2.2892799999999998</c:v>
                      </c:pt>
                      <c:pt idx="15">
                        <c:v>2.3678280000000003</c:v>
                      </c:pt>
                      <c:pt idx="16">
                        <c:v>2.6078520000000003</c:v>
                      </c:pt>
                      <c:pt idx="17">
                        <c:v>3.1290720000000003</c:v>
                      </c:pt>
                      <c:pt idx="18">
                        <c:v>3.8967399999999999</c:v>
                      </c:pt>
                      <c:pt idx="19">
                        <c:v>4.2664119999999999</c:v>
                      </c:pt>
                      <c:pt idx="20">
                        <c:v>4.6141839999999998</c:v>
                      </c:pt>
                      <c:pt idx="21">
                        <c:v>4.7949319999999993</c:v>
                      </c:pt>
                      <c:pt idx="22">
                        <c:v>5.1354039999999994</c:v>
                      </c:pt>
                      <c:pt idx="23">
                        <c:v>5.2805279999999994</c:v>
                      </c:pt>
                      <c:pt idx="24">
                        <c:v>5.6210000000000004</c:v>
                      </c:pt>
                      <c:pt idx="25">
                        <c:v>6.3813680000000002</c:v>
                      </c:pt>
                    </c:numCache>
                  </c:numRef>
                </c:yVal>
                <c:smooth val="0"/>
                <c:extLst xmlns:c15="http://schemas.microsoft.com/office/drawing/2012/chart">
                  <c:ext xmlns:c16="http://schemas.microsoft.com/office/drawing/2014/chart" uri="{C3380CC4-5D6E-409C-BE32-E72D297353CC}">
                    <c16:uniqueId val="{00000012-F3D3-4E16-AA91-F9D1B392AE12}"/>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Tabelle'!$C$77:$AB$77</c15:sqref>
                        </c15:formulaRef>
                      </c:ext>
                    </c:extLst>
                    <c:numCache>
                      <c:formatCode>0.00</c:formatCode>
                      <c:ptCount val="26"/>
                      <c:pt idx="0">
                        <c:v>0.81876799999999994</c:v>
                      </c:pt>
                      <c:pt idx="1">
                        <c:v>1.15194</c:v>
                      </c:pt>
                      <c:pt idx="2">
                        <c:v>1.485112</c:v>
                      </c:pt>
                      <c:pt idx="3">
                        <c:v>1.8182839999999998</c:v>
                      </c:pt>
                      <c:pt idx="4">
                        <c:v>2.0209320000000002</c:v>
                      </c:pt>
                      <c:pt idx="5">
                        <c:v>2.1222560000000001</c:v>
                      </c:pt>
                      <c:pt idx="6">
                        <c:v>2.1587559999999999</c:v>
                      </c:pt>
                      <c:pt idx="7">
                        <c:v>2.25278</c:v>
                      </c:pt>
                      <c:pt idx="8">
                        <c:v>2.3541039999999995</c:v>
                      </c:pt>
                      <c:pt idx="9">
                        <c:v>2.3979039999999996</c:v>
                      </c:pt>
                      <c:pt idx="10">
                        <c:v>2.6370519999999997</c:v>
                      </c:pt>
                      <c:pt idx="11">
                        <c:v>2.6945759999999996</c:v>
                      </c:pt>
                      <c:pt idx="12">
                        <c:v>2.8032000000000004</c:v>
                      </c:pt>
                      <c:pt idx="13">
                        <c:v>3.0277479999999999</c:v>
                      </c:pt>
                      <c:pt idx="14">
                        <c:v>3.0642480000000001</c:v>
                      </c:pt>
                      <c:pt idx="15">
                        <c:v>3.1427959999999997</c:v>
                      </c:pt>
                      <c:pt idx="16">
                        <c:v>3.4914439999999995</c:v>
                      </c:pt>
                      <c:pt idx="17">
                        <c:v>4.1650879999999999</c:v>
                      </c:pt>
                      <c:pt idx="18">
                        <c:v>5.1646040000000006</c:v>
                      </c:pt>
                      <c:pt idx="19">
                        <c:v>5.7004239999999999</c:v>
                      </c:pt>
                      <c:pt idx="20">
                        <c:v>6.1714199999999995</c:v>
                      </c:pt>
                      <c:pt idx="21">
                        <c:v>6.3886680000000009</c:v>
                      </c:pt>
                      <c:pt idx="22">
                        <c:v>6.837764</c:v>
                      </c:pt>
                      <c:pt idx="23">
                        <c:v>7.0550119999999996</c:v>
                      </c:pt>
                      <c:pt idx="24">
                        <c:v>7.5114079999999994</c:v>
                      </c:pt>
                      <c:pt idx="25">
                        <c:v>8.5109239999999993</c:v>
                      </c:pt>
                    </c:numCache>
                  </c:numRef>
                </c:yVal>
                <c:smooth val="0"/>
                <c:extLst xmlns:c15="http://schemas.microsoft.com/office/drawing/2012/chart">
                  <c:ext xmlns:c16="http://schemas.microsoft.com/office/drawing/2014/chart" uri="{C3380CC4-5D6E-409C-BE32-E72D297353CC}">
                    <c16:uniqueId val="{00000013-F3D3-4E16-AA91-F9D1B392AE12}"/>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Tabelle'!$C$78:$AB$78</c15:sqref>
                        </c15:formulaRef>
                      </c:ext>
                    </c:extLst>
                    <c:numCache>
                      <c:formatCode>0.00</c:formatCode>
                      <c:ptCount val="26"/>
                      <c:pt idx="0">
                        <c:v>1.036016</c:v>
                      </c:pt>
                      <c:pt idx="1">
                        <c:v>1.420288</c:v>
                      </c:pt>
                      <c:pt idx="2">
                        <c:v>1.8474840000000001</c:v>
                      </c:pt>
                      <c:pt idx="3">
                        <c:v>2.2819799999999999</c:v>
                      </c:pt>
                      <c:pt idx="4">
                        <c:v>2.5065279999999999</c:v>
                      </c:pt>
                      <c:pt idx="5">
                        <c:v>2.622452</c:v>
                      </c:pt>
                      <c:pt idx="6">
                        <c:v>2.7091759999999998</c:v>
                      </c:pt>
                      <c:pt idx="7">
                        <c:v>2.8178000000000001</c:v>
                      </c:pt>
                      <c:pt idx="8">
                        <c:v>2.9410239999999996</c:v>
                      </c:pt>
                      <c:pt idx="9">
                        <c:v>3.0350479999999997</c:v>
                      </c:pt>
                      <c:pt idx="10">
                        <c:v>3.3106960000000001</c:v>
                      </c:pt>
                      <c:pt idx="11">
                        <c:v>3.36822</c:v>
                      </c:pt>
                      <c:pt idx="12">
                        <c:v>3.4987440000000003</c:v>
                      </c:pt>
                      <c:pt idx="13">
                        <c:v>3.7524920000000002</c:v>
                      </c:pt>
                      <c:pt idx="14">
                        <c:v>3.8465160000000003</c:v>
                      </c:pt>
                      <c:pt idx="15">
                        <c:v>3.9250639999999999</c:v>
                      </c:pt>
                      <c:pt idx="16">
                        <c:v>4.3823359999999996</c:v>
                      </c:pt>
                      <c:pt idx="17">
                        <c:v>5.1938040000000001</c:v>
                      </c:pt>
                      <c:pt idx="18">
                        <c:v>6.4826919999999992</c:v>
                      </c:pt>
                      <c:pt idx="19">
                        <c:v>7.1417359999999999</c:v>
                      </c:pt>
                      <c:pt idx="20">
                        <c:v>7.728656</c:v>
                      </c:pt>
                      <c:pt idx="21">
                        <c:v>7.9751039999999991</c:v>
                      </c:pt>
                      <c:pt idx="22">
                        <c:v>8.5830479999999998</c:v>
                      </c:pt>
                      <c:pt idx="23">
                        <c:v>8.8294959999999989</c:v>
                      </c:pt>
                      <c:pt idx="24">
                        <c:v>9.4018160000000002</c:v>
                      </c:pt>
                      <c:pt idx="25">
                        <c:v>10.647779999999999</c:v>
                      </c:pt>
                    </c:numCache>
                  </c:numRef>
                </c:yVal>
                <c:smooth val="0"/>
                <c:extLst xmlns:c15="http://schemas.microsoft.com/office/drawing/2012/chart">
                  <c:ext xmlns:c16="http://schemas.microsoft.com/office/drawing/2014/chart" uri="{C3380CC4-5D6E-409C-BE32-E72D297353CC}">
                    <c16:uniqueId val="{00000014-F3D3-4E16-AA91-F9D1B392AE12}"/>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Tabelle'!$C$79:$AB$79</c15:sqref>
                        </c15:formulaRef>
                      </c:ext>
                    </c:extLst>
                    <c:numCache>
                      <c:formatCode>0.00</c:formatCode>
                      <c:ptCount val="26"/>
                      <c:pt idx="0">
                        <c:v>1.2532639999999999</c:v>
                      </c:pt>
                      <c:pt idx="1">
                        <c:v>1.73156</c:v>
                      </c:pt>
                      <c:pt idx="2">
                        <c:v>2.2171559999999997</c:v>
                      </c:pt>
                      <c:pt idx="3">
                        <c:v>2.7383759999999997</c:v>
                      </c:pt>
                      <c:pt idx="4">
                        <c:v>3.0423480000000001</c:v>
                      </c:pt>
                      <c:pt idx="5">
                        <c:v>3.1728720000000004</c:v>
                      </c:pt>
                      <c:pt idx="6">
                        <c:v>3.2595959999999993</c:v>
                      </c:pt>
                      <c:pt idx="7">
                        <c:v>3.3828199999999997</c:v>
                      </c:pt>
                      <c:pt idx="8">
                        <c:v>3.5206439999999999</c:v>
                      </c:pt>
                      <c:pt idx="9">
                        <c:v>3.6292679999999997</c:v>
                      </c:pt>
                      <c:pt idx="10">
                        <c:v>3.98434</c:v>
                      </c:pt>
                      <c:pt idx="11">
                        <c:v>4.0418640000000003</c:v>
                      </c:pt>
                      <c:pt idx="12">
                        <c:v>4.1869879999999995</c:v>
                      </c:pt>
                      <c:pt idx="13">
                        <c:v>4.5274599999999996</c:v>
                      </c:pt>
                      <c:pt idx="14">
                        <c:v>4.6287839999999996</c:v>
                      </c:pt>
                      <c:pt idx="15">
                        <c:v>4.7073319999999992</c:v>
                      </c:pt>
                      <c:pt idx="16">
                        <c:v>5.2732279999999996</c:v>
                      </c:pt>
                      <c:pt idx="17">
                        <c:v>6.2727440000000003</c:v>
                      </c:pt>
                      <c:pt idx="18">
                        <c:v>7.7578560000000003</c:v>
                      </c:pt>
                      <c:pt idx="19">
                        <c:v>8.5401240000000005</c:v>
                      </c:pt>
                      <c:pt idx="20">
                        <c:v>9.2858920000000005</c:v>
                      </c:pt>
                      <c:pt idx="21">
                        <c:v>9.568839999999998</c:v>
                      </c:pt>
                      <c:pt idx="22">
                        <c:v>10.292707999999999</c:v>
                      </c:pt>
                      <c:pt idx="23">
                        <c:v>10.568355999999998</c:v>
                      </c:pt>
                      <c:pt idx="24">
                        <c:v>11.292223999999999</c:v>
                      </c:pt>
                      <c:pt idx="25">
                        <c:v>12.777336000000002</c:v>
                      </c:pt>
                    </c:numCache>
                  </c:numRef>
                </c:yVal>
                <c:smooth val="0"/>
                <c:extLst xmlns:c15="http://schemas.microsoft.com/office/drawing/2012/chart">
                  <c:ext xmlns:c16="http://schemas.microsoft.com/office/drawing/2014/chart" uri="{C3380CC4-5D6E-409C-BE32-E72D297353CC}">
                    <c16:uniqueId val="{00000015-F3D3-4E16-AA91-F9D1B392AE12}"/>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04-F3D3-4E16-AA91-F9D1B392AE12}"/>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F3D3-4E16-AA91-F9D1B392AE12}"/>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F3D3-4E16-AA91-F9D1B392AE12}"/>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F3D3-4E16-AA91-F9D1B392AE12}"/>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F3D3-4E16-AA91-F9D1B392AE12}"/>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THGE </a:t>
            </a:r>
            <a:r>
              <a:rPr lang="de-CH" baseline="0"/>
              <a:t> 3-Säule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1"/>
          <c:order val="1"/>
          <c:tx>
            <c:strRef>
              <c:f>'Arbonia Tabelle'!$Y$4</c:f>
              <c:strCache>
                <c:ptCount val="1"/>
                <c:pt idx="0">
                  <c:v>ARB 3-Säule</c:v>
                </c:pt>
              </c:strCache>
              <c:extLst xmlns:c15="http://schemas.microsoft.com/office/drawing/2012/chart"/>
            </c:strRef>
          </c:tx>
          <c:spPr>
            <a:ln w="38100" cap="rnd">
              <a:noFill/>
              <a:round/>
            </a:ln>
            <a:effectLst/>
          </c:spPr>
          <c:marker>
            <c:symbol val="circle"/>
            <c:size val="5"/>
            <c:spPr>
              <a:solidFill>
                <a:schemeClr val="accent2"/>
              </a:solidFill>
              <a:ln w="9525">
                <a:solidFill>
                  <a:schemeClr val="accent2"/>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extLst xmlns:c15="http://schemas.microsoft.com/office/drawing/2012/chart"/>
            </c:numRef>
          </c:xVal>
          <c:yVal>
            <c:numRef>
              <c:f>'Arbonia Tabelle'!$D$76:$X$76</c:f>
              <c:numCache>
                <c:formatCode>0.00</c:formatCode>
                <c:ptCount val="21"/>
                <c:pt idx="0">
                  <c:v>0.57962000000000002</c:v>
                </c:pt>
                <c:pt idx="1">
                  <c:v>0.76036800000000004</c:v>
                </c:pt>
                <c:pt idx="2">
                  <c:v>0.85439199999999982</c:v>
                </c:pt>
                <c:pt idx="3">
                  <c:v>0.96301599999999998</c:v>
                </c:pt>
                <c:pt idx="4">
                  <c:v>1.0716399999999999</c:v>
                </c:pt>
                <c:pt idx="5">
                  <c:v>1.180264</c:v>
                </c:pt>
                <c:pt idx="6">
                  <c:v>1.288888</c:v>
                </c:pt>
                <c:pt idx="7">
                  <c:v>1.4477359999999999</c:v>
                </c:pt>
                <c:pt idx="8">
                  <c:v>1.5563599999999997</c:v>
                </c:pt>
                <c:pt idx="9">
                  <c:v>1.8822319999999999</c:v>
                </c:pt>
                <c:pt idx="10">
                  <c:v>2.2510279999999998</c:v>
                </c:pt>
                <c:pt idx="11">
                  <c:v>2.4755760000000002</c:v>
                </c:pt>
                <c:pt idx="12">
                  <c:v>2.7357480000000001</c:v>
                </c:pt>
                <c:pt idx="13">
                  <c:v>2.9529959999999997</c:v>
                </c:pt>
                <c:pt idx="14">
                  <c:v>3.6549640000000001</c:v>
                </c:pt>
                <c:pt idx="15">
                  <c:v>4.3496319999999997</c:v>
                </c:pt>
                <c:pt idx="16">
                  <c:v>4.8343519999999991</c:v>
                </c:pt>
                <c:pt idx="17">
                  <c:v>5.2688480000000002</c:v>
                </c:pt>
                <c:pt idx="18">
                  <c:v>5.9708159999999992</c:v>
                </c:pt>
                <c:pt idx="19">
                  <c:v>6.7084080000000004</c:v>
                </c:pt>
                <c:pt idx="20">
                  <c:v>7.1502039999999996</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4-C4F2-4944-AB3D-5315140CA7E6}"/>
            </c:ext>
          </c:extLst>
        </c:ser>
        <c:ser>
          <c:idx val="6"/>
          <c:order val="6"/>
          <c:tx>
            <c:strRef>
              <c:f>'Zehnder Charl. Tabelle'!$W$5</c:f>
              <c:strCache>
                <c:ptCount val="1"/>
                <c:pt idx="0">
                  <c:v>ZEHN 3-Säule</c:v>
                </c:pt>
              </c:strCache>
              <c:extLst xmlns:c15="http://schemas.microsoft.com/office/drawing/2012/chart"/>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Tabelle'!$C$86:$V$86</c:f>
              <c:numCache>
                <c:formatCode>0.00</c:formatCode>
                <c:ptCount val="20"/>
                <c:pt idx="0">
                  <c:v>0.66634400000000005</c:v>
                </c:pt>
                <c:pt idx="1">
                  <c:v>0.76036800000000004</c:v>
                </c:pt>
                <c:pt idx="2">
                  <c:v>0.87629199999999985</c:v>
                </c:pt>
                <c:pt idx="3">
                  <c:v>0.99221599999999988</c:v>
                </c:pt>
                <c:pt idx="4">
                  <c:v>1.1081399999999999</c:v>
                </c:pt>
                <c:pt idx="5">
                  <c:v>1.2240639999999998</c:v>
                </c:pt>
                <c:pt idx="6">
                  <c:v>1.339988</c:v>
                </c:pt>
                <c:pt idx="7">
                  <c:v>1.4988360000000001</c:v>
                </c:pt>
                <c:pt idx="8">
                  <c:v>1.8393079999999999</c:v>
                </c:pt>
                <c:pt idx="9">
                  <c:v>2.2227040000000002</c:v>
                </c:pt>
                <c:pt idx="10">
                  <c:v>2.4545519999999996</c:v>
                </c:pt>
                <c:pt idx="11">
                  <c:v>2.6863999999999999</c:v>
                </c:pt>
                <c:pt idx="12">
                  <c:v>2.9538720000000001</c:v>
                </c:pt>
                <c:pt idx="13">
                  <c:v>3.6850400000000003</c:v>
                </c:pt>
                <c:pt idx="14">
                  <c:v>4.4162080000000001</c:v>
                </c:pt>
                <c:pt idx="15">
                  <c:v>4.9155280000000001</c:v>
                </c:pt>
                <c:pt idx="16">
                  <c:v>5.3719239999999999</c:v>
                </c:pt>
                <c:pt idx="17">
                  <c:v>6.1030919999999993</c:v>
                </c:pt>
                <c:pt idx="18">
                  <c:v>6.8342599999999996</c:v>
                </c:pt>
                <c:pt idx="19">
                  <c:v>7.3335799999999995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8-C4F2-4944-AB3D-5315140CA7E6}"/>
            </c:ext>
          </c:extLst>
        </c:ser>
        <c:ser>
          <c:idx val="16"/>
          <c:order val="16"/>
          <c:tx>
            <c:strRef>
              <c:f>'Cordivari Tabelle'!$AC$4</c:f>
              <c:strCache>
                <c:ptCount val="1"/>
                <c:pt idx="0">
                  <c:v>Cordivari 3-Säule</c:v>
                </c:pt>
              </c:strCache>
              <c:extLst xmlns:c15="http://schemas.microsoft.com/office/drawing/2012/chart"/>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Tabelle'!$C$76:$AB$76</c:f>
              <c:numCache>
                <c:formatCode>0.00</c:formatCode>
                <c:ptCount val="26"/>
                <c:pt idx="0">
                  <c:v>0.60152000000000005</c:v>
                </c:pt>
                <c:pt idx="1">
                  <c:v>0.84066799999999997</c:v>
                </c:pt>
                <c:pt idx="2">
                  <c:v>1.1227399999999998</c:v>
                </c:pt>
                <c:pt idx="3">
                  <c:v>1.361888</c:v>
                </c:pt>
                <c:pt idx="4">
                  <c:v>1.4924119999999998</c:v>
                </c:pt>
                <c:pt idx="5">
                  <c:v>1.5791360000000001</c:v>
                </c:pt>
                <c:pt idx="6">
                  <c:v>1.6010360000000001</c:v>
                </c:pt>
                <c:pt idx="7">
                  <c:v>1.6877599999999999</c:v>
                </c:pt>
                <c:pt idx="8">
                  <c:v>1.73156</c:v>
                </c:pt>
                <c:pt idx="9">
                  <c:v>1.8036840000000001</c:v>
                </c:pt>
                <c:pt idx="10">
                  <c:v>2.0063319999999996</c:v>
                </c:pt>
                <c:pt idx="11">
                  <c:v>2.0136319999999999</c:v>
                </c:pt>
                <c:pt idx="12">
                  <c:v>2.0647320000000002</c:v>
                </c:pt>
                <c:pt idx="13">
                  <c:v>2.25278</c:v>
                </c:pt>
                <c:pt idx="14">
                  <c:v>2.2892799999999998</c:v>
                </c:pt>
                <c:pt idx="15">
                  <c:v>2.3678280000000003</c:v>
                </c:pt>
                <c:pt idx="16">
                  <c:v>2.6078520000000003</c:v>
                </c:pt>
                <c:pt idx="17">
                  <c:v>3.1290720000000003</c:v>
                </c:pt>
                <c:pt idx="18">
                  <c:v>3.8967399999999999</c:v>
                </c:pt>
                <c:pt idx="19">
                  <c:v>4.2664119999999999</c:v>
                </c:pt>
                <c:pt idx="20">
                  <c:v>4.6141839999999998</c:v>
                </c:pt>
                <c:pt idx="21">
                  <c:v>4.7949319999999993</c:v>
                </c:pt>
                <c:pt idx="22">
                  <c:v>5.1354039999999994</c:v>
                </c:pt>
                <c:pt idx="23">
                  <c:v>5.2805279999999994</c:v>
                </c:pt>
                <c:pt idx="24">
                  <c:v>5.6210000000000004</c:v>
                </c:pt>
                <c:pt idx="25">
                  <c:v>6.3813680000000002</c:v>
                </c:pt>
              </c:numCache>
              <c:extLst xmlns:c15="http://schemas.microsoft.com/office/drawing/2012/chart"/>
            </c:numRef>
          </c:yVal>
          <c:smooth val="0"/>
          <c:extLst>
            <c:ext xmlns:c16="http://schemas.microsoft.com/office/drawing/2014/chart" uri="{C3380CC4-5D6E-409C-BE32-E72D297353CC}">
              <c16:uniqueId val="{00000011-C4F2-4944-AB3D-5315140CA7E6}"/>
            </c:ext>
          </c:extLst>
        </c:ser>
        <c:ser>
          <c:idx val="25"/>
          <c:order val="25"/>
          <c:tx>
            <c:strRef>
              <c:f>'Emissionen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'Emissionen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'Emissionen alle'!$B$68:$U$68</c:f>
              <c:numCache>
                <c:formatCode>0.00</c:formatCode>
                <c:ptCount val="20"/>
                <c:pt idx="0">
                  <c:v>0.7133560000000001</c:v>
                </c:pt>
                <c:pt idx="1">
                  <c:v>0.81847599999999998</c:v>
                </c:pt>
                <c:pt idx="2">
                  <c:v>0.91965399999999997</c:v>
                </c:pt>
                <c:pt idx="3">
                  <c:v>1.0621986666666665</c:v>
                </c:pt>
                <c:pt idx="4">
                  <c:v>1.1442019999999999</c:v>
                </c:pt>
                <c:pt idx="5">
                  <c:v>1.2916133333333333</c:v>
                </c:pt>
                <c:pt idx="6">
                  <c:v>1.426712</c:v>
                </c:pt>
                <c:pt idx="7">
                  <c:v>1.5520773333333331</c:v>
                </c:pt>
                <c:pt idx="8">
                  <c:v>1.9092906666666665</c:v>
                </c:pt>
                <c:pt idx="9">
                  <c:v>2.236866</c:v>
                </c:pt>
                <c:pt idx="10">
                  <c:v>2.5126599999999999</c:v>
                </c:pt>
                <c:pt idx="11">
                  <c:v>2.711074</c:v>
                </c:pt>
                <c:pt idx="12">
                  <c:v>3.0119799999999999</c:v>
                </c:pt>
                <c:pt idx="13">
                  <c:v>3.7455813333333334</c:v>
                </c:pt>
                <c:pt idx="14">
                  <c:v>4.4600080000000002</c:v>
                </c:pt>
                <c:pt idx="15">
                  <c:v>4.9617613333333326</c:v>
                </c:pt>
                <c:pt idx="16">
                  <c:v>5.4205906666666666</c:v>
                </c:pt>
                <c:pt idx="17">
                  <c:v>6.1517586666666659</c:v>
                </c:pt>
                <c:pt idx="18">
                  <c:v>6.7713339999999995</c:v>
                </c:pt>
                <c:pt idx="19">
                  <c:v>7.241892</c:v>
                </c:pt>
              </c:numCache>
            </c:numRef>
          </c:yVal>
          <c:smooth val="0"/>
          <c:extLst>
            <c:ext xmlns:c16="http://schemas.microsoft.com/office/drawing/2014/chart" uri="{C3380CC4-5D6E-409C-BE32-E72D297353CC}">
              <c16:uniqueId val="{00000003-C4F2-4944-AB3D-5315140CA7E6}"/>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Tabelle'!$D$75:$X$75</c15:sqref>
                        </c15:formulaRef>
                      </c:ext>
                    </c:extLst>
                    <c:numCache>
                      <c:formatCode>0.00</c:formatCode>
                      <c:ptCount val="21"/>
                      <c:pt idx="0">
                        <c:v>0.369672</c:v>
                      </c:pt>
                      <c:pt idx="1">
                        <c:v>0.47829599999999994</c:v>
                      </c:pt>
                      <c:pt idx="2">
                        <c:v>0.55771999999999999</c:v>
                      </c:pt>
                      <c:pt idx="3">
                        <c:v>0.64444400000000002</c:v>
                      </c:pt>
                      <c:pt idx="4">
                        <c:v>0.73116800000000004</c:v>
                      </c:pt>
                      <c:pt idx="5">
                        <c:v>0.7749680000000001</c:v>
                      </c:pt>
                      <c:pt idx="6">
                        <c:v>0.8616919999999999</c:v>
                      </c:pt>
                      <c:pt idx="7">
                        <c:v>0.94841599999999993</c:v>
                      </c:pt>
                      <c:pt idx="8">
                        <c:v>1.0351399999999999</c:v>
                      </c:pt>
                      <c:pt idx="9">
                        <c:v>1.2596879999999999</c:v>
                      </c:pt>
                      <c:pt idx="10">
                        <c:v>1.51986</c:v>
                      </c:pt>
                      <c:pt idx="11">
                        <c:v>1.6503839999999999</c:v>
                      </c:pt>
                      <c:pt idx="12">
                        <c:v>1.8238319999999999</c:v>
                      </c:pt>
                      <c:pt idx="13">
                        <c:v>1.9543560000000002</c:v>
                      </c:pt>
                      <c:pt idx="14">
                        <c:v>2.439076</c:v>
                      </c:pt>
                      <c:pt idx="15">
                        <c:v>2.9164959999999995</c:v>
                      </c:pt>
                      <c:pt idx="16">
                        <c:v>3.2204679999999994</c:v>
                      </c:pt>
                      <c:pt idx="17">
                        <c:v>3.5317400000000001</c:v>
                      </c:pt>
                      <c:pt idx="18">
                        <c:v>4.0091599999999996</c:v>
                      </c:pt>
                      <c:pt idx="19">
                        <c:v>4.4436559999999998</c:v>
                      </c:pt>
                      <c:pt idx="20">
                        <c:v>4.7978519999999998</c:v>
                      </c:pt>
                    </c:numCache>
                  </c:numRef>
                </c:yVal>
                <c:smooth val="0"/>
                <c:extLst>
                  <c:ext xmlns:c16="http://schemas.microsoft.com/office/drawing/2014/chart" uri="{C3380CC4-5D6E-409C-BE32-E72D297353CC}">
                    <c16:uniqueId val="{00000000-C4F2-4944-AB3D-5315140CA7E6}"/>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Tabelle'!$D$77:$X$77</c15:sqref>
                        </c15:formulaRef>
                      </c:ext>
                    </c:extLst>
                    <c:numCache>
                      <c:formatCode>0.00</c:formatCode>
                      <c:ptCount val="21"/>
                      <c:pt idx="0">
                        <c:v>0.78226800000000007</c:v>
                      </c:pt>
                      <c:pt idx="1">
                        <c:v>0.99951599999999996</c:v>
                      </c:pt>
                      <c:pt idx="2">
                        <c:v>1.1081399999999999</c:v>
                      </c:pt>
                      <c:pt idx="3">
                        <c:v>1.288888</c:v>
                      </c:pt>
                      <c:pt idx="4">
                        <c:v>1.4194119999999999</c:v>
                      </c:pt>
                      <c:pt idx="5">
                        <c:v>1.5928599999999999</c:v>
                      </c:pt>
                      <c:pt idx="6">
                        <c:v>1.766308</c:v>
                      </c:pt>
                      <c:pt idx="7">
                        <c:v>1.8968319999999999</c:v>
                      </c:pt>
                      <c:pt idx="8">
                        <c:v>2.0702799999999999</c:v>
                      </c:pt>
                      <c:pt idx="9">
                        <c:v>2.5120759999999995</c:v>
                      </c:pt>
                      <c:pt idx="10">
                        <c:v>2.9894959999999999</c:v>
                      </c:pt>
                      <c:pt idx="11">
                        <c:v>3.2934679999999998</c:v>
                      </c:pt>
                      <c:pt idx="12">
                        <c:v>3.6047400000000001</c:v>
                      </c:pt>
                      <c:pt idx="13">
                        <c:v>3.9087120000000004</c:v>
                      </c:pt>
                      <c:pt idx="14">
                        <c:v>4.8708519999999993</c:v>
                      </c:pt>
                      <c:pt idx="15">
                        <c:v>5.7900679999999998</c:v>
                      </c:pt>
                      <c:pt idx="16">
                        <c:v>6.4409359999999989</c:v>
                      </c:pt>
                      <c:pt idx="17">
                        <c:v>7.0561799999999995</c:v>
                      </c:pt>
                      <c:pt idx="18">
                        <c:v>7.9680959999999992</c:v>
                      </c:pt>
                      <c:pt idx="19">
                        <c:v>8.9302360000000007</c:v>
                      </c:pt>
                      <c:pt idx="20">
                        <c:v>9.5454799999999995</c:v>
                      </c:pt>
                    </c:numCache>
                  </c:numRef>
                </c:yVal>
                <c:smooth val="0"/>
                <c:extLst xmlns:c15="http://schemas.microsoft.com/office/drawing/2012/chart">
                  <c:ext xmlns:c16="http://schemas.microsoft.com/office/drawing/2014/chart" uri="{C3380CC4-5D6E-409C-BE32-E72D297353CC}">
                    <c16:uniqueId val="{00000005-C4F2-4944-AB3D-5315140CA7E6}"/>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Tabelle'!$D$78:$X$78</c15:sqref>
                        </c15:formulaRef>
                      </c:ext>
                    </c:extLst>
                    <c:numCache>
                      <c:formatCode>0.00</c:formatCode>
                      <c:ptCount val="21"/>
                      <c:pt idx="0">
                        <c:v>0</c:v>
                      </c:pt>
                      <c:pt idx="1">
                        <c:v>1.282464</c:v>
                      </c:pt>
                      <c:pt idx="2">
                        <c:v>1.4559120000000001</c:v>
                      </c:pt>
                      <c:pt idx="3">
                        <c:v>1.6512599999999997</c:v>
                      </c:pt>
                      <c:pt idx="4">
                        <c:v>1.8466080000000002</c:v>
                      </c:pt>
                      <c:pt idx="5">
                        <c:v>2.0419559999999999</c:v>
                      </c:pt>
                      <c:pt idx="6">
                        <c:v>2.237304</c:v>
                      </c:pt>
                      <c:pt idx="7">
                        <c:v>2.4399519999999999</c:v>
                      </c:pt>
                      <c:pt idx="8">
                        <c:v>2.6353</c:v>
                      </c:pt>
                      <c:pt idx="9">
                        <c:v>3.1784199999999996</c:v>
                      </c:pt>
                      <c:pt idx="10">
                        <c:v>3.7717639999999997</c:v>
                      </c:pt>
                      <c:pt idx="11">
                        <c:v>4.1624600000000003</c:v>
                      </c:pt>
                      <c:pt idx="12">
                        <c:v>4.5531559999999995</c:v>
                      </c:pt>
                      <c:pt idx="13">
                        <c:v>4.9511520000000004</c:v>
                      </c:pt>
                      <c:pt idx="14">
                        <c:v>6.1305399999999999</c:v>
                      </c:pt>
                      <c:pt idx="15">
                        <c:v>7.3099280000000002</c:v>
                      </c:pt>
                      <c:pt idx="16">
                        <c:v>8.0913199999999996</c:v>
                      </c:pt>
                      <c:pt idx="17">
                        <c:v>8.8370879999999996</c:v>
                      </c:pt>
                      <c:pt idx="18">
                        <c:v>10.016476000000001</c:v>
                      </c:pt>
                      <c:pt idx="19">
                        <c:v>11.195864</c:v>
                      </c:pt>
                      <c:pt idx="20">
                        <c:v>11.984556</c:v>
                      </c:pt>
                    </c:numCache>
                  </c:numRef>
                </c:yVal>
                <c:smooth val="0"/>
                <c:extLst xmlns:c15="http://schemas.microsoft.com/office/drawing/2012/chart">
                  <c:ext xmlns:c16="http://schemas.microsoft.com/office/drawing/2014/chart" uri="{C3380CC4-5D6E-409C-BE32-E72D297353CC}">
                    <c16:uniqueId val="{00000006-C4F2-4944-AB3D-5315140CA7E6}"/>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Tabelle'!$D$79:$X$79</c15:sqref>
                        </c15:formulaRef>
                      </c:ext>
                    </c:extLst>
                    <c:numCache>
                      <c:formatCode>0.00</c:formatCode>
                      <c:ptCount val="21"/>
                      <c:pt idx="0">
                        <c:v>0</c:v>
                      </c:pt>
                      <c:pt idx="1">
                        <c:v>1.5362119999999999</c:v>
                      </c:pt>
                      <c:pt idx="2">
                        <c:v>1.73156</c:v>
                      </c:pt>
                      <c:pt idx="3">
                        <c:v>1.9917319999999998</c:v>
                      </c:pt>
                      <c:pt idx="4">
                        <c:v>2.2089799999999999</c:v>
                      </c:pt>
                      <c:pt idx="5">
                        <c:v>2.4262279999999996</c:v>
                      </c:pt>
                      <c:pt idx="6">
                        <c:v>2.6863999999999999</c:v>
                      </c:pt>
                      <c:pt idx="7">
                        <c:v>2.9109480000000003</c:v>
                      </c:pt>
                      <c:pt idx="8">
                        <c:v>3.128196</c:v>
                      </c:pt>
                      <c:pt idx="9">
                        <c:v>3.8657880000000002</c:v>
                      </c:pt>
                      <c:pt idx="10">
                        <c:v>4.5677560000000001</c:v>
                      </c:pt>
                      <c:pt idx="11">
                        <c:v>5.0022520000000004</c:v>
                      </c:pt>
                      <c:pt idx="12">
                        <c:v>5.4869719999999997</c:v>
                      </c:pt>
                      <c:pt idx="13">
                        <c:v>5.9643919999999992</c:v>
                      </c:pt>
                      <c:pt idx="14">
                        <c:v>7.3610279999999992</c:v>
                      </c:pt>
                      <c:pt idx="15">
                        <c:v>8.7649639999999991</c:v>
                      </c:pt>
                      <c:pt idx="16">
                        <c:v>9.6768800000000006</c:v>
                      </c:pt>
                      <c:pt idx="17">
                        <c:v>10.63902</c:v>
                      </c:pt>
                      <c:pt idx="18">
                        <c:v>12.035655999999999</c:v>
                      </c:pt>
                      <c:pt idx="19">
                        <c:v>13.439592000000001</c:v>
                      </c:pt>
                      <c:pt idx="20">
                        <c:v>14.394432000000002</c:v>
                      </c:pt>
                    </c:numCache>
                  </c:numRef>
                </c:yVal>
                <c:smooth val="0"/>
                <c:extLst xmlns:c15="http://schemas.microsoft.com/office/drawing/2012/chart">
                  <c:ext xmlns:c16="http://schemas.microsoft.com/office/drawing/2014/chart" uri="{C3380CC4-5D6E-409C-BE32-E72D297353CC}">
                    <c16:uniqueId val="{00000007-C4F2-4944-AB3D-5315140CA7E6}"/>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Tabelle'!$C$85:$V$85</c15:sqref>
                        </c15:formulaRef>
                      </c:ext>
                    </c:extLst>
                    <c:numCache>
                      <c:formatCode>0.00</c:formatCode>
                      <c:ptCount val="20"/>
                      <c:pt idx="0">
                        <c:v>0.463696</c:v>
                      </c:pt>
                      <c:pt idx="1">
                        <c:v>0.492896</c:v>
                      </c:pt>
                      <c:pt idx="2">
                        <c:v>0.58692</c:v>
                      </c:pt>
                      <c:pt idx="3">
                        <c:v>0.65904399999999996</c:v>
                      </c:pt>
                      <c:pt idx="4">
                        <c:v>0.75306800000000007</c:v>
                      </c:pt>
                      <c:pt idx="5">
                        <c:v>0.80416799999999999</c:v>
                      </c:pt>
                      <c:pt idx="6">
                        <c:v>0.89089200000000002</c:v>
                      </c:pt>
                      <c:pt idx="7">
                        <c:v>0.9849159999999999</c:v>
                      </c:pt>
                      <c:pt idx="8">
                        <c:v>1.2094640000000001</c:v>
                      </c:pt>
                      <c:pt idx="9">
                        <c:v>1.4842360000000001</c:v>
                      </c:pt>
                      <c:pt idx="10">
                        <c:v>1.6220599999999998</c:v>
                      </c:pt>
                      <c:pt idx="11">
                        <c:v>1.8028080000000002</c:v>
                      </c:pt>
                      <c:pt idx="12">
                        <c:v>1.9406319999999999</c:v>
                      </c:pt>
                      <c:pt idx="13">
                        <c:v>2.4472519999999998</c:v>
                      </c:pt>
                      <c:pt idx="14">
                        <c:v>2.9465720000000006</c:v>
                      </c:pt>
                      <c:pt idx="15">
                        <c:v>3.2651439999999998</c:v>
                      </c:pt>
                      <c:pt idx="16">
                        <c:v>3.5910159999999998</c:v>
                      </c:pt>
                      <c:pt idx="17">
                        <c:v>4.0903359999999997</c:v>
                      </c:pt>
                      <c:pt idx="18">
                        <c:v>4.5896559999999997</c:v>
                      </c:pt>
                      <c:pt idx="19">
                        <c:v>4.9155280000000001</c:v>
                      </c:pt>
                    </c:numCache>
                  </c:numRef>
                </c:yVal>
                <c:smooth val="0"/>
                <c:extLst xmlns:c15="http://schemas.microsoft.com/office/drawing/2012/chart">
                  <c:ext xmlns:c16="http://schemas.microsoft.com/office/drawing/2014/chart" uri="{C3380CC4-5D6E-409C-BE32-E72D297353CC}">
                    <c16:uniqueId val="{00000001-C4F2-4944-AB3D-5315140CA7E6}"/>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Tabelle'!$C$87:$V$87</c15:sqref>
                        </c15:formulaRef>
                      </c:ext>
                    </c:extLst>
                    <c:numCache>
                      <c:formatCode>0.00</c:formatCode>
                      <c:ptCount val="20"/>
                      <c:pt idx="0">
                        <c:v>0.90549199999999996</c:v>
                      </c:pt>
                      <c:pt idx="1">
                        <c:v>1.028716</c:v>
                      </c:pt>
                      <c:pt idx="2">
                        <c:v>1.2094640000000001</c:v>
                      </c:pt>
                      <c:pt idx="3">
                        <c:v>1.361888</c:v>
                      </c:pt>
                      <c:pt idx="4">
                        <c:v>1.5426360000000001</c:v>
                      </c:pt>
                      <c:pt idx="5">
                        <c:v>1.6804599999999996</c:v>
                      </c:pt>
                      <c:pt idx="6">
                        <c:v>1.861208</c:v>
                      </c:pt>
                      <c:pt idx="7">
                        <c:v>2.034656</c:v>
                      </c:pt>
                      <c:pt idx="8">
                        <c:v>2.4910519999999998</c:v>
                      </c:pt>
                      <c:pt idx="9">
                        <c:v>2.9903720000000003</c:v>
                      </c:pt>
                      <c:pt idx="10">
                        <c:v>3.301644</c:v>
                      </c:pt>
                      <c:pt idx="11">
                        <c:v>3.6202160000000001</c:v>
                      </c:pt>
                      <c:pt idx="12">
                        <c:v>3.9387880000000002</c:v>
                      </c:pt>
                      <c:pt idx="13">
                        <c:v>4.9301279999999998</c:v>
                      </c:pt>
                      <c:pt idx="14">
                        <c:v>5.8785439999999998</c:v>
                      </c:pt>
                      <c:pt idx="15">
                        <c:v>6.5586120000000001</c:v>
                      </c:pt>
                      <c:pt idx="16">
                        <c:v>7.1884559999999995</c:v>
                      </c:pt>
                      <c:pt idx="17">
                        <c:v>8.1368719999999986</c:v>
                      </c:pt>
                      <c:pt idx="18">
                        <c:v>9.1282120000000013</c:v>
                      </c:pt>
                      <c:pt idx="19">
                        <c:v>9.7653559999999988</c:v>
                      </c:pt>
                    </c:numCache>
                  </c:numRef>
                </c:yVal>
                <c:smooth val="0"/>
                <c:extLst xmlns:c15="http://schemas.microsoft.com/office/drawing/2012/chart">
                  <c:ext xmlns:c16="http://schemas.microsoft.com/office/drawing/2014/chart" uri="{C3380CC4-5D6E-409C-BE32-E72D297353CC}">
                    <c16:uniqueId val="{00000009-C4F2-4944-AB3D-5315140CA7E6}"/>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Tabelle'!$C$88:$V$88</c15:sqref>
                        </c15:formulaRef>
                      </c:ext>
                    </c:extLst>
                    <c:numCache>
                      <c:formatCode>0.00</c:formatCode>
                      <c:ptCount val="20"/>
                      <c:pt idx="0">
                        <c:v>1.0716399999999999</c:v>
                      </c:pt>
                      <c:pt idx="1">
                        <c:v>1.2523879999999998</c:v>
                      </c:pt>
                      <c:pt idx="2">
                        <c:v>1.4194119999999999</c:v>
                      </c:pt>
                      <c:pt idx="3">
                        <c:v>1.7461599999999997</c:v>
                      </c:pt>
                      <c:pt idx="4">
                        <c:v>1.9488080000000001</c:v>
                      </c:pt>
                      <c:pt idx="5">
                        <c:v>2.151456</c:v>
                      </c:pt>
                      <c:pt idx="6">
                        <c:v>2.3184800000000001</c:v>
                      </c:pt>
                      <c:pt idx="7">
                        <c:v>2.5640520000000002</c:v>
                      </c:pt>
                      <c:pt idx="8">
                        <c:v>3.1792959999999995</c:v>
                      </c:pt>
                      <c:pt idx="9">
                        <c:v>3.79454</c:v>
                      </c:pt>
                      <c:pt idx="10">
                        <c:v>4.2071360000000002</c:v>
                      </c:pt>
                      <c:pt idx="11">
                        <c:v>4.6124320000000001</c:v>
                      </c:pt>
                      <c:pt idx="12">
                        <c:v>5.0250279999999998</c:v>
                      </c:pt>
                      <c:pt idx="13">
                        <c:v>6.2555159999999992</c:v>
                      </c:pt>
                      <c:pt idx="14">
                        <c:v>7.4430800000000001</c:v>
                      </c:pt>
                      <c:pt idx="15">
                        <c:v>8.2609720000000006</c:v>
                      </c:pt>
                      <c:pt idx="16">
                        <c:v>9.0861640000000001</c:v>
                      </c:pt>
                      <c:pt idx="17">
                        <c:v>10.316651999999999</c:v>
                      </c:pt>
                      <c:pt idx="18">
                        <c:v>11.547140000000001</c:v>
                      </c:pt>
                      <c:pt idx="19">
                        <c:v>12.365031999999999</c:v>
                      </c:pt>
                    </c:numCache>
                  </c:numRef>
                </c:yVal>
                <c:smooth val="0"/>
                <c:extLst xmlns:c15="http://schemas.microsoft.com/office/drawing/2012/chart">
                  <c:ext xmlns:c16="http://schemas.microsoft.com/office/drawing/2014/chart" uri="{C3380CC4-5D6E-409C-BE32-E72D297353CC}">
                    <c16:uniqueId val="{0000000A-C4F2-4944-AB3D-5315140CA7E6}"/>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Tabelle'!$C$89:$V$89</c15:sqref>
                        </c15:formulaRef>
                      </c:ext>
                    </c:extLst>
                    <c:numCache>
                      <c:formatCode>0.00</c:formatCode>
                      <c:ptCount val="20"/>
                      <c:pt idx="0">
                        <c:v>1.4348879999999999</c:v>
                      </c:pt>
                      <c:pt idx="1">
                        <c:v>1.6375359999999999</c:v>
                      </c:pt>
                      <c:pt idx="2">
                        <c:v>1.8693840000000002</c:v>
                      </c:pt>
                      <c:pt idx="3">
                        <c:v>2.1222560000000001</c:v>
                      </c:pt>
                      <c:pt idx="4">
                        <c:v>2.3541039999999995</c:v>
                      </c:pt>
                      <c:pt idx="5">
                        <c:v>2.5859519999999998</c:v>
                      </c:pt>
                      <c:pt idx="6">
                        <c:v>2.8534239999999995</c:v>
                      </c:pt>
                      <c:pt idx="7">
                        <c:v>3.0852720000000002</c:v>
                      </c:pt>
                      <c:pt idx="8">
                        <c:v>3.8164400000000001</c:v>
                      </c:pt>
                      <c:pt idx="9">
                        <c:v>4.5476080000000003</c:v>
                      </c:pt>
                      <c:pt idx="10">
                        <c:v>5.0542280000000002</c:v>
                      </c:pt>
                      <c:pt idx="11">
                        <c:v>5.5535479999999993</c:v>
                      </c:pt>
                      <c:pt idx="12">
                        <c:v>6.0172440000000007</c:v>
                      </c:pt>
                      <c:pt idx="13">
                        <c:v>7.4795800000000003</c:v>
                      </c:pt>
                      <c:pt idx="14">
                        <c:v>8.9848399999999984</c:v>
                      </c:pt>
                      <c:pt idx="15">
                        <c:v>9.947855999999998</c:v>
                      </c:pt>
                      <c:pt idx="16">
                        <c:v>10.910872000000001</c:v>
                      </c:pt>
                      <c:pt idx="17">
                        <c:v>12.416131999999999</c:v>
                      </c:pt>
                      <c:pt idx="18">
                        <c:v>13.921392000000001</c:v>
                      </c:pt>
                      <c:pt idx="19">
                        <c:v>14.841483999999998</c:v>
                      </c:pt>
                    </c:numCache>
                  </c:numRef>
                </c:yVal>
                <c:smooth val="0"/>
                <c:extLst xmlns:c15="http://schemas.microsoft.com/office/drawing/2012/chart">
                  <c:ext xmlns:c16="http://schemas.microsoft.com/office/drawing/2014/chart" uri="{C3380CC4-5D6E-409C-BE32-E72D297353CC}">
                    <c16:uniqueId val="{0000000B-C4F2-4944-AB3D-5315140CA7E6}"/>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C-C4F2-4944-AB3D-5315140CA7E6}"/>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D-C4F2-4944-AB3D-5315140CA7E6}"/>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E-C4F2-4944-AB3D-5315140CA7E6}"/>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0F-C4F2-4944-AB3D-5315140CA7E6}"/>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0-C4F2-4944-AB3D-5315140CA7E6}"/>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Tabelle'!$C$75:$AB$75</c15:sqref>
                        </c15:formulaRef>
                      </c:ext>
                    </c:extLst>
                    <c:numCache>
                      <c:formatCode>0.00</c:formatCode>
                      <c:ptCount val="26"/>
                      <c:pt idx="0">
                        <c:v>0.38427199999999995</c:v>
                      </c:pt>
                      <c:pt idx="1">
                        <c:v>0.57231999999999994</c:v>
                      </c:pt>
                      <c:pt idx="2">
                        <c:v>0.71744399999999997</c:v>
                      </c:pt>
                      <c:pt idx="3">
                        <c:v>0.90549199999999996</c:v>
                      </c:pt>
                      <c:pt idx="4">
                        <c:v>1.0068159999999999</c:v>
                      </c:pt>
                      <c:pt idx="5">
                        <c:v>1.036016</c:v>
                      </c:pt>
                      <c:pt idx="6">
                        <c:v>1.050616</c:v>
                      </c:pt>
                      <c:pt idx="7">
                        <c:v>1.2085879999999998</c:v>
                      </c:pt>
                      <c:pt idx="8">
                        <c:v>1.15194</c:v>
                      </c:pt>
                      <c:pt idx="9">
                        <c:v>1.216764</c:v>
                      </c:pt>
                      <c:pt idx="10">
                        <c:v>1.3326880000000001</c:v>
                      </c:pt>
                      <c:pt idx="11">
                        <c:v>1.339988</c:v>
                      </c:pt>
                      <c:pt idx="12">
                        <c:v>1.29064</c:v>
                      </c:pt>
                      <c:pt idx="13">
                        <c:v>1.485112</c:v>
                      </c:pt>
                      <c:pt idx="14">
                        <c:v>1.5499360000000002</c:v>
                      </c:pt>
                      <c:pt idx="15">
                        <c:v>1.5426360000000001</c:v>
                      </c:pt>
                      <c:pt idx="16">
                        <c:v>1.7242599999999997</c:v>
                      </c:pt>
                      <c:pt idx="17">
                        <c:v>2.0574319999999999</c:v>
                      </c:pt>
                      <c:pt idx="18">
                        <c:v>2.5786519999999999</c:v>
                      </c:pt>
                      <c:pt idx="19">
                        <c:v>2.8250999999999999</c:v>
                      </c:pt>
                      <c:pt idx="20">
                        <c:v>3.0998720000000004</c:v>
                      </c:pt>
                      <c:pt idx="21">
                        <c:v>3.1655720000000001</c:v>
                      </c:pt>
                      <c:pt idx="22">
                        <c:v>3.4403439999999996</c:v>
                      </c:pt>
                      <c:pt idx="23">
                        <c:v>3.5060440000000002</c:v>
                      </c:pt>
                      <c:pt idx="24">
                        <c:v>3.7735159999999999</c:v>
                      </c:pt>
                      <c:pt idx="25">
                        <c:v>4.2518120000000001</c:v>
                      </c:pt>
                    </c:numCache>
                  </c:numRef>
                </c:yVal>
                <c:smooth val="0"/>
                <c:extLst xmlns:c15="http://schemas.microsoft.com/office/drawing/2012/chart">
                  <c:ext xmlns:c16="http://schemas.microsoft.com/office/drawing/2014/chart" uri="{C3380CC4-5D6E-409C-BE32-E72D297353CC}">
                    <c16:uniqueId val="{00000002-C4F2-4944-AB3D-5315140CA7E6}"/>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Tabelle'!$C$77:$AB$77</c15:sqref>
                        </c15:formulaRef>
                      </c:ext>
                    </c:extLst>
                    <c:numCache>
                      <c:formatCode>0.00</c:formatCode>
                      <c:ptCount val="26"/>
                      <c:pt idx="0">
                        <c:v>0.81876799999999994</c:v>
                      </c:pt>
                      <c:pt idx="1">
                        <c:v>1.15194</c:v>
                      </c:pt>
                      <c:pt idx="2">
                        <c:v>1.485112</c:v>
                      </c:pt>
                      <c:pt idx="3">
                        <c:v>1.8182839999999998</c:v>
                      </c:pt>
                      <c:pt idx="4">
                        <c:v>2.0209320000000002</c:v>
                      </c:pt>
                      <c:pt idx="5">
                        <c:v>2.1222560000000001</c:v>
                      </c:pt>
                      <c:pt idx="6">
                        <c:v>2.1587559999999999</c:v>
                      </c:pt>
                      <c:pt idx="7">
                        <c:v>2.25278</c:v>
                      </c:pt>
                      <c:pt idx="8">
                        <c:v>2.3541039999999995</c:v>
                      </c:pt>
                      <c:pt idx="9">
                        <c:v>2.3979039999999996</c:v>
                      </c:pt>
                      <c:pt idx="10">
                        <c:v>2.6370519999999997</c:v>
                      </c:pt>
                      <c:pt idx="11">
                        <c:v>2.6945759999999996</c:v>
                      </c:pt>
                      <c:pt idx="12">
                        <c:v>2.8032000000000004</c:v>
                      </c:pt>
                      <c:pt idx="13">
                        <c:v>3.0277479999999999</c:v>
                      </c:pt>
                      <c:pt idx="14">
                        <c:v>3.0642480000000001</c:v>
                      </c:pt>
                      <c:pt idx="15">
                        <c:v>3.1427959999999997</c:v>
                      </c:pt>
                      <c:pt idx="16">
                        <c:v>3.4914439999999995</c:v>
                      </c:pt>
                      <c:pt idx="17">
                        <c:v>4.1650879999999999</c:v>
                      </c:pt>
                      <c:pt idx="18">
                        <c:v>5.1646040000000006</c:v>
                      </c:pt>
                      <c:pt idx="19">
                        <c:v>5.7004239999999999</c:v>
                      </c:pt>
                      <c:pt idx="20">
                        <c:v>6.1714199999999995</c:v>
                      </c:pt>
                      <c:pt idx="21">
                        <c:v>6.3886680000000009</c:v>
                      </c:pt>
                      <c:pt idx="22">
                        <c:v>6.837764</c:v>
                      </c:pt>
                      <c:pt idx="23">
                        <c:v>7.0550119999999996</c:v>
                      </c:pt>
                      <c:pt idx="24">
                        <c:v>7.5114079999999994</c:v>
                      </c:pt>
                      <c:pt idx="25">
                        <c:v>8.5109239999999993</c:v>
                      </c:pt>
                    </c:numCache>
                  </c:numRef>
                </c:yVal>
                <c:smooth val="0"/>
                <c:extLst xmlns:c15="http://schemas.microsoft.com/office/drawing/2012/chart">
                  <c:ext xmlns:c16="http://schemas.microsoft.com/office/drawing/2014/chart" uri="{C3380CC4-5D6E-409C-BE32-E72D297353CC}">
                    <c16:uniqueId val="{00000012-C4F2-4944-AB3D-5315140CA7E6}"/>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Tabelle'!$C$78:$AB$78</c15:sqref>
                        </c15:formulaRef>
                      </c:ext>
                    </c:extLst>
                    <c:numCache>
                      <c:formatCode>0.00</c:formatCode>
                      <c:ptCount val="26"/>
                      <c:pt idx="0">
                        <c:v>1.036016</c:v>
                      </c:pt>
                      <c:pt idx="1">
                        <c:v>1.420288</c:v>
                      </c:pt>
                      <c:pt idx="2">
                        <c:v>1.8474840000000001</c:v>
                      </c:pt>
                      <c:pt idx="3">
                        <c:v>2.2819799999999999</c:v>
                      </c:pt>
                      <c:pt idx="4">
                        <c:v>2.5065279999999999</c:v>
                      </c:pt>
                      <c:pt idx="5">
                        <c:v>2.622452</c:v>
                      </c:pt>
                      <c:pt idx="6">
                        <c:v>2.7091759999999998</c:v>
                      </c:pt>
                      <c:pt idx="7">
                        <c:v>2.8178000000000001</c:v>
                      </c:pt>
                      <c:pt idx="8">
                        <c:v>2.9410239999999996</c:v>
                      </c:pt>
                      <c:pt idx="9">
                        <c:v>3.0350479999999997</c:v>
                      </c:pt>
                      <c:pt idx="10">
                        <c:v>3.3106960000000001</c:v>
                      </c:pt>
                      <c:pt idx="11">
                        <c:v>3.36822</c:v>
                      </c:pt>
                      <c:pt idx="12">
                        <c:v>3.4987440000000003</c:v>
                      </c:pt>
                      <c:pt idx="13">
                        <c:v>3.7524920000000002</c:v>
                      </c:pt>
                      <c:pt idx="14">
                        <c:v>3.8465160000000003</c:v>
                      </c:pt>
                      <c:pt idx="15">
                        <c:v>3.9250639999999999</c:v>
                      </c:pt>
                      <c:pt idx="16">
                        <c:v>4.3823359999999996</c:v>
                      </c:pt>
                      <c:pt idx="17">
                        <c:v>5.1938040000000001</c:v>
                      </c:pt>
                      <c:pt idx="18">
                        <c:v>6.4826919999999992</c:v>
                      </c:pt>
                      <c:pt idx="19">
                        <c:v>7.1417359999999999</c:v>
                      </c:pt>
                      <c:pt idx="20">
                        <c:v>7.728656</c:v>
                      </c:pt>
                      <c:pt idx="21">
                        <c:v>7.9751039999999991</c:v>
                      </c:pt>
                      <c:pt idx="22">
                        <c:v>8.5830479999999998</c:v>
                      </c:pt>
                      <c:pt idx="23">
                        <c:v>8.8294959999999989</c:v>
                      </c:pt>
                      <c:pt idx="24">
                        <c:v>9.4018160000000002</c:v>
                      </c:pt>
                      <c:pt idx="25">
                        <c:v>10.647779999999999</c:v>
                      </c:pt>
                    </c:numCache>
                  </c:numRef>
                </c:yVal>
                <c:smooth val="0"/>
                <c:extLst xmlns:c15="http://schemas.microsoft.com/office/drawing/2012/chart">
                  <c:ext xmlns:c16="http://schemas.microsoft.com/office/drawing/2014/chart" uri="{C3380CC4-5D6E-409C-BE32-E72D297353CC}">
                    <c16:uniqueId val="{00000013-C4F2-4944-AB3D-5315140CA7E6}"/>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Tabelle'!$C$79:$AB$79</c15:sqref>
                        </c15:formulaRef>
                      </c:ext>
                    </c:extLst>
                    <c:numCache>
                      <c:formatCode>0.00</c:formatCode>
                      <c:ptCount val="26"/>
                      <c:pt idx="0">
                        <c:v>1.2532639999999999</c:v>
                      </c:pt>
                      <c:pt idx="1">
                        <c:v>1.73156</c:v>
                      </c:pt>
                      <c:pt idx="2">
                        <c:v>2.2171559999999997</c:v>
                      </c:pt>
                      <c:pt idx="3">
                        <c:v>2.7383759999999997</c:v>
                      </c:pt>
                      <c:pt idx="4">
                        <c:v>3.0423480000000001</c:v>
                      </c:pt>
                      <c:pt idx="5">
                        <c:v>3.1728720000000004</c:v>
                      </c:pt>
                      <c:pt idx="6">
                        <c:v>3.2595959999999993</c:v>
                      </c:pt>
                      <c:pt idx="7">
                        <c:v>3.3828199999999997</c:v>
                      </c:pt>
                      <c:pt idx="8">
                        <c:v>3.5206439999999999</c:v>
                      </c:pt>
                      <c:pt idx="9">
                        <c:v>3.6292679999999997</c:v>
                      </c:pt>
                      <c:pt idx="10">
                        <c:v>3.98434</c:v>
                      </c:pt>
                      <c:pt idx="11">
                        <c:v>4.0418640000000003</c:v>
                      </c:pt>
                      <c:pt idx="12">
                        <c:v>4.1869879999999995</c:v>
                      </c:pt>
                      <c:pt idx="13">
                        <c:v>4.5274599999999996</c:v>
                      </c:pt>
                      <c:pt idx="14">
                        <c:v>4.6287839999999996</c:v>
                      </c:pt>
                      <c:pt idx="15">
                        <c:v>4.7073319999999992</c:v>
                      </c:pt>
                      <c:pt idx="16">
                        <c:v>5.2732279999999996</c:v>
                      </c:pt>
                      <c:pt idx="17">
                        <c:v>6.2727440000000003</c:v>
                      </c:pt>
                      <c:pt idx="18">
                        <c:v>7.7578560000000003</c:v>
                      </c:pt>
                      <c:pt idx="19">
                        <c:v>8.5401240000000005</c:v>
                      </c:pt>
                      <c:pt idx="20">
                        <c:v>9.2858920000000005</c:v>
                      </c:pt>
                      <c:pt idx="21">
                        <c:v>9.568839999999998</c:v>
                      </c:pt>
                      <c:pt idx="22">
                        <c:v>10.292707999999999</c:v>
                      </c:pt>
                      <c:pt idx="23">
                        <c:v>10.568355999999998</c:v>
                      </c:pt>
                      <c:pt idx="24">
                        <c:v>11.292223999999999</c:v>
                      </c:pt>
                      <c:pt idx="25">
                        <c:v>12.777336000000002</c:v>
                      </c:pt>
                    </c:numCache>
                  </c:numRef>
                </c:yVal>
                <c:smooth val="0"/>
                <c:extLst xmlns:c15="http://schemas.microsoft.com/office/drawing/2012/chart">
                  <c:ext xmlns:c16="http://schemas.microsoft.com/office/drawing/2014/chart" uri="{C3380CC4-5D6E-409C-BE32-E72D297353CC}">
                    <c16:uniqueId val="{00000014-C4F2-4944-AB3D-5315140CA7E6}"/>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15-C4F2-4944-AB3D-5315140CA7E6}"/>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C4F2-4944-AB3D-5315140CA7E6}"/>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C4F2-4944-AB3D-5315140CA7E6}"/>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C4F2-4944-AB3D-5315140CA7E6}"/>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C4F2-4944-AB3D-5315140CA7E6}"/>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THGE </a:t>
            </a:r>
            <a:r>
              <a:rPr lang="de-CH" baseline="0"/>
              <a:t> 4-Säule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2"/>
          <c:order val="2"/>
          <c:tx>
            <c:strRef>
              <c:f>'Arbonia Tabelle'!$Y$5</c:f>
              <c:strCache>
                <c:ptCount val="1"/>
                <c:pt idx="0">
                  <c:v>ARB 4-Säule</c:v>
                </c:pt>
              </c:strCache>
              <c:extLst xmlns:c15="http://schemas.microsoft.com/office/drawing/2012/chart"/>
            </c:strRef>
          </c:tx>
          <c:spPr>
            <a:ln w="38100" cap="rnd">
              <a:noFill/>
              <a:round/>
            </a:ln>
            <a:effectLst/>
          </c:spPr>
          <c:marker>
            <c:symbol val="circle"/>
            <c:size val="5"/>
            <c:spPr>
              <a:solidFill>
                <a:schemeClr val="accent3"/>
              </a:solidFill>
              <a:ln w="9525">
                <a:solidFill>
                  <a:schemeClr val="accent3"/>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extLst xmlns:c15="http://schemas.microsoft.com/office/drawing/2012/chart"/>
            </c:numRef>
          </c:xVal>
          <c:yVal>
            <c:numRef>
              <c:f>'Arbonia Tabelle'!$D$77:$X$77</c:f>
              <c:numCache>
                <c:formatCode>0.00</c:formatCode>
                <c:ptCount val="21"/>
                <c:pt idx="0">
                  <c:v>0.78226800000000007</c:v>
                </c:pt>
                <c:pt idx="1">
                  <c:v>0.99951599999999996</c:v>
                </c:pt>
                <c:pt idx="2">
                  <c:v>1.1081399999999999</c:v>
                </c:pt>
                <c:pt idx="3">
                  <c:v>1.288888</c:v>
                </c:pt>
                <c:pt idx="4">
                  <c:v>1.4194119999999999</c:v>
                </c:pt>
                <c:pt idx="5">
                  <c:v>1.5928599999999999</c:v>
                </c:pt>
                <c:pt idx="6">
                  <c:v>1.766308</c:v>
                </c:pt>
                <c:pt idx="7">
                  <c:v>1.8968319999999999</c:v>
                </c:pt>
                <c:pt idx="8">
                  <c:v>2.0702799999999999</c:v>
                </c:pt>
                <c:pt idx="9">
                  <c:v>2.5120759999999995</c:v>
                </c:pt>
                <c:pt idx="10">
                  <c:v>2.9894959999999999</c:v>
                </c:pt>
                <c:pt idx="11">
                  <c:v>3.2934679999999998</c:v>
                </c:pt>
                <c:pt idx="12">
                  <c:v>3.6047400000000001</c:v>
                </c:pt>
                <c:pt idx="13">
                  <c:v>3.9087120000000004</c:v>
                </c:pt>
                <c:pt idx="14">
                  <c:v>4.8708519999999993</c:v>
                </c:pt>
                <c:pt idx="15">
                  <c:v>5.7900679999999998</c:v>
                </c:pt>
                <c:pt idx="16">
                  <c:v>6.4409359999999989</c:v>
                </c:pt>
                <c:pt idx="17">
                  <c:v>7.0561799999999995</c:v>
                </c:pt>
                <c:pt idx="18">
                  <c:v>7.9680959999999992</c:v>
                </c:pt>
                <c:pt idx="19">
                  <c:v>8.9302360000000007</c:v>
                </c:pt>
                <c:pt idx="20">
                  <c:v>9.5454799999999995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5-EC82-4D88-B95F-709AD9372AE2}"/>
            </c:ext>
          </c:extLst>
        </c:ser>
        <c:ser>
          <c:idx val="7"/>
          <c:order val="7"/>
          <c:tx>
            <c:strRef>
              <c:f>'Zehnder Charl. Tabelle'!$W$6</c:f>
              <c:strCache>
                <c:ptCount val="1"/>
                <c:pt idx="0">
                  <c:v>ZEHN 4-Säule</c:v>
                </c:pt>
              </c:strCache>
              <c:extLst xmlns:c15="http://schemas.microsoft.com/office/drawing/2012/chart"/>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Tabelle'!$C$87:$V$87</c:f>
              <c:numCache>
                <c:formatCode>0.00</c:formatCode>
                <c:ptCount val="20"/>
                <c:pt idx="0">
                  <c:v>0.90549199999999996</c:v>
                </c:pt>
                <c:pt idx="1">
                  <c:v>1.028716</c:v>
                </c:pt>
                <c:pt idx="2">
                  <c:v>1.2094640000000001</c:v>
                </c:pt>
                <c:pt idx="3">
                  <c:v>1.361888</c:v>
                </c:pt>
                <c:pt idx="4">
                  <c:v>1.5426360000000001</c:v>
                </c:pt>
                <c:pt idx="5">
                  <c:v>1.6804599999999996</c:v>
                </c:pt>
                <c:pt idx="6">
                  <c:v>1.861208</c:v>
                </c:pt>
                <c:pt idx="7">
                  <c:v>2.034656</c:v>
                </c:pt>
                <c:pt idx="8">
                  <c:v>2.4910519999999998</c:v>
                </c:pt>
                <c:pt idx="9">
                  <c:v>2.9903720000000003</c:v>
                </c:pt>
                <c:pt idx="10">
                  <c:v>3.301644</c:v>
                </c:pt>
                <c:pt idx="11">
                  <c:v>3.6202160000000001</c:v>
                </c:pt>
                <c:pt idx="12">
                  <c:v>3.9387880000000002</c:v>
                </c:pt>
                <c:pt idx="13">
                  <c:v>4.9301279999999998</c:v>
                </c:pt>
                <c:pt idx="14">
                  <c:v>5.8785439999999998</c:v>
                </c:pt>
                <c:pt idx="15">
                  <c:v>6.5586120000000001</c:v>
                </c:pt>
                <c:pt idx="16">
                  <c:v>7.1884559999999995</c:v>
                </c:pt>
                <c:pt idx="17">
                  <c:v>8.1368719999999986</c:v>
                </c:pt>
                <c:pt idx="18">
                  <c:v>9.1282120000000013</c:v>
                </c:pt>
                <c:pt idx="19">
                  <c:v>9.7653559999999988</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9-EC82-4D88-B95F-709AD9372AE2}"/>
            </c:ext>
          </c:extLst>
        </c:ser>
        <c:ser>
          <c:idx val="17"/>
          <c:order val="17"/>
          <c:tx>
            <c:strRef>
              <c:f>'Cordivari Tabelle'!$AC$5</c:f>
              <c:strCache>
                <c:ptCount val="1"/>
                <c:pt idx="0">
                  <c:v>Cordivari 4-Säule</c:v>
                </c:pt>
              </c:strCache>
              <c:extLst xmlns:c15="http://schemas.microsoft.com/office/drawing/2012/chart"/>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Tabelle'!$C$77:$AB$77</c:f>
              <c:numCache>
                <c:formatCode>0.00</c:formatCode>
                <c:ptCount val="26"/>
                <c:pt idx="0">
                  <c:v>0.81876799999999994</c:v>
                </c:pt>
                <c:pt idx="1">
                  <c:v>1.15194</c:v>
                </c:pt>
                <c:pt idx="2">
                  <c:v>1.485112</c:v>
                </c:pt>
                <c:pt idx="3">
                  <c:v>1.8182839999999998</c:v>
                </c:pt>
                <c:pt idx="4">
                  <c:v>2.0209320000000002</c:v>
                </c:pt>
                <c:pt idx="5">
                  <c:v>2.1222560000000001</c:v>
                </c:pt>
                <c:pt idx="6">
                  <c:v>2.1587559999999999</c:v>
                </c:pt>
                <c:pt idx="7">
                  <c:v>2.25278</c:v>
                </c:pt>
                <c:pt idx="8">
                  <c:v>2.3541039999999995</c:v>
                </c:pt>
                <c:pt idx="9">
                  <c:v>2.3979039999999996</c:v>
                </c:pt>
                <c:pt idx="10">
                  <c:v>2.6370519999999997</c:v>
                </c:pt>
                <c:pt idx="11">
                  <c:v>2.6945759999999996</c:v>
                </c:pt>
                <c:pt idx="12">
                  <c:v>2.8032000000000004</c:v>
                </c:pt>
                <c:pt idx="13">
                  <c:v>3.0277479999999999</c:v>
                </c:pt>
                <c:pt idx="14">
                  <c:v>3.0642480000000001</c:v>
                </c:pt>
                <c:pt idx="15">
                  <c:v>3.1427959999999997</c:v>
                </c:pt>
                <c:pt idx="16">
                  <c:v>3.4914439999999995</c:v>
                </c:pt>
                <c:pt idx="17">
                  <c:v>4.1650879999999999</c:v>
                </c:pt>
                <c:pt idx="18">
                  <c:v>5.1646040000000006</c:v>
                </c:pt>
                <c:pt idx="19">
                  <c:v>5.7004239999999999</c:v>
                </c:pt>
                <c:pt idx="20">
                  <c:v>6.1714199999999995</c:v>
                </c:pt>
                <c:pt idx="21">
                  <c:v>6.3886680000000009</c:v>
                </c:pt>
                <c:pt idx="22">
                  <c:v>6.837764</c:v>
                </c:pt>
                <c:pt idx="23">
                  <c:v>7.0550119999999996</c:v>
                </c:pt>
                <c:pt idx="24">
                  <c:v>7.5114079999999994</c:v>
                </c:pt>
                <c:pt idx="25">
                  <c:v>8.5109239999999993</c:v>
                </c:pt>
              </c:numCache>
              <c:extLst xmlns:c15="http://schemas.microsoft.com/office/drawing/2012/chart"/>
            </c:numRef>
          </c:yVal>
          <c:smooth val="0"/>
          <c:extLst>
            <c:ext xmlns:c16="http://schemas.microsoft.com/office/drawing/2014/chart" uri="{C3380CC4-5D6E-409C-BE32-E72D297353CC}">
              <c16:uniqueId val="{00000012-EC82-4D88-B95F-709AD9372AE2}"/>
            </c:ext>
          </c:extLst>
        </c:ser>
        <c:ser>
          <c:idx val="25"/>
          <c:order val="25"/>
          <c:tx>
            <c:strRef>
              <c:f>'Emissionen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'Emissionen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'Emissionen alle'!$B$87:$U$87</c:f>
              <c:numCache>
                <c:formatCode>0.00</c:formatCode>
                <c:ptCount val="20"/>
                <c:pt idx="0">
                  <c:v>0.95250400000000002</c:v>
                </c:pt>
                <c:pt idx="1">
                  <c:v>1.0962653333333332</c:v>
                </c:pt>
                <c:pt idx="2">
                  <c:v>1.2491760000000001</c:v>
                </c:pt>
                <c:pt idx="3">
                  <c:v>1.4221373333333334</c:v>
                </c:pt>
                <c:pt idx="4">
                  <c:v>1.5677479999999999</c:v>
                </c:pt>
                <c:pt idx="5">
                  <c:v>1.755017333333333</c:v>
                </c:pt>
                <c:pt idx="6">
                  <c:v>1.9263239999999999</c:v>
                </c:pt>
                <c:pt idx="7">
                  <c:v>2.0878973333333337</c:v>
                </c:pt>
                <c:pt idx="8">
                  <c:v>2.5467266666666664</c:v>
                </c:pt>
                <c:pt idx="9">
                  <c:v>2.9899339999999999</c:v>
                </c:pt>
                <c:pt idx="10">
                  <c:v>3.3621853333333331</c:v>
                </c:pt>
                <c:pt idx="11">
                  <c:v>3.6124780000000003</c:v>
                </c:pt>
                <c:pt idx="12">
                  <c:v>4.0041960000000003</c:v>
                </c:pt>
                <c:pt idx="13">
                  <c:v>4.9885279999999996</c:v>
                </c:pt>
                <c:pt idx="14">
                  <c:v>5.9466773333333336</c:v>
                </c:pt>
                <c:pt idx="15">
                  <c:v>6.6124373333333324</c:v>
                </c:pt>
                <c:pt idx="16">
                  <c:v>7.2520146666666667</c:v>
                </c:pt>
                <c:pt idx="17">
                  <c:v>8.2052973333333323</c:v>
                </c:pt>
                <c:pt idx="18">
                  <c:v>9.029224000000001</c:v>
                </c:pt>
                <c:pt idx="19">
                  <c:v>9.6554179999999992</c:v>
                </c:pt>
              </c:numCache>
            </c:numRef>
          </c:yVal>
          <c:smooth val="0"/>
          <c:extLst>
            <c:ext xmlns:c16="http://schemas.microsoft.com/office/drawing/2014/chart" uri="{C3380CC4-5D6E-409C-BE32-E72D297353CC}">
              <c16:uniqueId val="{00000003-EC82-4D88-B95F-709AD9372AE2}"/>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Tabelle'!$D$75:$X$75</c15:sqref>
                        </c15:formulaRef>
                      </c:ext>
                    </c:extLst>
                    <c:numCache>
                      <c:formatCode>0.00</c:formatCode>
                      <c:ptCount val="21"/>
                      <c:pt idx="0">
                        <c:v>0.369672</c:v>
                      </c:pt>
                      <c:pt idx="1">
                        <c:v>0.47829599999999994</c:v>
                      </c:pt>
                      <c:pt idx="2">
                        <c:v>0.55771999999999999</c:v>
                      </c:pt>
                      <c:pt idx="3">
                        <c:v>0.64444400000000002</c:v>
                      </c:pt>
                      <c:pt idx="4">
                        <c:v>0.73116800000000004</c:v>
                      </c:pt>
                      <c:pt idx="5">
                        <c:v>0.7749680000000001</c:v>
                      </c:pt>
                      <c:pt idx="6">
                        <c:v>0.8616919999999999</c:v>
                      </c:pt>
                      <c:pt idx="7">
                        <c:v>0.94841599999999993</c:v>
                      </c:pt>
                      <c:pt idx="8">
                        <c:v>1.0351399999999999</c:v>
                      </c:pt>
                      <c:pt idx="9">
                        <c:v>1.2596879999999999</c:v>
                      </c:pt>
                      <c:pt idx="10">
                        <c:v>1.51986</c:v>
                      </c:pt>
                      <c:pt idx="11">
                        <c:v>1.6503839999999999</c:v>
                      </c:pt>
                      <c:pt idx="12">
                        <c:v>1.8238319999999999</c:v>
                      </c:pt>
                      <c:pt idx="13">
                        <c:v>1.9543560000000002</c:v>
                      </c:pt>
                      <c:pt idx="14">
                        <c:v>2.439076</c:v>
                      </c:pt>
                      <c:pt idx="15">
                        <c:v>2.9164959999999995</c:v>
                      </c:pt>
                      <c:pt idx="16">
                        <c:v>3.2204679999999994</c:v>
                      </c:pt>
                      <c:pt idx="17">
                        <c:v>3.5317400000000001</c:v>
                      </c:pt>
                      <c:pt idx="18">
                        <c:v>4.0091599999999996</c:v>
                      </c:pt>
                      <c:pt idx="19">
                        <c:v>4.4436559999999998</c:v>
                      </c:pt>
                      <c:pt idx="20">
                        <c:v>4.7978519999999998</c:v>
                      </c:pt>
                    </c:numCache>
                  </c:numRef>
                </c:yVal>
                <c:smooth val="0"/>
                <c:extLst>
                  <c:ext xmlns:c16="http://schemas.microsoft.com/office/drawing/2014/chart" uri="{C3380CC4-5D6E-409C-BE32-E72D297353CC}">
                    <c16:uniqueId val="{00000000-EC82-4D88-B95F-709AD9372AE2}"/>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Tabelle'!$D$76:$X$76</c15:sqref>
                        </c15:formulaRef>
                      </c:ext>
                    </c:extLst>
                    <c:numCache>
                      <c:formatCode>0.00</c:formatCode>
                      <c:ptCount val="21"/>
                      <c:pt idx="0">
                        <c:v>0.57962000000000002</c:v>
                      </c:pt>
                      <c:pt idx="1">
                        <c:v>0.76036800000000004</c:v>
                      </c:pt>
                      <c:pt idx="2">
                        <c:v>0.85439199999999982</c:v>
                      </c:pt>
                      <c:pt idx="3">
                        <c:v>0.96301599999999998</c:v>
                      </c:pt>
                      <c:pt idx="4">
                        <c:v>1.0716399999999999</c:v>
                      </c:pt>
                      <c:pt idx="5">
                        <c:v>1.180264</c:v>
                      </c:pt>
                      <c:pt idx="6">
                        <c:v>1.288888</c:v>
                      </c:pt>
                      <c:pt idx="7">
                        <c:v>1.4477359999999999</c:v>
                      </c:pt>
                      <c:pt idx="8">
                        <c:v>1.5563599999999997</c:v>
                      </c:pt>
                      <c:pt idx="9">
                        <c:v>1.8822319999999999</c:v>
                      </c:pt>
                      <c:pt idx="10">
                        <c:v>2.2510279999999998</c:v>
                      </c:pt>
                      <c:pt idx="11">
                        <c:v>2.4755760000000002</c:v>
                      </c:pt>
                      <c:pt idx="12">
                        <c:v>2.7357480000000001</c:v>
                      </c:pt>
                      <c:pt idx="13">
                        <c:v>2.9529959999999997</c:v>
                      </c:pt>
                      <c:pt idx="14">
                        <c:v>3.6549640000000001</c:v>
                      </c:pt>
                      <c:pt idx="15">
                        <c:v>4.3496319999999997</c:v>
                      </c:pt>
                      <c:pt idx="16">
                        <c:v>4.8343519999999991</c:v>
                      </c:pt>
                      <c:pt idx="17">
                        <c:v>5.2688480000000002</c:v>
                      </c:pt>
                      <c:pt idx="18">
                        <c:v>5.9708159999999992</c:v>
                      </c:pt>
                      <c:pt idx="19">
                        <c:v>6.7084080000000004</c:v>
                      </c:pt>
                      <c:pt idx="20">
                        <c:v>7.1502039999999996</c:v>
                      </c:pt>
                    </c:numCache>
                  </c:numRef>
                </c:yVal>
                <c:smooth val="0"/>
                <c:extLst xmlns:c15="http://schemas.microsoft.com/office/drawing/2012/chart">
                  <c:ext xmlns:c16="http://schemas.microsoft.com/office/drawing/2014/chart" uri="{C3380CC4-5D6E-409C-BE32-E72D297353CC}">
                    <c16:uniqueId val="{00000004-EC82-4D88-B95F-709AD9372AE2}"/>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Tabelle'!$D$78:$X$78</c15:sqref>
                        </c15:formulaRef>
                      </c:ext>
                    </c:extLst>
                    <c:numCache>
                      <c:formatCode>0.00</c:formatCode>
                      <c:ptCount val="21"/>
                      <c:pt idx="0">
                        <c:v>0</c:v>
                      </c:pt>
                      <c:pt idx="1">
                        <c:v>1.282464</c:v>
                      </c:pt>
                      <c:pt idx="2">
                        <c:v>1.4559120000000001</c:v>
                      </c:pt>
                      <c:pt idx="3">
                        <c:v>1.6512599999999997</c:v>
                      </c:pt>
                      <c:pt idx="4">
                        <c:v>1.8466080000000002</c:v>
                      </c:pt>
                      <c:pt idx="5">
                        <c:v>2.0419559999999999</c:v>
                      </c:pt>
                      <c:pt idx="6">
                        <c:v>2.237304</c:v>
                      </c:pt>
                      <c:pt idx="7">
                        <c:v>2.4399519999999999</c:v>
                      </c:pt>
                      <c:pt idx="8">
                        <c:v>2.6353</c:v>
                      </c:pt>
                      <c:pt idx="9">
                        <c:v>3.1784199999999996</c:v>
                      </c:pt>
                      <c:pt idx="10">
                        <c:v>3.7717639999999997</c:v>
                      </c:pt>
                      <c:pt idx="11">
                        <c:v>4.1624600000000003</c:v>
                      </c:pt>
                      <c:pt idx="12">
                        <c:v>4.5531559999999995</c:v>
                      </c:pt>
                      <c:pt idx="13">
                        <c:v>4.9511520000000004</c:v>
                      </c:pt>
                      <c:pt idx="14">
                        <c:v>6.1305399999999999</c:v>
                      </c:pt>
                      <c:pt idx="15">
                        <c:v>7.3099280000000002</c:v>
                      </c:pt>
                      <c:pt idx="16">
                        <c:v>8.0913199999999996</c:v>
                      </c:pt>
                      <c:pt idx="17">
                        <c:v>8.8370879999999996</c:v>
                      </c:pt>
                      <c:pt idx="18">
                        <c:v>10.016476000000001</c:v>
                      </c:pt>
                      <c:pt idx="19">
                        <c:v>11.195864</c:v>
                      </c:pt>
                      <c:pt idx="20">
                        <c:v>11.984556</c:v>
                      </c:pt>
                    </c:numCache>
                  </c:numRef>
                </c:yVal>
                <c:smooth val="0"/>
                <c:extLst xmlns:c15="http://schemas.microsoft.com/office/drawing/2012/chart">
                  <c:ext xmlns:c16="http://schemas.microsoft.com/office/drawing/2014/chart" uri="{C3380CC4-5D6E-409C-BE32-E72D297353CC}">
                    <c16:uniqueId val="{00000006-EC82-4D88-B95F-709AD9372AE2}"/>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Tabelle'!$D$79:$X$79</c15:sqref>
                        </c15:formulaRef>
                      </c:ext>
                    </c:extLst>
                    <c:numCache>
                      <c:formatCode>0.00</c:formatCode>
                      <c:ptCount val="21"/>
                      <c:pt idx="0">
                        <c:v>0</c:v>
                      </c:pt>
                      <c:pt idx="1">
                        <c:v>1.5362119999999999</c:v>
                      </c:pt>
                      <c:pt idx="2">
                        <c:v>1.73156</c:v>
                      </c:pt>
                      <c:pt idx="3">
                        <c:v>1.9917319999999998</c:v>
                      </c:pt>
                      <c:pt idx="4">
                        <c:v>2.2089799999999999</c:v>
                      </c:pt>
                      <c:pt idx="5">
                        <c:v>2.4262279999999996</c:v>
                      </c:pt>
                      <c:pt idx="6">
                        <c:v>2.6863999999999999</c:v>
                      </c:pt>
                      <c:pt idx="7">
                        <c:v>2.9109480000000003</c:v>
                      </c:pt>
                      <c:pt idx="8">
                        <c:v>3.128196</c:v>
                      </c:pt>
                      <c:pt idx="9">
                        <c:v>3.8657880000000002</c:v>
                      </c:pt>
                      <c:pt idx="10">
                        <c:v>4.5677560000000001</c:v>
                      </c:pt>
                      <c:pt idx="11">
                        <c:v>5.0022520000000004</c:v>
                      </c:pt>
                      <c:pt idx="12">
                        <c:v>5.4869719999999997</c:v>
                      </c:pt>
                      <c:pt idx="13">
                        <c:v>5.9643919999999992</c:v>
                      </c:pt>
                      <c:pt idx="14">
                        <c:v>7.3610279999999992</c:v>
                      </c:pt>
                      <c:pt idx="15">
                        <c:v>8.7649639999999991</c:v>
                      </c:pt>
                      <c:pt idx="16">
                        <c:v>9.6768800000000006</c:v>
                      </c:pt>
                      <c:pt idx="17">
                        <c:v>10.63902</c:v>
                      </c:pt>
                      <c:pt idx="18">
                        <c:v>12.035655999999999</c:v>
                      </c:pt>
                      <c:pt idx="19">
                        <c:v>13.439592000000001</c:v>
                      </c:pt>
                      <c:pt idx="20">
                        <c:v>14.394432000000002</c:v>
                      </c:pt>
                    </c:numCache>
                  </c:numRef>
                </c:yVal>
                <c:smooth val="0"/>
                <c:extLst xmlns:c15="http://schemas.microsoft.com/office/drawing/2012/chart">
                  <c:ext xmlns:c16="http://schemas.microsoft.com/office/drawing/2014/chart" uri="{C3380CC4-5D6E-409C-BE32-E72D297353CC}">
                    <c16:uniqueId val="{00000007-EC82-4D88-B95F-709AD9372AE2}"/>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Tabelle'!$C$85:$V$85</c15:sqref>
                        </c15:formulaRef>
                      </c:ext>
                    </c:extLst>
                    <c:numCache>
                      <c:formatCode>0.00</c:formatCode>
                      <c:ptCount val="20"/>
                      <c:pt idx="0">
                        <c:v>0.463696</c:v>
                      </c:pt>
                      <c:pt idx="1">
                        <c:v>0.492896</c:v>
                      </c:pt>
                      <c:pt idx="2">
                        <c:v>0.58692</c:v>
                      </c:pt>
                      <c:pt idx="3">
                        <c:v>0.65904399999999996</c:v>
                      </c:pt>
                      <c:pt idx="4">
                        <c:v>0.75306800000000007</c:v>
                      </c:pt>
                      <c:pt idx="5">
                        <c:v>0.80416799999999999</c:v>
                      </c:pt>
                      <c:pt idx="6">
                        <c:v>0.89089200000000002</c:v>
                      </c:pt>
                      <c:pt idx="7">
                        <c:v>0.9849159999999999</c:v>
                      </c:pt>
                      <c:pt idx="8">
                        <c:v>1.2094640000000001</c:v>
                      </c:pt>
                      <c:pt idx="9">
                        <c:v>1.4842360000000001</c:v>
                      </c:pt>
                      <c:pt idx="10">
                        <c:v>1.6220599999999998</c:v>
                      </c:pt>
                      <c:pt idx="11">
                        <c:v>1.8028080000000002</c:v>
                      </c:pt>
                      <c:pt idx="12">
                        <c:v>1.9406319999999999</c:v>
                      </c:pt>
                      <c:pt idx="13">
                        <c:v>2.4472519999999998</c:v>
                      </c:pt>
                      <c:pt idx="14">
                        <c:v>2.9465720000000006</c:v>
                      </c:pt>
                      <c:pt idx="15">
                        <c:v>3.2651439999999998</c:v>
                      </c:pt>
                      <c:pt idx="16">
                        <c:v>3.5910159999999998</c:v>
                      </c:pt>
                      <c:pt idx="17">
                        <c:v>4.0903359999999997</c:v>
                      </c:pt>
                      <c:pt idx="18">
                        <c:v>4.5896559999999997</c:v>
                      </c:pt>
                      <c:pt idx="19">
                        <c:v>4.9155280000000001</c:v>
                      </c:pt>
                    </c:numCache>
                  </c:numRef>
                </c:yVal>
                <c:smooth val="0"/>
                <c:extLst xmlns:c15="http://schemas.microsoft.com/office/drawing/2012/chart">
                  <c:ext xmlns:c16="http://schemas.microsoft.com/office/drawing/2014/chart" uri="{C3380CC4-5D6E-409C-BE32-E72D297353CC}">
                    <c16:uniqueId val="{00000001-EC82-4D88-B95F-709AD9372AE2}"/>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Tabelle'!$C$86:$V$86</c15:sqref>
                        </c15:formulaRef>
                      </c:ext>
                    </c:extLst>
                    <c:numCache>
                      <c:formatCode>0.00</c:formatCode>
                      <c:ptCount val="20"/>
                      <c:pt idx="0">
                        <c:v>0.66634400000000005</c:v>
                      </c:pt>
                      <c:pt idx="1">
                        <c:v>0.76036800000000004</c:v>
                      </c:pt>
                      <c:pt idx="2">
                        <c:v>0.87629199999999985</c:v>
                      </c:pt>
                      <c:pt idx="3">
                        <c:v>0.99221599999999988</c:v>
                      </c:pt>
                      <c:pt idx="4">
                        <c:v>1.1081399999999999</c:v>
                      </c:pt>
                      <c:pt idx="5">
                        <c:v>1.2240639999999998</c:v>
                      </c:pt>
                      <c:pt idx="6">
                        <c:v>1.339988</c:v>
                      </c:pt>
                      <c:pt idx="7">
                        <c:v>1.4988360000000001</c:v>
                      </c:pt>
                      <c:pt idx="8">
                        <c:v>1.8393079999999999</c:v>
                      </c:pt>
                      <c:pt idx="9">
                        <c:v>2.2227040000000002</c:v>
                      </c:pt>
                      <c:pt idx="10">
                        <c:v>2.4545519999999996</c:v>
                      </c:pt>
                      <c:pt idx="11">
                        <c:v>2.6863999999999999</c:v>
                      </c:pt>
                      <c:pt idx="12">
                        <c:v>2.9538720000000001</c:v>
                      </c:pt>
                      <c:pt idx="13">
                        <c:v>3.6850400000000003</c:v>
                      </c:pt>
                      <c:pt idx="14">
                        <c:v>4.4162080000000001</c:v>
                      </c:pt>
                      <c:pt idx="15">
                        <c:v>4.9155280000000001</c:v>
                      </c:pt>
                      <c:pt idx="16">
                        <c:v>5.3719239999999999</c:v>
                      </c:pt>
                      <c:pt idx="17">
                        <c:v>6.1030919999999993</c:v>
                      </c:pt>
                      <c:pt idx="18">
                        <c:v>6.8342599999999996</c:v>
                      </c:pt>
                      <c:pt idx="19">
                        <c:v>7.3335799999999995</c:v>
                      </c:pt>
                    </c:numCache>
                  </c:numRef>
                </c:yVal>
                <c:smooth val="0"/>
                <c:extLst xmlns:c15="http://schemas.microsoft.com/office/drawing/2012/chart">
                  <c:ext xmlns:c16="http://schemas.microsoft.com/office/drawing/2014/chart" uri="{C3380CC4-5D6E-409C-BE32-E72D297353CC}">
                    <c16:uniqueId val="{00000008-EC82-4D88-B95F-709AD9372AE2}"/>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Tabelle'!$C$88:$V$88</c15:sqref>
                        </c15:formulaRef>
                      </c:ext>
                    </c:extLst>
                    <c:numCache>
                      <c:formatCode>0.00</c:formatCode>
                      <c:ptCount val="20"/>
                      <c:pt idx="0">
                        <c:v>1.0716399999999999</c:v>
                      </c:pt>
                      <c:pt idx="1">
                        <c:v>1.2523879999999998</c:v>
                      </c:pt>
                      <c:pt idx="2">
                        <c:v>1.4194119999999999</c:v>
                      </c:pt>
                      <c:pt idx="3">
                        <c:v>1.7461599999999997</c:v>
                      </c:pt>
                      <c:pt idx="4">
                        <c:v>1.9488080000000001</c:v>
                      </c:pt>
                      <c:pt idx="5">
                        <c:v>2.151456</c:v>
                      </c:pt>
                      <c:pt idx="6">
                        <c:v>2.3184800000000001</c:v>
                      </c:pt>
                      <c:pt idx="7">
                        <c:v>2.5640520000000002</c:v>
                      </c:pt>
                      <c:pt idx="8">
                        <c:v>3.1792959999999995</c:v>
                      </c:pt>
                      <c:pt idx="9">
                        <c:v>3.79454</c:v>
                      </c:pt>
                      <c:pt idx="10">
                        <c:v>4.2071360000000002</c:v>
                      </c:pt>
                      <c:pt idx="11">
                        <c:v>4.6124320000000001</c:v>
                      </c:pt>
                      <c:pt idx="12">
                        <c:v>5.0250279999999998</c:v>
                      </c:pt>
                      <c:pt idx="13">
                        <c:v>6.2555159999999992</c:v>
                      </c:pt>
                      <c:pt idx="14">
                        <c:v>7.4430800000000001</c:v>
                      </c:pt>
                      <c:pt idx="15">
                        <c:v>8.2609720000000006</c:v>
                      </c:pt>
                      <c:pt idx="16">
                        <c:v>9.0861640000000001</c:v>
                      </c:pt>
                      <c:pt idx="17">
                        <c:v>10.316651999999999</c:v>
                      </c:pt>
                      <c:pt idx="18">
                        <c:v>11.547140000000001</c:v>
                      </c:pt>
                      <c:pt idx="19">
                        <c:v>12.365031999999999</c:v>
                      </c:pt>
                    </c:numCache>
                  </c:numRef>
                </c:yVal>
                <c:smooth val="0"/>
                <c:extLst xmlns:c15="http://schemas.microsoft.com/office/drawing/2012/chart">
                  <c:ext xmlns:c16="http://schemas.microsoft.com/office/drawing/2014/chart" uri="{C3380CC4-5D6E-409C-BE32-E72D297353CC}">
                    <c16:uniqueId val="{0000000A-EC82-4D88-B95F-709AD9372AE2}"/>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Tabelle'!$C$89:$V$89</c15:sqref>
                        </c15:formulaRef>
                      </c:ext>
                    </c:extLst>
                    <c:numCache>
                      <c:formatCode>0.00</c:formatCode>
                      <c:ptCount val="20"/>
                      <c:pt idx="0">
                        <c:v>1.4348879999999999</c:v>
                      </c:pt>
                      <c:pt idx="1">
                        <c:v>1.6375359999999999</c:v>
                      </c:pt>
                      <c:pt idx="2">
                        <c:v>1.8693840000000002</c:v>
                      </c:pt>
                      <c:pt idx="3">
                        <c:v>2.1222560000000001</c:v>
                      </c:pt>
                      <c:pt idx="4">
                        <c:v>2.3541039999999995</c:v>
                      </c:pt>
                      <c:pt idx="5">
                        <c:v>2.5859519999999998</c:v>
                      </c:pt>
                      <c:pt idx="6">
                        <c:v>2.8534239999999995</c:v>
                      </c:pt>
                      <c:pt idx="7">
                        <c:v>3.0852720000000002</c:v>
                      </c:pt>
                      <c:pt idx="8">
                        <c:v>3.8164400000000001</c:v>
                      </c:pt>
                      <c:pt idx="9">
                        <c:v>4.5476080000000003</c:v>
                      </c:pt>
                      <c:pt idx="10">
                        <c:v>5.0542280000000002</c:v>
                      </c:pt>
                      <c:pt idx="11">
                        <c:v>5.5535479999999993</c:v>
                      </c:pt>
                      <c:pt idx="12">
                        <c:v>6.0172440000000007</c:v>
                      </c:pt>
                      <c:pt idx="13">
                        <c:v>7.4795800000000003</c:v>
                      </c:pt>
                      <c:pt idx="14">
                        <c:v>8.9848399999999984</c:v>
                      </c:pt>
                      <c:pt idx="15">
                        <c:v>9.947855999999998</c:v>
                      </c:pt>
                      <c:pt idx="16">
                        <c:v>10.910872000000001</c:v>
                      </c:pt>
                      <c:pt idx="17">
                        <c:v>12.416131999999999</c:v>
                      </c:pt>
                      <c:pt idx="18">
                        <c:v>13.921392000000001</c:v>
                      </c:pt>
                      <c:pt idx="19">
                        <c:v>14.841483999999998</c:v>
                      </c:pt>
                    </c:numCache>
                  </c:numRef>
                </c:yVal>
                <c:smooth val="0"/>
                <c:extLst xmlns:c15="http://schemas.microsoft.com/office/drawing/2012/chart">
                  <c:ext xmlns:c16="http://schemas.microsoft.com/office/drawing/2014/chart" uri="{C3380CC4-5D6E-409C-BE32-E72D297353CC}">
                    <c16:uniqueId val="{0000000B-EC82-4D88-B95F-709AD9372AE2}"/>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C-EC82-4D88-B95F-709AD9372AE2}"/>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D-EC82-4D88-B95F-709AD9372AE2}"/>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E-EC82-4D88-B95F-709AD9372AE2}"/>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0F-EC82-4D88-B95F-709AD9372AE2}"/>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0-EC82-4D88-B95F-709AD9372AE2}"/>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Tabelle'!$C$75:$AB$75</c15:sqref>
                        </c15:formulaRef>
                      </c:ext>
                    </c:extLst>
                    <c:numCache>
                      <c:formatCode>0.00</c:formatCode>
                      <c:ptCount val="26"/>
                      <c:pt idx="0">
                        <c:v>0.38427199999999995</c:v>
                      </c:pt>
                      <c:pt idx="1">
                        <c:v>0.57231999999999994</c:v>
                      </c:pt>
                      <c:pt idx="2">
                        <c:v>0.71744399999999997</c:v>
                      </c:pt>
                      <c:pt idx="3">
                        <c:v>0.90549199999999996</c:v>
                      </c:pt>
                      <c:pt idx="4">
                        <c:v>1.0068159999999999</c:v>
                      </c:pt>
                      <c:pt idx="5">
                        <c:v>1.036016</c:v>
                      </c:pt>
                      <c:pt idx="6">
                        <c:v>1.050616</c:v>
                      </c:pt>
                      <c:pt idx="7">
                        <c:v>1.2085879999999998</c:v>
                      </c:pt>
                      <c:pt idx="8">
                        <c:v>1.15194</c:v>
                      </c:pt>
                      <c:pt idx="9">
                        <c:v>1.216764</c:v>
                      </c:pt>
                      <c:pt idx="10">
                        <c:v>1.3326880000000001</c:v>
                      </c:pt>
                      <c:pt idx="11">
                        <c:v>1.339988</c:v>
                      </c:pt>
                      <c:pt idx="12">
                        <c:v>1.29064</c:v>
                      </c:pt>
                      <c:pt idx="13">
                        <c:v>1.485112</c:v>
                      </c:pt>
                      <c:pt idx="14">
                        <c:v>1.5499360000000002</c:v>
                      </c:pt>
                      <c:pt idx="15">
                        <c:v>1.5426360000000001</c:v>
                      </c:pt>
                      <c:pt idx="16">
                        <c:v>1.7242599999999997</c:v>
                      </c:pt>
                      <c:pt idx="17">
                        <c:v>2.0574319999999999</c:v>
                      </c:pt>
                      <c:pt idx="18">
                        <c:v>2.5786519999999999</c:v>
                      </c:pt>
                      <c:pt idx="19">
                        <c:v>2.8250999999999999</c:v>
                      </c:pt>
                      <c:pt idx="20">
                        <c:v>3.0998720000000004</c:v>
                      </c:pt>
                      <c:pt idx="21">
                        <c:v>3.1655720000000001</c:v>
                      </c:pt>
                      <c:pt idx="22">
                        <c:v>3.4403439999999996</c:v>
                      </c:pt>
                      <c:pt idx="23">
                        <c:v>3.5060440000000002</c:v>
                      </c:pt>
                      <c:pt idx="24">
                        <c:v>3.7735159999999999</c:v>
                      </c:pt>
                      <c:pt idx="25">
                        <c:v>4.2518120000000001</c:v>
                      </c:pt>
                    </c:numCache>
                  </c:numRef>
                </c:yVal>
                <c:smooth val="0"/>
                <c:extLst xmlns:c15="http://schemas.microsoft.com/office/drawing/2012/chart">
                  <c:ext xmlns:c16="http://schemas.microsoft.com/office/drawing/2014/chart" uri="{C3380CC4-5D6E-409C-BE32-E72D297353CC}">
                    <c16:uniqueId val="{00000002-EC82-4D88-B95F-709AD9372AE2}"/>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Tabelle'!$C$76:$AB$76</c15:sqref>
                        </c15:formulaRef>
                      </c:ext>
                    </c:extLst>
                    <c:numCache>
                      <c:formatCode>0.00</c:formatCode>
                      <c:ptCount val="26"/>
                      <c:pt idx="0">
                        <c:v>0.60152000000000005</c:v>
                      </c:pt>
                      <c:pt idx="1">
                        <c:v>0.84066799999999997</c:v>
                      </c:pt>
                      <c:pt idx="2">
                        <c:v>1.1227399999999998</c:v>
                      </c:pt>
                      <c:pt idx="3">
                        <c:v>1.361888</c:v>
                      </c:pt>
                      <c:pt idx="4">
                        <c:v>1.4924119999999998</c:v>
                      </c:pt>
                      <c:pt idx="5">
                        <c:v>1.5791360000000001</c:v>
                      </c:pt>
                      <c:pt idx="6">
                        <c:v>1.6010360000000001</c:v>
                      </c:pt>
                      <c:pt idx="7">
                        <c:v>1.6877599999999999</c:v>
                      </c:pt>
                      <c:pt idx="8">
                        <c:v>1.73156</c:v>
                      </c:pt>
                      <c:pt idx="9">
                        <c:v>1.8036840000000001</c:v>
                      </c:pt>
                      <c:pt idx="10">
                        <c:v>2.0063319999999996</c:v>
                      </c:pt>
                      <c:pt idx="11">
                        <c:v>2.0136319999999999</c:v>
                      </c:pt>
                      <c:pt idx="12">
                        <c:v>2.0647320000000002</c:v>
                      </c:pt>
                      <c:pt idx="13">
                        <c:v>2.25278</c:v>
                      </c:pt>
                      <c:pt idx="14">
                        <c:v>2.2892799999999998</c:v>
                      </c:pt>
                      <c:pt idx="15">
                        <c:v>2.3678280000000003</c:v>
                      </c:pt>
                      <c:pt idx="16">
                        <c:v>2.6078520000000003</c:v>
                      </c:pt>
                      <c:pt idx="17">
                        <c:v>3.1290720000000003</c:v>
                      </c:pt>
                      <c:pt idx="18">
                        <c:v>3.8967399999999999</c:v>
                      </c:pt>
                      <c:pt idx="19">
                        <c:v>4.2664119999999999</c:v>
                      </c:pt>
                      <c:pt idx="20">
                        <c:v>4.6141839999999998</c:v>
                      </c:pt>
                      <c:pt idx="21">
                        <c:v>4.7949319999999993</c:v>
                      </c:pt>
                      <c:pt idx="22">
                        <c:v>5.1354039999999994</c:v>
                      </c:pt>
                      <c:pt idx="23">
                        <c:v>5.2805279999999994</c:v>
                      </c:pt>
                      <c:pt idx="24">
                        <c:v>5.6210000000000004</c:v>
                      </c:pt>
                      <c:pt idx="25">
                        <c:v>6.3813680000000002</c:v>
                      </c:pt>
                    </c:numCache>
                  </c:numRef>
                </c:yVal>
                <c:smooth val="0"/>
                <c:extLst xmlns:c15="http://schemas.microsoft.com/office/drawing/2012/chart">
                  <c:ext xmlns:c16="http://schemas.microsoft.com/office/drawing/2014/chart" uri="{C3380CC4-5D6E-409C-BE32-E72D297353CC}">
                    <c16:uniqueId val="{00000011-EC82-4D88-B95F-709AD9372AE2}"/>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Tabelle'!$C$78:$AB$78</c15:sqref>
                        </c15:formulaRef>
                      </c:ext>
                    </c:extLst>
                    <c:numCache>
                      <c:formatCode>0.00</c:formatCode>
                      <c:ptCount val="26"/>
                      <c:pt idx="0">
                        <c:v>1.036016</c:v>
                      </c:pt>
                      <c:pt idx="1">
                        <c:v>1.420288</c:v>
                      </c:pt>
                      <c:pt idx="2">
                        <c:v>1.8474840000000001</c:v>
                      </c:pt>
                      <c:pt idx="3">
                        <c:v>2.2819799999999999</c:v>
                      </c:pt>
                      <c:pt idx="4">
                        <c:v>2.5065279999999999</c:v>
                      </c:pt>
                      <c:pt idx="5">
                        <c:v>2.622452</c:v>
                      </c:pt>
                      <c:pt idx="6">
                        <c:v>2.7091759999999998</c:v>
                      </c:pt>
                      <c:pt idx="7">
                        <c:v>2.8178000000000001</c:v>
                      </c:pt>
                      <c:pt idx="8">
                        <c:v>2.9410239999999996</c:v>
                      </c:pt>
                      <c:pt idx="9">
                        <c:v>3.0350479999999997</c:v>
                      </c:pt>
                      <c:pt idx="10">
                        <c:v>3.3106960000000001</c:v>
                      </c:pt>
                      <c:pt idx="11">
                        <c:v>3.36822</c:v>
                      </c:pt>
                      <c:pt idx="12">
                        <c:v>3.4987440000000003</c:v>
                      </c:pt>
                      <c:pt idx="13">
                        <c:v>3.7524920000000002</c:v>
                      </c:pt>
                      <c:pt idx="14">
                        <c:v>3.8465160000000003</c:v>
                      </c:pt>
                      <c:pt idx="15">
                        <c:v>3.9250639999999999</c:v>
                      </c:pt>
                      <c:pt idx="16">
                        <c:v>4.3823359999999996</c:v>
                      </c:pt>
                      <c:pt idx="17">
                        <c:v>5.1938040000000001</c:v>
                      </c:pt>
                      <c:pt idx="18">
                        <c:v>6.4826919999999992</c:v>
                      </c:pt>
                      <c:pt idx="19">
                        <c:v>7.1417359999999999</c:v>
                      </c:pt>
                      <c:pt idx="20">
                        <c:v>7.728656</c:v>
                      </c:pt>
                      <c:pt idx="21">
                        <c:v>7.9751039999999991</c:v>
                      </c:pt>
                      <c:pt idx="22">
                        <c:v>8.5830479999999998</c:v>
                      </c:pt>
                      <c:pt idx="23">
                        <c:v>8.8294959999999989</c:v>
                      </c:pt>
                      <c:pt idx="24">
                        <c:v>9.4018160000000002</c:v>
                      </c:pt>
                      <c:pt idx="25">
                        <c:v>10.647779999999999</c:v>
                      </c:pt>
                    </c:numCache>
                  </c:numRef>
                </c:yVal>
                <c:smooth val="0"/>
                <c:extLst xmlns:c15="http://schemas.microsoft.com/office/drawing/2012/chart">
                  <c:ext xmlns:c16="http://schemas.microsoft.com/office/drawing/2014/chart" uri="{C3380CC4-5D6E-409C-BE32-E72D297353CC}">
                    <c16:uniqueId val="{00000013-EC82-4D88-B95F-709AD9372AE2}"/>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Tabelle'!$C$79:$AB$79</c15:sqref>
                        </c15:formulaRef>
                      </c:ext>
                    </c:extLst>
                    <c:numCache>
                      <c:formatCode>0.00</c:formatCode>
                      <c:ptCount val="26"/>
                      <c:pt idx="0">
                        <c:v>1.2532639999999999</c:v>
                      </c:pt>
                      <c:pt idx="1">
                        <c:v>1.73156</c:v>
                      </c:pt>
                      <c:pt idx="2">
                        <c:v>2.2171559999999997</c:v>
                      </c:pt>
                      <c:pt idx="3">
                        <c:v>2.7383759999999997</c:v>
                      </c:pt>
                      <c:pt idx="4">
                        <c:v>3.0423480000000001</c:v>
                      </c:pt>
                      <c:pt idx="5">
                        <c:v>3.1728720000000004</c:v>
                      </c:pt>
                      <c:pt idx="6">
                        <c:v>3.2595959999999993</c:v>
                      </c:pt>
                      <c:pt idx="7">
                        <c:v>3.3828199999999997</c:v>
                      </c:pt>
                      <c:pt idx="8">
                        <c:v>3.5206439999999999</c:v>
                      </c:pt>
                      <c:pt idx="9">
                        <c:v>3.6292679999999997</c:v>
                      </c:pt>
                      <c:pt idx="10">
                        <c:v>3.98434</c:v>
                      </c:pt>
                      <c:pt idx="11">
                        <c:v>4.0418640000000003</c:v>
                      </c:pt>
                      <c:pt idx="12">
                        <c:v>4.1869879999999995</c:v>
                      </c:pt>
                      <c:pt idx="13">
                        <c:v>4.5274599999999996</c:v>
                      </c:pt>
                      <c:pt idx="14">
                        <c:v>4.6287839999999996</c:v>
                      </c:pt>
                      <c:pt idx="15">
                        <c:v>4.7073319999999992</c:v>
                      </c:pt>
                      <c:pt idx="16">
                        <c:v>5.2732279999999996</c:v>
                      </c:pt>
                      <c:pt idx="17">
                        <c:v>6.2727440000000003</c:v>
                      </c:pt>
                      <c:pt idx="18">
                        <c:v>7.7578560000000003</c:v>
                      </c:pt>
                      <c:pt idx="19">
                        <c:v>8.5401240000000005</c:v>
                      </c:pt>
                      <c:pt idx="20">
                        <c:v>9.2858920000000005</c:v>
                      </c:pt>
                      <c:pt idx="21">
                        <c:v>9.568839999999998</c:v>
                      </c:pt>
                      <c:pt idx="22">
                        <c:v>10.292707999999999</c:v>
                      </c:pt>
                      <c:pt idx="23">
                        <c:v>10.568355999999998</c:v>
                      </c:pt>
                      <c:pt idx="24">
                        <c:v>11.292223999999999</c:v>
                      </c:pt>
                      <c:pt idx="25">
                        <c:v>12.777336000000002</c:v>
                      </c:pt>
                    </c:numCache>
                  </c:numRef>
                </c:yVal>
                <c:smooth val="0"/>
                <c:extLst xmlns:c15="http://schemas.microsoft.com/office/drawing/2012/chart">
                  <c:ext xmlns:c16="http://schemas.microsoft.com/office/drawing/2014/chart" uri="{C3380CC4-5D6E-409C-BE32-E72D297353CC}">
                    <c16:uniqueId val="{00000014-EC82-4D88-B95F-709AD9372AE2}"/>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15-EC82-4D88-B95F-709AD9372AE2}"/>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EC82-4D88-B95F-709AD9372AE2}"/>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EC82-4D88-B95F-709AD9372AE2}"/>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EC82-4D88-B95F-709AD9372AE2}"/>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EC82-4D88-B95F-709AD9372AE2}"/>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THGE </a:t>
            </a:r>
            <a:r>
              <a:rPr lang="de-CH" baseline="0"/>
              <a:t> 5-Säule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9"/>
          <c:order val="3"/>
          <c:tx>
            <c:strRef>
              <c:f>'Arbonia Tabelle'!$Y$6</c:f>
              <c:strCache>
                <c:ptCount val="1"/>
                <c:pt idx="0">
                  <c:v>ARB 5-Säule</c:v>
                </c:pt>
              </c:strCache>
              <c:extLst xmlns:c15="http://schemas.microsoft.com/office/drawing/2012/chart"/>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'Arbonia Tabelle'!$E$2:$X$2</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'Arbonia Tabelle'!$E$78:$X$78</c:f>
              <c:numCache>
                <c:formatCode>0.00</c:formatCode>
                <c:ptCount val="20"/>
                <c:pt idx="0">
                  <c:v>1.282464</c:v>
                </c:pt>
                <c:pt idx="1">
                  <c:v>1.4559120000000001</c:v>
                </c:pt>
                <c:pt idx="2">
                  <c:v>1.6512599999999997</c:v>
                </c:pt>
                <c:pt idx="3">
                  <c:v>1.8466080000000002</c:v>
                </c:pt>
                <c:pt idx="4">
                  <c:v>2.0419559999999999</c:v>
                </c:pt>
                <c:pt idx="5">
                  <c:v>2.237304</c:v>
                </c:pt>
                <c:pt idx="6">
                  <c:v>2.4399519999999999</c:v>
                </c:pt>
                <c:pt idx="7">
                  <c:v>2.6353</c:v>
                </c:pt>
                <c:pt idx="8">
                  <c:v>3.1784199999999996</c:v>
                </c:pt>
                <c:pt idx="9">
                  <c:v>3.7717639999999997</c:v>
                </c:pt>
                <c:pt idx="10">
                  <c:v>4.1624600000000003</c:v>
                </c:pt>
                <c:pt idx="11">
                  <c:v>4.5531559999999995</c:v>
                </c:pt>
                <c:pt idx="12">
                  <c:v>4.9511520000000004</c:v>
                </c:pt>
                <c:pt idx="13">
                  <c:v>6.1305399999999999</c:v>
                </c:pt>
                <c:pt idx="14">
                  <c:v>7.3099280000000002</c:v>
                </c:pt>
                <c:pt idx="15">
                  <c:v>8.0913199999999996</c:v>
                </c:pt>
                <c:pt idx="16">
                  <c:v>8.8370879999999996</c:v>
                </c:pt>
                <c:pt idx="17">
                  <c:v>10.016476000000001</c:v>
                </c:pt>
                <c:pt idx="18">
                  <c:v>11.195864</c:v>
                </c:pt>
                <c:pt idx="19">
                  <c:v>11.984556</c:v>
                </c:pt>
              </c:numCache>
            </c:numRef>
          </c:yVal>
          <c:smooth val="0"/>
          <c:extLst>
            <c:ext xmlns:c16="http://schemas.microsoft.com/office/drawing/2014/chart" uri="{C3380CC4-5D6E-409C-BE32-E72D297353CC}">
              <c16:uniqueId val="{00000006-9E5E-4288-BDB7-6695CB6736C8}"/>
            </c:ext>
          </c:extLst>
        </c:ser>
        <c:ser>
          <c:idx val="11"/>
          <c:order val="8"/>
          <c:tx>
            <c:strRef>
              <c:f>'Zehnder Charl. Tabelle'!$W$7</c:f>
              <c:strCache>
                <c:ptCount val="1"/>
                <c:pt idx="0">
                  <c:v>ZEHN 5-Säule</c:v>
                </c:pt>
              </c:strCache>
              <c:extLst xmlns:c15="http://schemas.microsoft.com/office/drawing/2012/chart"/>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Tabelle'!$C$88:$V$88</c:f>
              <c:numCache>
                <c:formatCode>0.00</c:formatCode>
                <c:ptCount val="20"/>
                <c:pt idx="0">
                  <c:v>1.0716399999999999</c:v>
                </c:pt>
                <c:pt idx="1">
                  <c:v>1.2523879999999998</c:v>
                </c:pt>
                <c:pt idx="2">
                  <c:v>1.4194119999999999</c:v>
                </c:pt>
                <c:pt idx="3">
                  <c:v>1.7461599999999997</c:v>
                </c:pt>
                <c:pt idx="4">
                  <c:v>1.9488080000000001</c:v>
                </c:pt>
                <c:pt idx="5">
                  <c:v>2.151456</c:v>
                </c:pt>
                <c:pt idx="6">
                  <c:v>2.3184800000000001</c:v>
                </c:pt>
                <c:pt idx="7">
                  <c:v>2.5640520000000002</c:v>
                </c:pt>
                <c:pt idx="8">
                  <c:v>3.1792959999999995</c:v>
                </c:pt>
                <c:pt idx="9">
                  <c:v>3.79454</c:v>
                </c:pt>
                <c:pt idx="10">
                  <c:v>4.2071360000000002</c:v>
                </c:pt>
                <c:pt idx="11">
                  <c:v>4.6124320000000001</c:v>
                </c:pt>
                <c:pt idx="12">
                  <c:v>5.0250279999999998</c:v>
                </c:pt>
                <c:pt idx="13">
                  <c:v>6.2555159999999992</c:v>
                </c:pt>
                <c:pt idx="14">
                  <c:v>7.4430800000000001</c:v>
                </c:pt>
                <c:pt idx="15">
                  <c:v>8.2609720000000006</c:v>
                </c:pt>
                <c:pt idx="16">
                  <c:v>9.0861640000000001</c:v>
                </c:pt>
                <c:pt idx="17">
                  <c:v>10.316651999999999</c:v>
                </c:pt>
                <c:pt idx="18">
                  <c:v>11.547140000000001</c:v>
                </c:pt>
                <c:pt idx="19">
                  <c:v>12.365031999999999</c:v>
                </c:pt>
              </c:numCache>
              <c:extLst xmlns:c15="http://schemas.microsoft.com/office/drawing/2012/chart"/>
            </c:numRef>
          </c:yVal>
          <c:smooth val="0"/>
          <c:extLst>
            <c:ext xmlns:c16="http://schemas.microsoft.com/office/drawing/2014/chart" uri="{C3380CC4-5D6E-409C-BE32-E72D297353CC}">
              <c16:uniqueId val="{0000000A-9E5E-4288-BDB7-6695CB6736C8}"/>
            </c:ext>
          </c:extLst>
        </c:ser>
        <c:ser>
          <c:idx val="18"/>
          <c:order val="18"/>
          <c:tx>
            <c:strRef>
              <c:f>'Cordivari Tabelle'!$AC$6</c:f>
              <c:strCache>
                <c:ptCount val="1"/>
                <c:pt idx="0">
                  <c:v>Cordivari 5-Säule</c:v>
                </c:pt>
              </c:strCache>
              <c:extLst xmlns:c15="http://schemas.microsoft.com/office/drawing/2012/chart"/>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Tabelle'!$C$78:$AB$78</c:f>
              <c:numCache>
                <c:formatCode>0.00</c:formatCode>
                <c:ptCount val="26"/>
                <c:pt idx="0">
                  <c:v>1.036016</c:v>
                </c:pt>
                <c:pt idx="1">
                  <c:v>1.420288</c:v>
                </c:pt>
                <c:pt idx="2">
                  <c:v>1.8474840000000001</c:v>
                </c:pt>
                <c:pt idx="3">
                  <c:v>2.2819799999999999</c:v>
                </c:pt>
                <c:pt idx="4">
                  <c:v>2.5065279999999999</c:v>
                </c:pt>
                <c:pt idx="5">
                  <c:v>2.622452</c:v>
                </c:pt>
                <c:pt idx="6">
                  <c:v>2.7091759999999998</c:v>
                </c:pt>
                <c:pt idx="7">
                  <c:v>2.8178000000000001</c:v>
                </c:pt>
                <c:pt idx="8">
                  <c:v>2.9410239999999996</c:v>
                </c:pt>
                <c:pt idx="9">
                  <c:v>3.0350479999999997</c:v>
                </c:pt>
                <c:pt idx="10">
                  <c:v>3.3106960000000001</c:v>
                </c:pt>
                <c:pt idx="11">
                  <c:v>3.36822</c:v>
                </c:pt>
                <c:pt idx="12">
                  <c:v>3.4987440000000003</c:v>
                </c:pt>
                <c:pt idx="13">
                  <c:v>3.7524920000000002</c:v>
                </c:pt>
                <c:pt idx="14">
                  <c:v>3.8465160000000003</c:v>
                </c:pt>
                <c:pt idx="15">
                  <c:v>3.9250639999999999</c:v>
                </c:pt>
                <c:pt idx="16">
                  <c:v>4.3823359999999996</c:v>
                </c:pt>
                <c:pt idx="17">
                  <c:v>5.1938040000000001</c:v>
                </c:pt>
                <c:pt idx="18">
                  <c:v>6.4826919999999992</c:v>
                </c:pt>
                <c:pt idx="19">
                  <c:v>7.1417359999999999</c:v>
                </c:pt>
                <c:pt idx="20">
                  <c:v>7.728656</c:v>
                </c:pt>
                <c:pt idx="21">
                  <c:v>7.9751039999999991</c:v>
                </c:pt>
                <c:pt idx="22">
                  <c:v>8.5830479999999998</c:v>
                </c:pt>
                <c:pt idx="23">
                  <c:v>8.8294959999999989</c:v>
                </c:pt>
                <c:pt idx="24">
                  <c:v>9.4018160000000002</c:v>
                </c:pt>
                <c:pt idx="25">
                  <c:v>10.647779999999999</c:v>
                </c:pt>
              </c:numCache>
              <c:extLst xmlns:c15="http://schemas.microsoft.com/office/drawing/2012/chart"/>
            </c:numRef>
          </c:yVal>
          <c:smooth val="0"/>
          <c:extLst>
            <c:ext xmlns:c16="http://schemas.microsoft.com/office/drawing/2014/chart" uri="{C3380CC4-5D6E-409C-BE32-E72D297353CC}">
              <c16:uniqueId val="{00000013-9E5E-4288-BDB7-6695CB6736C8}"/>
            </c:ext>
          </c:extLst>
        </c:ser>
        <c:ser>
          <c:idx val="25"/>
          <c:order val="25"/>
          <c:tx>
            <c:strRef>
              <c:f>'Emissionen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'Emissionen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'Emissionen alle'!$B$106:$U$106</c:f>
              <c:numCache>
                <c:formatCode>0.00</c:formatCode>
                <c:ptCount val="20"/>
                <c:pt idx="0">
                  <c:v>1.177052</c:v>
                </c:pt>
                <c:pt idx="1">
                  <c:v>1.376196</c:v>
                </c:pt>
                <c:pt idx="2">
                  <c:v>1.5353359999999998</c:v>
                </c:pt>
                <c:pt idx="3">
                  <c:v>1.8134173333333334</c:v>
                </c:pt>
                <c:pt idx="4">
                  <c:v>1.995382</c:v>
                </c:pt>
                <c:pt idx="5">
                  <c:v>2.2235799999999997</c:v>
                </c:pt>
                <c:pt idx="6">
                  <c:v>2.4216533333333334</c:v>
                </c:pt>
                <c:pt idx="7">
                  <c:v>2.6361760000000003</c:v>
                </c:pt>
                <c:pt idx="8">
                  <c:v>3.222804</c:v>
                </c:pt>
                <c:pt idx="9">
                  <c:v>3.7831519999999998</c:v>
                </c:pt>
                <c:pt idx="10">
                  <c:v>4.2506440000000003</c:v>
                </c:pt>
                <c:pt idx="11">
                  <c:v>4.5827939999999998</c:v>
                </c:pt>
                <c:pt idx="12">
                  <c:v>5.0566613333333335</c:v>
                </c:pt>
                <c:pt idx="13">
                  <c:v>6.289582666666667</c:v>
                </c:pt>
                <c:pt idx="14">
                  <c:v>7.493888000000001</c:v>
                </c:pt>
                <c:pt idx="15">
                  <c:v>8.3117799999999988</c:v>
                </c:pt>
                <c:pt idx="16">
                  <c:v>9.1083559999999988</c:v>
                </c:pt>
                <c:pt idx="17">
                  <c:v>10.326969333333333</c:v>
                </c:pt>
                <c:pt idx="18">
                  <c:v>11.371502</c:v>
                </c:pt>
                <c:pt idx="19">
                  <c:v>12.174793999999999</c:v>
                </c:pt>
              </c:numCache>
            </c:numRef>
          </c:yVal>
          <c:smooth val="0"/>
          <c:extLst>
            <c:ext xmlns:c16="http://schemas.microsoft.com/office/drawing/2014/chart" uri="{C3380CC4-5D6E-409C-BE32-E72D297353CC}">
              <c16:uniqueId val="{00000003-9E5E-4288-BDB7-6695CB6736C8}"/>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Tabelle'!$D$75:$X$75</c15:sqref>
                        </c15:formulaRef>
                      </c:ext>
                    </c:extLst>
                    <c:numCache>
                      <c:formatCode>0.00</c:formatCode>
                      <c:ptCount val="21"/>
                      <c:pt idx="0">
                        <c:v>0.369672</c:v>
                      </c:pt>
                      <c:pt idx="1">
                        <c:v>0.47829599999999994</c:v>
                      </c:pt>
                      <c:pt idx="2">
                        <c:v>0.55771999999999999</c:v>
                      </c:pt>
                      <c:pt idx="3">
                        <c:v>0.64444400000000002</c:v>
                      </c:pt>
                      <c:pt idx="4">
                        <c:v>0.73116800000000004</c:v>
                      </c:pt>
                      <c:pt idx="5">
                        <c:v>0.7749680000000001</c:v>
                      </c:pt>
                      <c:pt idx="6">
                        <c:v>0.8616919999999999</c:v>
                      </c:pt>
                      <c:pt idx="7">
                        <c:v>0.94841599999999993</c:v>
                      </c:pt>
                      <c:pt idx="8">
                        <c:v>1.0351399999999999</c:v>
                      </c:pt>
                      <c:pt idx="9">
                        <c:v>1.2596879999999999</c:v>
                      </c:pt>
                      <c:pt idx="10">
                        <c:v>1.51986</c:v>
                      </c:pt>
                      <c:pt idx="11">
                        <c:v>1.6503839999999999</c:v>
                      </c:pt>
                      <c:pt idx="12">
                        <c:v>1.8238319999999999</c:v>
                      </c:pt>
                      <c:pt idx="13">
                        <c:v>1.9543560000000002</c:v>
                      </c:pt>
                      <c:pt idx="14">
                        <c:v>2.439076</c:v>
                      </c:pt>
                      <c:pt idx="15">
                        <c:v>2.9164959999999995</c:v>
                      </c:pt>
                      <c:pt idx="16">
                        <c:v>3.2204679999999994</c:v>
                      </c:pt>
                      <c:pt idx="17">
                        <c:v>3.5317400000000001</c:v>
                      </c:pt>
                      <c:pt idx="18">
                        <c:v>4.0091599999999996</c:v>
                      </c:pt>
                      <c:pt idx="19">
                        <c:v>4.4436559999999998</c:v>
                      </c:pt>
                      <c:pt idx="20">
                        <c:v>4.7978519999999998</c:v>
                      </c:pt>
                    </c:numCache>
                  </c:numRef>
                </c:yVal>
                <c:smooth val="0"/>
                <c:extLst>
                  <c:ext xmlns:c16="http://schemas.microsoft.com/office/drawing/2014/chart" uri="{C3380CC4-5D6E-409C-BE32-E72D297353CC}">
                    <c16:uniqueId val="{00000000-9E5E-4288-BDB7-6695CB6736C8}"/>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Tabelle'!$D$76:$X$76</c15:sqref>
                        </c15:formulaRef>
                      </c:ext>
                    </c:extLst>
                    <c:numCache>
                      <c:formatCode>0.00</c:formatCode>
                      <c:ptCount val="21"/>
                      <c:pt idx="0">
                        <c:v>0.57962000000000002</c:v>
                      </c:pt>
                      <c:pt idx="1">
                        <c:v>0.76036800000000004</c:v>
                      </c:pt>
                      <c:pt idx="2">
                        <c:v>0.85439199999999982</c:v>
                      </c:pt>
                      <c:pt idx="3">
                        <c:v>0.96301599999999998</c:v>
                      </c:pt>
                      <c:pt idx="4">
                        <c:v>1.0716399999999999</c:v>
                      </c:pt>
                      <c:pt idx="5">
                        <c:v>1.180264</c:v>
                      </c:pt>
                      <c:pt idx="6">
                        <c:v>1.288888</c:v>
                      </c:pt>
                      <c:pt idx="7">
                        <c:v>1.4477359999999999</c:v>
                      </c:pt>
                      <c:pt idx="8">
                        <c:v>1.5563599999999997</c:v>
                      </c:pt>
                      <c:pt idx="9">
                        <c:v>1.8822319999999999</c:v>
                      </c:pt>
                      <c:pt idx="10">
                        <c:v>2.2510279999999998</c:v>
                      </c:pt>
                      <c:pt idx="11">
                        <c:v>2.4755760000000002</c:v>
                      </c:pt>
                      <c:pt idx="12">
                        <c:v>2.7357480000000001</c:v>
                      </c:pt>
                      <c:pt idx="13">
                        <c:v>2.9529959999999997</c:v>
                      </c:pt>
                      <c:pt idx="14">
                        <c:v>3.6549640000000001</c:v>
                      </c:pt>
                      <c:pt idx="15">
                        <c:v>4.3496319999999997</c:v>
                      </c:pt>
                      <c:pt idx="16">
                        <c:v>4.8343519999999991</c:v>
                      </c:pt>
                      <c:pt idx="17">
                        <c:v>5.2688480000000002</c:v>
                      </c:pt>
                      <c:pt idx="18">
                        <c:v>5.9708159999999992</c:v>
                      </c:pt>
                      <c:pt idx="19">
                        <c:v>6.7084080000000004</c:v>
                      </c:pt>
                      <c:pt idx="20">
                        <c:v>7.1502039999999996</c:v>
                      </c:pt>
                    </c:numCache>
                  </c:numRef>
                </c:yVal>
                <c:smooth val="0"/>
                <c:extLst xmlns:c15="http://schemas.microsoft.com/office/drawing/2012/chart">
                  <c:ext xmlns:c16="http://schemas.microsoft.com/office/drawing/2014/chart" uri="{C3380CC4-5D6E-409C-BE32-E72D297353CC}">
                    <c16:uniqueId val="{00000004-9E5E-4288-BDB7-6695CB6736C8}"/>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Tabelle'!$D$77:$X$77</c15:sqref>
                        </c15:formulaRef>
                      </c:ext>
                    </c:extLst>
                    <c:numCache>
                      <c:formatCode>0.00</c:formatCode>
                      <c:ptCount val="21"/>
                      <c:pt idx="0">
                        <c:v>0.78226800000000007</c:v>
                      </c:pt>
                      <c:pt idx="1">
                        <c:v>0.99951599999999996</c:v>
                      </c:pt>
                      <c:pt idx="2">
                        <c:v>1.1081399999999999</c:v>
                      </c:pt>
                      <c:pt idx="3">
                        <c:v>1.288888</c:v>
                      </c:pt>
                      <c:pt idx="4">
                        <c:v>1.4194119999999999</c:v>
                      </c:pt>
                      <c:pt idx="5">
                        <c:v>1.5928599999999999</c:v>
                      </c:pt>
                      <c:pt idx="6">
                        <c:v>1.766308</c:v>
                      </c:pt>
                      <c:pt idx="7">
                        <c:v>1.8968319999999999</c:v>
                      </c:pt>
                      <c:pt idx="8">
                        <c:v>2.0702799999999999</c:v>
                      </c:pt>
                      <c:pt idx="9">
                        <c:v>2.5120759999999995</c:v>
                      </c:pt>
                      <c:pt idx="10">
                        <c:v>2.9894959999999999</c:v>
                      </c:pt>
                      <c:pt idx="11">
                        <c:v>3.2934679999999998</c:v>
                      </c:pt>
                      <c:pt idx="12">
                        <c:v>3.6047400000000001</c:v>
                      </c:pt>
                      <c:pt idx="13">
                        <c:v>3.9087120000000004</c:v>
                      </c:pt>
                      <c:pt idx="14">
                        <c:v>4.8708519999999993</c:v>
                      </c:pt>
                      <c:pt idx="15">
                        <c:v>5.7900679999999998</c:v>
                      </c:pt>
                      <c:pt idx="16">
                        <c:v>6.4409359999999989</c:v>
                      </c:pt>
                      <c:pt idx="17">
                        <c:v>7.0561799999999995</c:v>
                      </c:pt>
                      <c:pt idx="18">
                        <c:v>7.9680959999999992</c:v>
                      </c:pt>
                      <c:pt idx="19">
                        <c:v>8.9302360000000007</c:v>
                      </c:pt>
                      <c:pt idx="20">
                        <c:v>9.5454799999999995</c:v>
                      </c:pt>
                    </c:numCache>
                  </c:numRef>
                </c:yVal>
                <c:smooth val="0"/>
                <c:extLst xmlns:c15="http://schemas.microsoft.com/office/drawing/2012/chart">
                  <c:ext xmlns:c16="http://schemas.microsoft.com/office/drawing/2014/chart" uri="{C3380CC4-5D6E-409C-BE32-E72D297353CC}">
                    <c16:uniqueId val="{00000005-9E5E-4288-BDB7-6695CB6736C8}"/>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Tabelle'!$D$79:$X$79</c15:sqref>
                        </c15:formulaRef>
                      </c:ext>
                    </c:extLst>
                    <c:numCache>
                      <c:formatCode>0.00</c:formatCode>
                      <c:ptCount val="21"/>
                      <c:pt idx="0">
                        <c:v>0</c:v>
                      </c:pt>
                      <c:pt idx="1">
                        <c:v>1.5362119999999999</c:v>
                      </c:pt>
                      <c:pt idx="2">
                        <c:v>1.73156</c:v>
                      </c:pt>
                      <c:pt idx="3">
                        <c:v>1.9917319999999998</c:v>
                      </c:pt>
                      <c:pt idx="4">
                        <c:v>2.2089799999999999</c:v>
                      </c:pt>
                      <c:pt idx="5">
                        <c:v>2.4262279999999996</c:v>
                      </c:pt>
                      <c:pt idx="6">
                        <c:v>2.6863999999999999</c:v>
                      </c:pt>
                      <c:pt idx="7">
                        <c:v>2.9109480000000003</c:v>
                      </c:pt>
                      <c:pt idx="8">
                        <c:v>3.128196</c:v>
                      </c:pt>
                      <c:pt idx="9">
                        <c:v>3.8657880000000002</c:v>
                      </c:pt>
                      <c:pt idx="10">
                        <c:v>4.5677560000000001</c:v>
                      </c:pt>
                      <c:pt idx="11">
                        <c:v>5.0022520000000004</c:v>
                      </c:pt>
                      <c:pt idx="12">
                        <c:v>5.4869719999999997</c:v>
                      </c:pt>
                      <c:pt idx="13">
                        <c:v>5.9643919999999992</c:v>
                      </c:pt>
                      <c:pt idx="14">
                        <c:v>7.3610279999999992</c:v>
                      </c:pt>
                      <c:pt idx="15">
                        <c:v>8.7649639999999991</c:v>
                      </c:pt>
                      <c:pt idx="16">
                        <c:v>9.6768800000000006</c:v>
                      </c:pt>
                      <c:pt idx="17">
                        <c:v>10.63902</c:v>
                      </c:pt>
                      <c:pt idx="18">
                        <c:v>12.035655999999999</c:v>
                      </c:pt>
                      <c:pt idx="19">
                        <c:v>13.439592000000001</c:v>
                      </c:pt>
                      <c:pt idx="20">
                        <c:v>14.394432000000002</c:v>
                      </c:pt>
                    </c:numCache>
                  </c:numRef>
                </c:yVal>
                <c:smooth val="0"/>
                <c:extLst xmlns:c15="http://schemas.microsoft.com/office/drawing/2012/chart">
                  <c:ext xmlns:c16="http://schemas.microsoft.com/office/drawing/2014/chart" uri="{C3380CC4-5D6E-409C-BE32-E72D297353CC}">
                    <c16:uniqueId val="{00000007-9E5E-4288-BDB7-6695CB6736C8}"/>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Tabelle'!$C$85:$V$85</c15:sqref>
                        </c15:formulaRef>
                      </c:ext>
                    </c:extLst>
                    <c:numCache>
                      <c:formatCode>0.00</c:formatCode>
                      <c:ptCount val="20"/>
                      <c:pt idx="0">
                        <c:v>0.463696</c:v>
                      </c:pt>
                      <c:pt idx="1">
                        <c:v>0.492896</c:v>
                      </c:pt>
                      <c:pt idx="2">
                        <c:v>0.58692</c:v>
                      </c:pt>
                      <c:pt idx="3">
                        <c:v>0.65904399999999996</c:v>
                      </c:pt>
                      <c:pt idx="4">
                        <c:v>0.75306800000000007</c:v>
                      </c:pt>
                      <c:pt idx="5">
                        <c:v>0.80416799999999999</c:v>
                      </c:pt>
                      <c:pt idx="6">
                        <c:v>0.89089200000000002</c:v>
                      </c:pt>
                      <c:pt idx="7">
                        <c:v>0.9849159999999999</c:v>
                      </c:pt>
                      <c:pt idx="8">
                        <c:v>1.2094640000000001</c:v>
                      </c:pt>
                      <c:pt idx="9">
                        <c:v>1.4842360000000001</c:v>
                      </c:pt>
                      <c:pt idx="10">
                        <c:v>1.6220599999999998</c:v>
                      </c:pt>
                      <c:pt idx="11">
                        <c:v>1.8028080000000002</c:v>
                      </c:pt>
                      <c:pt idx="12">
                        <c:v>1.9406319999999999</c:v>
                      </c:pt>
                      <c:pt idx="13">
                        <c:v>2.4472519999999998</c:v>
                      </c:pt>
                      <c:pt idx="14">
                        <c:v>2.9465720000000006</c:v>
                      </c:pt>
                      <c:pt idx="15">
                        <c:v>3.2651439999999998</c:v>
                      </c:pt>
                      <c:pt idx="16">
                        <c:v>3.5910159999999998</c:v>
                      </c:pt>
                      <c:pt idx="17">
                        <c:v>4.0903359999999997</c:v>
                      </c:pt>
                      <c:pt idx="18">
                        <c:v>4.5896559999999997</c:v>
                      </c:pt>
                      <c:pt idx="19">
                        <c:v>4.9155280000000001</c:v>
                      </c:pt>
                    </c:numCache>
                  </c:numRef>
                </c:yVal>
                <c:smooth val="0"/>
                <c:extLst xmlns:c15="http://schemas.microsoft.com/office/drawing/2012/chart">
                  <c:ext xmlns:c16="http://schemas.microsoft.com/office/drawing/2014/chart" uri="{C3380CC4-5D6E-409C-BE32-E72D297353CC}">
                    <c16:uniqueId val="{00000001-9E5E-4288-BDB7-6695CB6736C8}"/>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Tabelle'!$C$86:$V$86</c15:sqref>
                        </c15:formulaRef>
                      </c:ext>
                    </c:extLst>
                    <c:numCache>
                      <c:formatCode>0.00</c:formatCode>
                      <c:ptCount val="20"/>
                      <c:pt idx="0">
                        <c:v>0.66634400000000005</c:v>
                      </c:pt>
                      <c:pt idx="1">
                        <c:v>0.76036800000000004</c:v>
                      </c:pt>
                      <c:pt idx="2">
                        <c:v>0.87629199999999985</c:v>
                      </c:pt>
                      <c:pt idx="3">
                        <c:v>0.99221599999999988</c:v>
                      </c:pt>
                      <c:pt idx="4">
                        <c:v>1.1081399999999999</c:v>
                      </c:pt>
                      <c:pt idx="5">
                        <c:v>1.2240639999999998</c:v>
                      </c:pt>
                      <c:pt idx="6">
                        <c:v>1.339988</c:v>
                      </c:pt>
                      <c:pt idx="7">
                        <c:v>1.4988360000000001</c:v>
                      </c:pt>
                      <c:pt idx="8">
                        <c:v>1.8393079999999999</c:v>
                      </c:pt>
                      <c:pt idx="9">
                        <c:v>2.2227040000000002</c:v>
                      </c:pt>
                      <c:pt idx="10">
                        <c:v>2.4545519999999996</c:v>
                      </c:pt>
                      <c:pt idx="11">
                        <c:v>2.6863999999999999</c:v>
                      </c:pt>
                      <c:pt idx="12">
                        <c:v>2.9538720000000001</c:v>
                      </c:pt>
                      <c:pt idx="13">
                        <c:v>3.6850400000000003</c:v>
                      </c:pt>
                      <c:pt idx="14">
                        <c:v>4.4162080000000001</c:v>
                      </c:pt>
                      <c:pt idx="15">
                        <c:v>4.9155280000000001</c:v>
                      </c:pt>
                      <c:pt idx="16">
                        <c:v>5.3719239999999999</c:v>
                      </c:pt>
                      <c:pt idx="17">
                        <c:v>6.1030919999999993</c:v>
                      </c:pt>
                      <c:pt idx="18">
                        <c:v>6.8342599999999996</c:v>
                      </c:pt>
                      <c:pt idx="19">
                        <c:v>7.3335799999999995</c:v>
                      </c:pt>
                    </c:numCache>
                  </c:numRef>
                </c:yVal>
                <c:smooth val="0"/>
                <c:extLst xmlns:c15="http://schemas.microsoft.com/office/drawing/2012/chart">
                  <c:ext xmlns:c16="http://schemas.microsoft.com/office/drawing/2014/chart" uri="{C3380CC4-5D6E-409C-BE32-E72D297353CC}">
                    <c16:uniqueId val="{00000008-9E5E-4288-BDB7-6695CB6736C8}"/>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Tabelle'!$C$87:$V$87</c15:sqref>
                        </c15:formulaRef>
                      </c:ext>
                    </c:extLst>
                    <c:numCache>
                      <c:formatCode>0.00</c:formatCode>
                      <c:ptCount val="20"/>
                      <c:pt idx="0">
                        <c:v>0.90549199999999996</c:v>
                      </c:pt>
                      <c:pt idx="1">
                        <c:v>1.028716</c:v>
                      </c:pt>
                      <c:pt idx="2">
                        <c:v>1.2094640000000001</c:v>
                      </c:pt>
                      <c:pt idx="3">
                        <c:v>1.361888</c:v>
                      </c:pt>
                      <c:pt idx="4">
                        <c:v>1.5426360000000001</c:v>
                      </c:pt>
                      <c:pt idx="5">
                        <c:v>1.6804599999999996</c:v>
                      </c:pt>
                      <c:pt idx="6">
                        <c:v>1.861208</c:v>
                      </c:pt>
                      <c:pt idx="7">
                        <c:v>2.034656</c:v>
                      </c:pt>
                      <c:pt idx="8">
                        <c:v>2.4910519999999998</c:v>
                      </c:pt>
                      <c:pt idx="9">
                        <c:v>2.9903720000000003</c:v>
                      </c:pt>
                      <c:pt idx="10">
                        <c:v>3.301644</c:v>
                      </c:pt>
                      <c:pt idx="11">
                        <c:v>3.6202160000000001</c:v>
                      </c:pt>
                      <c:pt idx="12">
                        <c:v>3.9387880000000002</c:v>
                      </c:pt>
                      <c:pt idx="13">
                        <c:v>4.9301279999999998</c:v>
                      </c:pt>
                      <c:pt idx="14">
                        <c:v>5.8785439999999998</c:v>
                      </c:pt>
                      <c:pt idx="15">
                        <c:v>6.5586120000000001</c:v>
                      </c:pt>
                      <c:pt idx="16">
                        <c:v>7.1884559999999995</c:v>
                      </c:pt>
                      <c:pt idx="17">
                        <c:v>8.1368719999999986</c:v>
                      </c:pt>
                      <c:pt idx="18">
                        <c:v>9.1282120000000013</c:v>
                      </c:pt>
                      <c:pt idx="19">
                        <c:v>9.7653559999999988</c:v>
                      </c:pt>
                    </c:numCache>
                  </c:numRef>
                </c:yVal>
                <c:smooth val="0"/>
                <c:extLst xmlns:c15="http://schemas.microsoft.com/office/drawing/2012/chart">
                  <c:ext xmlns:c16="http://schemas.microsoft.com/office/drawing/2014/chart" uri="{C3380CC4-5D6E-409C-BE32-E72D297353CC}">
                    <c16:uniqueId val="{00000009-9E5E-4288-BDB7-6695CB6736C8}"/>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Tabelle'!$C$89:$V$89</c15:sqref>
                        </c15:formulaRef>
                      </c:ext>
                    </c:extLst>
                    <c:numCache>
                      <c:formatCode>0.00</c:formatCode>
                      <c:ptCount val="20"/>
                      <c:pt idx="0">
                        <c:v>1.4348879999999999</c:v>
                      </c:pt>
                      <c:pt idx="1">
                        <c:v>1.6375359999999999</c:v>
                      </c:pt>
                      <c:pt idx="2">
                        <c:v>1.8693840000000002</c:v>
                      </c:pt>
                      <c:pt idx="3">
                        <c:v>2.1222560000000001</c:v>
                      </c:pt>
                      <c:pt idx="4">
                        <c:v>2.3541039999999995</c:v>
                      </c:pt>
                      <c:pt idx="5">
                        <c:v>2.5859519999999998</c:v>
                      </c:pt>
                      <c:pt idx="6">
                        <c:v>2.8534239999999995</c:v>
                      </c:pt>
                      <c:pt idx="7">
                        <c:v>3.0852720000000002</c:v>
                      </c:pt>
                      <c:pt idx="8">
                        <c:v>3.8164400000000001</c:v>
                      </c:pt>
                      <c:pt idx="9">
                        <c:v>4.5476080000000003</c:v>
                      </c:pt>
                      <c:pt idx="10">
                        <c:v>5.0542280000000002</c:v>
                      </c:pt>
                      <c:pt idx="11">
                        <c:v>5.5535479999999993</c:v>
                      </c:pt>
                      <c:pt idx="12">
                        <c:v>6.0172440000000007</c:v>
                      </c:pt>
                      <c:pt idx="13">
                        <c:v>7.4795800000000003</c:v>
                      </c:pt>
                      <c:pt idx="14">
                        <c:v>8.9848399999999984</c:v>
                      </c:pt>
                      <c:pt idx="15">
                        <c:v>9.947855999999998</c:v>
                      </c:pt>
                      <c:pt idx="16">
                        <c:v>10.910872000000001</c:v>
                      </c:pt>
                      <c:pt idx="17">
                        <c:v>12.416131999999999</c:v>
                      </c:pt>
                      <c:pt idx="18">
                        <c:v>13.921392000000001</c:v>
                      </c:pt>
                      <c:pt idx="19">
                        <c:v>14.841483999999998</c:v>
                      </c:pt>
                    </c:numCache>
                  </c:numRef>
                </c:yVal>
                <c:smooth val="0"/>
                <c:extLst xmlns:c15="http://schemas.microsoft.com/office/drawing/2012/chart">
                  <c:ext xmlns:c16="http://schemas.microsoft.com/office/drawing/2014/chart" uri="{C3380CC4-5D6E-409C-BE32-E72D297353CC}">
                    <c16:uniqueId val="{0000000B-9E5E-4288-BDB7-6695CB6736C8}"/>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C-9E5E-4288-BDB7-6695CB6736C8}"/>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D-9E5E-4288-BDB7-6695CB6736C8}"/>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E-9E5E-4288-BDB7-6695CB6736C8}"/>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0F-9E5E-4288-BDB7-6695CB6736C8}"/>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0-9E5E-4288-BDB7-6695CB6736C8}"/>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Tabelle'!$C$75:$AB$75</c15:sqref>
                        </c15:formulaRef>
                      </c:ext>
                    </c:extLst>
                    <c:numCache>
                      <c:formatCode>0.00</c:formatCode>
                      <c:ptCount val="26"/>
                      <c:pt idx="0">
                        <c:v>0.38427199999999995</c:v>
                      </c:pt>
                      <c:pt idx="1">
                        <c:v>0.57231999999999994</c:v>
                      </c:pt>
                      <c:pt idx="2">
                        <c:v>0.71744399999999997</c:v>
                      </c:pt>
                      <c:pt idx="3">
                        <c:v>0.90549199999999996</c:v>
                      </c:pt>
                      <c:pt idx="4">
                        <c:v>1.0068159999999999</c:v>
                      </c:pt>
                      <c:pt idx="5">
                        <c:v>1.036016</c:v>
                      </c:pt>
                      <c:pt idx="6">
                        <c:v>1.050616</c:v>
                      </c:pt>
                      <c:pt idx="7">
                        <c:v>1.2085879999999998</c:v>
                      </c:pt>
                      <c:pt idx="8">
                        <c:v>1.15194</c:v>
                      </c:pt>
                      <c:pt idx="9">
                        <c:v>1.216764</c:v>
                      </c:pt>
                      <c:pt idx="10">
                        <c:v>1.3326880000000001</c:v>
                      </c:pt>
                      <c:pt idx="11">
                        <c:v>1.339988</c:v>
                      </c:pt>
                      <c:pt idx="12">
                        <c:v>1.29064</c:v>
                      </c:pt>
                      <c:pt idx="13">
                        <c:v>1.485112</c:v>
                      </c:pt>
                      <c:pt idx="14">
                        <c:v>1.5499360000000002</c:v>
                      </c:pt>
                      <c:pt idx="15">
                        <c:v>1.5426360000000001</c:v>
                      </c:pt>
                      <c:pt idx="16">
                        <c:v>1.7242599999999997</c:v>
                      </c:pt>
                      <c:pt idx="17">
                        <c:v>2.0574319999999999</c:v>
                      </c:pt>
                      <c:pt idx="18">
                        <c:v>2.5786519999999999</c:v>
                      </c:pt>
                      <c:pt idx="19">
                        <c:v>2.8250999999999999</c:v>
                      </c:pt>
                      <c:pt idx="20">
                        <c:v>3.0998720000000004</c:v>
                      </c:pt>
                      <c:pt idx="21">
                        <c:v>3.1655720000000001</c:v>
                      </c:pt>
                      <c:pt idx="22">
                        <c:v>3.4403439999999996</c:v>
                      </c:pt>
                      <c:pt idx="23">
                        <c:v>3.5060440000000002</c:v>
                      </c:pt>
                      <c:pt idx="24">
                        <c:v>3.7735159999999999</c:v>
                      </c:pt>
                      <c:pt idx="25">
                        <c:v>4.2518120000000001</c:v>
                      </c:pt>
                    </c:numCache>
                  </c:numRef>
                </c:yVal>
                <c:smooth val="0"/>
                <c:extLst xmlns:c15="http://schemas.microsoft.com/office/drawing/2012/chart">
                  <c:ext xmlns:c16="http://schemas.microsoft.com/office/drawing/2014/chart" uri="{C3380CC4-5D6E-409C-BE32-E72D297353CC}">
                    <c16:uniqueId val="{00000002-9E5E-4288-BDB7-6695CB6736C8}"/>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Tabelle'!$C$76:$AB$76</c15:sqref>
                        </c15:formulaRef>
                      </c:ext>
                    </c:extLst>
                    <c:numCache>
                      <c:formatCode>0.00</c:formatCode>
                      <c:ptCount val="26"/>
                      <c:pt idx="0">
                        <c:v>0.60152000000000005</c:v>
                      </c:pt>
                      <c:pt idx="1">
                        <c:v>0.84066799999999997</c:v>
                      </c:pt>
                      <c:pt idx="2">
                        <c:v>1.1227399999999998</c:v>
                      </c:pt>
                      <c:pt idx="3">
                        <c:v>1.361888</c:v>
                      </c:pt>
                      <c:pt idx="4">
                        <c:v>1.4924119999999998</c:v>
                      </c:pt>
                      <c:pt idx="5">
                        <c:v>1.5791360000000001</c:v>
                      </c:pt>
                      <c:pt idx="6">
                        <c:v>1.6010360000000001</c:v>
                      </c:pt>
                      <c:pt idx="7">
                        <c:v>1.6877599999999999</c:v>
                      </c:pt>
                      <c:pt idx="8">
                        <c:v>1.73156</c:v>
                      </c:pt>
                      <c:pt idx="9">
                        <c:v>1.8036840000000001</c:v>
                      </c:pt>
                      <c:pt idx="10">
                        <c:v>2.0063319999999996</c:v>
                      </c:pt>
                      <c:pt idx="11">
                        <c:v>2.0136319999999999</c:v>
                      </c:pt>
                      <c:pt idx="12">
                        <c:v>2.0647320000000002</c:v>
                      </c:pt>
                      <c:pt idx="13">
                        <c:v>2.25278</c:v>
                      </c:pt>
                      <c:pt idx="14">
                        <c:v>2.2892799999999998</c:v>
                      </c:pt>
                      <c:pt idx="15">
                        <c:v>2.3678280000000003</c:v>
                      </c:pt>
                      <c:pt idx="16">
                        <c:v>2.6078520000000003</c:v>
                      </c:pt>
                      <c:pt idx="17">
                        <c:v>3.1290720000000003</c:v>
                      </c:pt>
                      <c:pt idx="18">
                        <c:v>3.8967399999999999</c:v>
                      </c:pt>
                      <c:pt idx="19">
                        <c:v>4.2664119999999999</c:v>
                      </c:pt>
                      <c:pt idx="20">
                        <c:v>4.6141839999999998</c:v>
                      </c:pt>
                      <c:pt idx="21">
                        <c:v>4.7949319999999993</c:v>
                      </c:pt>
                      <c:pt idx="22">
                        <c:v>5.1354039999999994</c:v>
                      </c:pt>
                      <c:pt idx="23">
                        <c:v>5.2805279999999994</c:v>
                      </c:pt>
                      <c:pt idx="24">
                        <c:v>5.6210000000000004</c:v>
                      </c:pt>
                      <c:pt idx="25">
                        <c:v>6.3813680000000002</c:v>
                      </c:pt>
                    </c:numCache>
                  </c:numRef>
                </c:yVal>
                <c:smooth val="0"/>
                <c:extLst xmlns:c15="http://schemas.microsoft.com/office/drawing/2012/chart">
                  <c:ext xmlns:c16="http://schemas.microsoft.com/office/drawing/2014/chart" uri="{C3380CC4-5D6E-409C-BE32-E72D297353CC}">
                    <c16:uniqueId val="{00000011-9E5E-4288-BDB7-6695CB6736C8}"/>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Tabelle'!$C$77:$AB$77</c15:sqref>
                        </c15:formulaRef>
                      </c:ext>
                    </c:extLst>
                    <c:numCache>
                      <c:formatCode>0.00</c:formatCode>
                      <c:ptCount val="26"/>
                      <c:pt idx="0">
                        <c:v>0.81876799999999994</c:v>
                      </c:pt>
                      <c:pt idx="1">
                        <c:v>1.15194</c:v>
                      </c:pt>
                      <c:pt idx="2">
                        <c:v>1.485112</c:v>
                      </c:pt>
                      <c:pt idx="3">
                        <c:v>1.8182839999999998</c:v>
                      </c:pt>
                      <c:pt idx="4">
                        <c:v>2.0209320000000002</c:v>
                      </c:pt>
                      <c:pt idx="5">
                        <c:v>2.1222560000000001</c:v>
                      </c:pt>
                      <c:pt idx="6">
                        <c:v>2.1587559999999999</c:v>
                      </c:pt>
                      <c:pt idx="7">
                        <c:v>2.25278</c:v>
                      </c:pt>
                      <c:pt idx="8">
                        <c:v>2.3541039999999995</c:v>
                      </c:pt>
                      <c:pt idx="9">
                        <c:v>2.3979039999999996</c:v>
                      </c:pt>
                      <c:pt idx="10">
                        <c:v>2.6370519999999997</c:v>
                      </c:pt>
                      <c:pt idx="11">
                        <c:v>2.6945759999999996</c:v>
                      </c:pt>
                      <c:pt idx="12">
                        <c:v>2.8032000000000004</c:v>
                      </c:pt>
                      <c:pt idx="13">
                        <c:v>3.0277479999999999</c:v>
                      </c:pt>
                      <c:pt idx="14">
                        <c:v>3.0642480000000001</c:v>
                      </c:pt>
                      <c:pt idx="15">
                        <c:v>3.1427959999999997</c:v>
                      </c:pt>
                      <c:pt idx="16">
                        <c:v>3.4914439999999995</c:v>
                      </c:pt>
                      <c:pt idx="17">
                        <c:v>4.1650879999999999</c:v>
                      </c:pt>
                      <c:pt idx="18">
                        <c:v>5.1646040000000006</c:v>
                      </c:pt>
                      <c:pt idx="19">
                        <c:v>5.7004239999999999</c:v>
                      </c:pt>
                      <c:pt idx="20">
                        <c:v>6.1714199999999995</c:v>
                      </c:pt>
                      <c:pt idx="21">
                        <c:v>6.3886680000000009</c:v>
                      </c:pt>
                      <c:pt idx="22">
                        <c:v>6.837764</c:v>
                      </c:pt>
                      <c:pt idx="23">
                        <c:v>7.0550119999999996</c:v>
                      </c:pt>
                      <c:pt idx="24">
                        <c:v>7.5114079999999994</c:v>
                      </c:pt>
                      <c:pt idx="25">
                        <c:v>8.5109239999999993</c:v>
                      </c:pt>
                    </c:numCache>
                  </c:numRef>
                </c:yVal>
                <c:smooth val="0"/>
                <c:extLst xmlns:c15="http://schemas.microsoft.com/office/drawing/2012/chart">
                  <c:ext xmlns:c16="http://schemas.microsoft.com/office/drawing/2014/chart" uri="{C3380CC4-5D6E-409C-BE32-E72D297353CC}">
                    <c16:uniqueId val="{00000012-9E5E-4288-BDB7-6695CB6736C8}"/>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Tabelle'!$C$79:$AB$79</c15:sqref>
                        </c15:formulaRef>
                      </c:ext>
                    </c:extLst>
                    <c:numCache>
                      <c:formatCode>0.00</c:formatCode>
                      <c:ptCount val="26"/>
                      <c:pt idx="0">
                        <c:v>1.2532639999999999</c:v>
                      </c:pt>
                      <c:pt idx="1">
                        <c:v>1.73156</c:v>
                      </c:pt>
                      <c:pt idx="2">
                        <c:v>2.2171559999999997</c:v>
                      </c:pt>
                      <c:pt idx="3">
                        <c:v>2.7383759999999997</c:v>
                      </c:pt>
                      <c:pt idx="4">
                        <c:v>3.0423480000000001</c:v>
                      </c:pt>
                      <c:pt idx="5">
                        <c:v>3.1728720000000004</c:v>
                      </c:pt>
                      <c:pt idx="6">
                        <c:v>3.2595959999999993</c:v>
                      </c:pt>
                      <c:pt idx="7">
                        <c:v>3.3828199999999997</c:v>
                      </c:pt>
                      <c:pt idx="8">
                        <c:v>3.5206439999999999</c:v>
                      </c:pt>
                      <c:pt idx="9">
                        <c:v>3.6292679999999997</c:v>
                      </c:pt>
                      <c:pt idx="10">
                        <c:v>3.98434</c:v>
                      </c:pt>
                      <c:pt idx="11">
                        <c:v>4.0418640000000003</c:v>
                      </c:pt>
                      <c:pt idx="12">
                        <c:v>4.1869879999999995</c:v>
                      </c:pt>
                      <c:pt idx="13">
                        <c:v>4.5274599999999996</c:v>
                      </c:pt>
                      <c:pt idx="14">
                        <c:v>4.6287839999999996</c:v>
                      </c:pt>
                      <c:pt idx="15">
                        <c:v>4.7073319999999992</c:v>
                      </c:pt>
                      <c:pt idx="16">
                        <c:v>5.2732279999999996</c:v>
                      </c:pt>
                      <c:pt idx="17">
                        <c:v>6.2727440000000003</c:v>
                      </c:pt>
                      <c:pt idx="18">
                        <c:v>7.7578560000000003</c:v>
                      </c:pt>
                      <c:pt idx="19">
                        <c:v>8.5401240000000005</c:v>
                      </c:pt>
                      <c:pt idx="20">
                        <c:v>9.2858920000000005</c:v>
                      </c:pt>
                      <c:pt idx="21">
                        <c:v>9.568839999999998</c:v>
                      </c:pt>
                      <c:pt idx="22">
                        <c:v>10.292707999999999</c:v>
                      </c:pt>
                      <c:pt idx="23">
                        <c:v>10.568355999999998</c:v>
                      </c:pt>
                      <c:pt idx="24">
                        <c:v>11.292223999999999</c:v>
                      </c:pt>
                      <c:pt idx="25">
                        <c:v>12.777336000000002</c:v>
                      </c:pt>
                    </c:numCache>
                  </c:numRef>
                </c:yVal>
                <c:smooth val="0"/>
                <c:extLst xmlns:c15="http://schemas.microsoft.com/office/drawing/2012/chart">
                  <c:ext xmlns:c16="http://schemas.microsoft.com/office/drawing/2014/chart" uri="{C3380CC4-5D6E-409C-BE32-E72D297353CC}">
                    <c16:uniqueId val="{00000014-9E5E-4288-BDB7-6695CB6736C8}"/>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15-9E5E-4288-BDB7-6695CB6736C8}"/>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9E5E-4288-BDB7-6695CB6736C8}"/>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9E5E-4288-BDB7-6695CB6736C8}"/>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9E5E-4288-BDB7-6695CB6736C8}"/>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9E5E-4288-BDB7-6695CB6736C8}"/>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THGE </a:t>
            </a:r>
            <a:r>
              <a:rPr lang="de-CH" baseline="0"/>
              <a:t> 6-Säule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10"/>
          <c:order val="4"/>
          <c:tx>
            <c:strRef>
              <c:f>'Arbonia Tabelle'!$Y$7</c:f>
              <c:strCache>
                <c:ptCount val="1"/>
                <c:pt idx="0">
                  <c:v>ARB 6-Säule</c:v>
                </c:pt>
              </c:strCache>
              <c:extLst xmlns:c15="http://schemas.microsoft.com/office/drawing/2012/chart"/>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'Arbonia Tabelle'!$E$2:$X$2</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'Arbonia Tabelle'!$E$79:$X$79</c:f>
              <c:numCache>
                <c:formatCode>0.00</c:formatCode>
                <c:ptCount val="20"/>
                <c:pt idx="0">
                  <c:v>1.5362119999999999</c:v>
                </c:pt>
                <c:pt idx="1">
                  <c:v>1.73156</c:v>
                </c:pt>
                <c:pt idx="2">
                  <c:v>1.9917319999999998</c:v>
                </c:pt>
                <c:pt idx="3">
                  <c:v>2.2089799999999999</c:v>
                </c:pt>
                <c:pt idx="4">
                  <c:v>2.4262279999999996</c:v>
                </c:pt>
                <c:pt idx="5">
                  <c:v>2.6863999999999999</c:v>
                </c:pt>
                <c:pt idx="6">
                  <c:v>2.9109480000000003</c:v>
                </c:pt>
                <c:pt idx="7">
                  <c:v>3.128196</c:v>
                </c:pt>
                <c:pt idx="8">
                  <c:v>3.8657880000000002</c:v>
                </c:pt>
                <c:pt idx="9">
                  <c:v>4.5677560000000001</c:v>
                </c:pt>
                <c:pt idx="10">
                  <c:v>5.0022520000000004</c:v>
                </c:pt>
                <c:pt idx="11">
                  <c:v>5.4869719999999997</c:v>
                </c:pt>
                <c:pt idx="12">
                  <c:v>5.9643919999999992</c:v>
                </c:pt>
                <c:pt idx="13">
                  <c:v>7.3610279999999992</c:v>
                </c:pt>
                <c:pt idx="14">
                  <c:v>8.7649639999999991</c:v>
                </c:pt>
                <c:pt idx="15">
                  <c:v>9.6768800000000006</c:v>
                </c:pt>
                <c:pt idx="16">
                  <c:v>10.63902</c:v>
                </c:pt>
                <c:pt idx="17">
                  <c:v>12.035655999999999</c:v>
                </c:pt>
                <c:pt idx="18">
                  <c:v>13.439592000000001</c:v>
                </c:pt>
                <c:pt idx="19">
                  <c:v>14.394432000000002</c:v>
                </c:pt>
              </c:numCache>
            </c:numRef>
          </c:yVal>
          <c:smooth val="0"/>
          <c:extLst>
            <c:ext xmlns:c16="http://schemas.microsoft.com/office/drawing/2014/chart" uri="{C3380CC4-5D6E-409C-BE32-E72D297353CC}">
              <c16:uniqueId val="{00000007-48A0-4456-AC6A-C9DAE946B652}"/>
            </c:ext>
          </c:extLst>
        </c:ser>
        <c:ser>
          <c:idx val="12"/>
          <c:order val="9"/>
          <c:tx>
            <c:strRef>
              <c:f>'Zehnder Charl. Tabelle'!$W$8</c:f>
              <c:strCache>
                <c:ptCount val="1"/>
                <c:pt idx="0">
                  <c:v>ZEHN 6-Säule</c:v>
                </c:pt>
              </c:strCache>
              <c:extLst xmlns:c15="http://schemas.microsoft.com/office/drawing/2012/chart"/>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Tabelle'!$C$89:$V$89</c:f>
              <c:numCache>
                <c:formatCode>0.00</c:formatCode>
                <c:ptCount val="20"/>
                <c:pt idx="0">
                  <c:v>1.4348879999999999</c:v>
                </c:pt>
                <c:pt idx="1">
                  <c:v>1.6375359999999999</c:v>
                </c:pt>
                <c:pt idx="2">
                  <c:v>1.8693840000000002</c:v>
                </c:pt>
                <c:pt idx="3">
                  <c:v>2.1222560000000001</c:v>
                </c:pt>
                <c:pt idx="4">
                  <c:v>2.3541039999999995</c:v>
                </c:pt>
                <c:pt idx="5">
                  <c:v>2.5859519999999998</c:v>
                </c:pt>
                <c:pt idx="6">
                  <c:v>2.8534239999999995</c:v>
                </c:pt>
                <c:pt idx="7">
                  <c:v>3.0852720000000002</c:v>
                </c:pt>
                <c:pt idx="8">
                  <c:v>3.8164400000000001</c:v>
                </c:pt>
                <c:pt idx="9">
                  <c:v>4.5476080000000003</c:v>
                </c:pt>
                <c:pt idx="10">
                  <c:v>5.0542280000000002</c:v>
                </c:pt>
                <c:pt idx="11">
                  <c:v>5.5535479999999993</c:v>
                </c:pt>
                <c:pt idx="12">
                  <c:v>6.0172440000000007</c:v>
                </c:pt>
                <c:pt idx="13">
                  <c:v>7.4795800000000003</c:v>
                </c:pt>
                <c:pt idx="14">
                  <c:v>8.9848399999999984</c:v>
                </c:pt>
                <c:pt idx="15">
                  <c:v>9.947855999999998</c:v>
                </c:pt>
                <c:pt idx="16">
                  <c:v>10.910872000000001</c:v>
                </c:pt>
                <c:pt idx="17">
                  <c:v>12.416131999999999</c:v>
                </c:pt>
                <c:pt idx="18">
                  <c:v>13.921392000000001</c:v>
                </c:pt>
                <c:pt idx="19">
                  <c:v>14.841483999999998</c:v>
                </c:pt>
              </c:numCache>
              <c:extLst xmlns:c15="http://schemas.microsoft.com/office/drawing/2012/chart"/>
            </c:numRef>
          </c:yVal>
          <c:smooth val="0"/>
          <c:extLst>
            <c:ext xmlns:c16="http://schemas.microsoft.com/office/drawing/2014/chart" uri="{C3380CC4-5D6E-409C-BE32-E72D297353CC}">
              <c16:uniqueId val="{0000000B-48A0-4456-AC6A-C9DAE946B652}"/>
            </c:ext>
          </c:extLst>
        </c:ser>
        <c:ser>
          <c:idx val="19"/>
          <c:order val="19"/>
          <c:tx>
            <c:strRef>
              <c:f>'Cordivari Tabelle'!$AC$7</c:f>
              <c:strCache>
                <c:ptCount val="1"/>
                <c:pt idx="0">
                  <c:v>Cordivari 6-Säule</c:v>
                </c:pt>
              </c:strCache>
              <c:extLst xmlns:c15="http://schemas.microsoft.com/office/drawing/2012/chart"/>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Tabelle'!$C$79:$AB$79</c:f>
              <c:numCache>
                <c:formatCode>0.00</c:formatCode>
                <c:ptCount val="26"/>
                <c:pt idx="0">
                  <c:v>1.2532639999999999</c:v>
                </c:pt>
                <c:pt idx="1">
                  <c:v>1.73156</c:v>
                </c:pt>
                <c:pt idx="2">
                  <c:v>2.2171559999999997</c:v>
                </c:pt>
                <c:pt idx="3">
                  <c:v>2.7383759999999997</c:v>
                </c:pt>
                <c:pt idx="4">
                  <c:v>3.0423480000000001</c:v>
                </c:pt>
                <c:pt idx="5">
                  <c:v>3.1728720000000004</c:v>
                </c:pt>
                <c:pt idx="6">
                  <c:v>3.2595959999999993</c:v>
                </c:pt>
                <c:pt idx="7">
                  <c:v>3.3828199999999997</c:v>
                </c:pt>
                <c:pt idx="8">
                  <c:v>3.5206439999999999</c:v>
                </c:pt>
                <c:pt idx="9">
                  <c:v>3.6292679999999997</c:v>
                </c:pt>
                <c:pt idx="10">
                  <c:v>3.98434</c:v>
                </c:pt>
                <c:pt idx="11">
                  <c:v>4.0418640000000003</c:v>
                </c:pt>
                <c:pt idx="12">
                  <c:v>4.1869879999999995</c:v>
                </c:pt>
                <c:pt idx="13">
                  <c:v>4.5274599999999996</c:v>
                </c:pt>
                <c:pt idx="14">
                  <c:v>4.6287839999999996</c:v>
                </c:pt>
                <c:pt idx="15">
                  <c:v>4.7073319999999992</c:v>
                </c:pt>
                <c:pt idx="16">
                  <c:v>5.2732279999999996</c:v>
                </c:pt>
                <c:pt idx="17">
                  <c:v>6.2727440000000003</c:v>
                </c:pt>
                <c:pt idx="18">
                  <c:v>7.7578560000000003</c:v>
                </c:pt>
                <c:pt idx="19">
                  <c:v>8.5401240000000005</c:v>
                </c:pt>
                <c:pt idx="20">
                  <c:v>9.2858920000000005</c:v>
                </c:pt>
                <c:pt idx="21">
                  <c:v>9.568839999999998</c:v>
                </c:pt>
                <c:pt idx="22">
                  <c:v>10.292707999999999</c:v>
                </c:pt>
                <c:pt idx="23">
                  <c:v>10.568355999999998</c:v>
                </c:pt>
                <c:pt idx="24">
                  <c:v>11.292223999999999</c:v>
                </c:pt>
                <c:pt idx="25">
                  <c:v>12.777336000000002</c:v>
                </c:pt>
              </c:numCache>
              <c:extLst xmlns:c15="http://schemas.microsoft.com/office/drawing/2012/chart"/>
            </c:numRef>
          </c:yVal>
          <c:smooth val="0"/>
          <c:extLst>
            <c:ext xmlns:c16="http://schemas.microsoft.com/office/drawing/2014/chart" uri="{C3380CC4-5D6E-409C-BE32-E72D297353CC}">
              <c16:uniqueId val="{00000014-48A0-4456-AC6A-C9DAE946B652}"/>
            </c:ext>
          </c:extLst>
        </c:ser>
        <c:ser>
          <c:idx val="25"/>
          <c:order val="25"/>
          <c:tx>
            <c:strRef>
              <c:f>'Emissionen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'Emissionen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'Emissionen alle'!$B$125:$U$125</c:f>
              <c:numCache>
                <c:formatCode>0.00</c:formatCode>
                <c:ptCount val="20"/>
                <c:pt idx="0">
                  <c:v>1.4855499999999999</c:v>
                </c:pt>
                <c:pt idx="1">
                  <c:v>1.7002186666666665</c:v>
                </c:pt>
                <c:pt idx="2">
                  <c:v>1.930558</c:v>
                </c:pt>
                <c:pt idx="3">
                  <c:v>2.1827973333333333</c:v>
                </c:pt>
                <c:pt idx="4">
                  <c:v>2.3901659999999998</c:v>
                </c:pt>
                <c:pt idx="5">
                  <c:v>2.6702426666666668</c:v>
                </c:pt>
                <c:pt idx="6">
                  <c:v>2.9355733333333336</c:v>
                </c:pt>
                <c:pt idx="7">
                  <c:v>3.1576880000000003</c:v>
                </c:pt>
                <c:pt idx="8">
                  <c:v>3.8888560000000001</c:v>
                </c:pt>
                <c:pt idx="9">
                  <c:v>4.5576819999999998</c:v>
                </c:pt>
                <c:pt idx="10">
                  <c:v>5.1099026666666667</c:v>
                </c:pt>
                <c:pt idx="11">
                  <c:v>5.5202599999999995</c:v>
                </c:pt>
                <c:pt idx="12">
                  <c:v>6.0847933333333337</c:v>
                </c:pt>
                <c:pt idx="13">
                  <c:v>7.5328213333333336</c:v>
                </c:pt>
                <c:pt idx="14">
                  <c:v>9.0118986666666654</c:v>
                </c:pt>
                <c:pt idx="15">
                  <c:v>9.9724813333333326</c:v>
                </c:pt>
                <c:pt idx="16">
                  <c:v>10.947372</c:v>
                </c:pt>
                <c:pt idx="17">
                  <c:v>12.409708</c:v>
                </c:pt>
                <c:pt idx="18">
                  <c:v>13.680492000000001</c:v>
                </c:pt>
                <c:pt idx="19">
                  <c:v>14.617958</c:v>
                </c:pt>
              </c:numCache>
            </c:numRef>
          </c:yVal>
          <c:smooth val="0"/>
          <c:extLst>
            <c:ext xmlns:c16="http://schemas.microsoft.com/office/drawing/2014/chart" uri="{C3380CC4-5D6E-409C-BE32-E72D297353CC}">
              <c16:uniqueId val="{00000003-48A0-4456-AC6A-C9DAE946B652}"/>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Tabelle'!$D$75:$X$75</c15:sqref>
                        </c15:formulaRef>
                      </c:ext>
                    </c:extLst>
                    <c:numCache>
                      <c:formatCode>0.00</c:formatCode>
                      <c:ptCount val="21"/>
                      <c:pt idx="0">
                        <c:v>0.369672</c:v>
                      </c:pt>
                      <c:pt idx="1">
                        <c:v>0.47829599999999994</c:v>
                      </c:pt>
                      <c:pt idx="2">
                        <c:v>0.55771999999999999</c:v>
                      </c:pt>
                      <c:pt idx="3">
                        <c:v>0.64444400000000002</c:v>
                      </c:pt>
                      <c:pt idx="4">
                        <c:v>0.73116800000000004</c:v>
                      </c:pt>
                      <c:pt idx="5">
                        <c:v>0.7749680000000001</c:v>
                      </c:pt>
                      <c:pt idx="6">
                        <c:v>0.8616919999999999</c:v>
                      </c:pt>
                      <c:pt idx="7">
                        <c:v>0.94841599999999993</c:v>
                      </c:pt>
                      <c:pt idx="8">
                        <c:v>1.0351399999999999</c:v>
                      </c:pt>
                      <c:pt idx="9">
                        <c:v>1.2596879999999999</c:v>
                      </c:pt>
                      <c:pt idx="10">
                        <c:v>1.51986</c:v>
                      </c:pt>
                      <c:pt idx="11">
                        <c:v>1.6503839999999999</c:v>
                      </c:pt>
                      <c:pt idx="12">
                        <c:v>1.8238319999999999</c:v>
                      </c:pt>
                      <c:pt idx="13">
                        <c:v>1.9543560000000002</c:v>
                      </c:pt>
                      <c:pt idx="14">
                        <c:v>2.439076</c:v>
                      </c:pt>
                      <c:pt idx="15">
                        <c:v>2.9164959999999995</c:v>
                      </c:pt>
                      <c:pt idx="16">
                        <c:v>3.2204679999999994</c:v>
                      </c:pt>
                      <c:pt idx="17">
                        <c:v>3.5317400000000001</c:v>
                      </c:pt>
                      <c:pt idx="18">
                        <c:v>4.0091599999999996</c:v>
                      </c:pt>
                      <c:pt idx="19">
                        <c:v>4.4436559999999998</c:v>
                      </c:pt>
                      <c:pt idx="20">
                        <c:v>4.7978519999999998</c:v>
                      </c:pt>
                    </c:numCache>
                  </c:numRef>
                </c:yVal>
                <c:smooth val="0"/>
                <c:extLst>
                  <c:ext xmlns:c16="http://schemas.microsoft.com/office/drawing/2014/chart" uri="{C3380CC4-5D6E-409C-BE32-E72D297353CC}">
                    <c16:uniqueId val="{00000000-48A0-4456-AC6A-C9DAE946B652}"/>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Tabelle'!$D$76:$X$76</c15:sqref>
                        </c15:formulaRef>
                      </c:ext>
                    </c:extLst>
                    <c:numCache>
                      <c:formatCode>0.00</c:formatCode>
                      <c:ptCount val="21"/>
                      <c:pt idx="0">
                        <c:v>0.57962000000000002</c:v>
                      </c:pt>
                      <c:pt idx="1">
                        <c:v>0.76036800000000004</c:v>
                      </c:pt>
                      <c:pt idx="2">
                        <c:v>0.85439199999999982</c:v>
                      </c:pt>
                      <c:pt idx="3">
                        <c:v>0.96301599999999998</c:v>
                      </c:pt>
                      <c:pt idx="4">
                        <c:v>1.0716399999999999</c:v>
                      </c:pt>
                      <c:pt idx="5">
                        <c:v>1.180264</c:v>
                      </c:pt>
                      <c:pt idx="6">
                        <c:v>1.288888</c:v>
                      </c:pt>
                      <c:pt idx="7">
                        <c:v>1.4477359999999999</c:v>
                      </c:pt>
                      <c:pt idx="8">
                        <c:v>1.5563599999999997</c:v>
                      </c:pt>
                      <c:pt idx="9">
                        <c:v>1.8822319999999999</c:v>
                      </c:pt>
                      <c:pt idx="10">
                        <c:v>2.2510279999999998</c:v>
                      </c:pt>
                      <c:pt idx="11">
                        <c:v>2.4755760000000002</c:v>
                      </c:pt>
                      <c:pt idx="12">
                        <c:v>2.7357480000000001</c:v>
                      </c:pt>
                      <c:pt idx="13">
                        <c:v>2.9529959999999997</c:v>
                      </c:pt>
                      <c:pt idx="14">
                        <c:v>3.6549640000000001</c:v>
                      </c:pt>
                      <c:pt idx="15">
                        <c:v>4.3496319999999997</c:v>
                      </c:pt>
                      <c:pt idx="16">
                        <c:v>4.8343519999999991</c:v>
                      </c:pt>
                      <c:pt idx="17">
                        <c:v>5.2688480000000002</c:v>
                      </c:pt>
                      <c:pt idx="18">
                        <c:v>5.9708159999999992</c:v>
                      </c:pt>
                      <c:pt idx="19">
                        <c:v>6.7084080000000004</c:v>
                      </c:pt>
                      <c:pt idx="20">
                        <c:v>7.1502039999999996</c:v>
                      </c:pt>
                    </c:numCache>
                  </c:numRef>
                </c:yVal>
                <c:smooth val="0"/>
                <c:extLst xmlns:c15="http://schemas.microsoft.com/office/drawing/2012/chart">
                  <c:ext xmlns:c16="http://schemas.microsoft.com/office/drawing/2014/chart" uri="{C3380CC4-5D6E-409C-BE32-E72D297353CC}">
                    <c16:uniqueId val="{00000004-48A0-4456-AC6A-C9DAE946B652}"/>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Tabelle'!$D$77:$X$77</c15:sqref>
                        </c15:formulaRef>
                      </c:ext>
                    </c:extLst>
                    <c:numCache>
                      <c:formatCode>0.00</c:formatCode>
                      <c:ptCount val="21"/>
                      <c:pt idx="0">
                        <c:v>0.78226800000000007</c:v>
                      </c:pt>
                      <c:pt idx="1">
                        <c:v>0.99951599999999996</c:v>
                      </c:pt>
                      <c:pt idx="2">
                        <c:v>1.1081399999999999</c:v>
                      </c:pt>
                      <c:pt idx="3">
                        <c:v>1.288888</c:v>
                      </c:pt>
                      <c:pt idx="4">
                        <c:v>1.4194119999999999</c:v>
                      </c:pt>
                      <c:pt idx="5">
                        <c:v>1.5928599999999999</c:v>
                      </c:pt>
                      <c:pt idx="6">
                        <c:v>1.766308</c:v>
                      </c:pt>
                      <c:pt idx="7">
                        <c:v>1.8968319999999999</c:v>
                      </c:pt>
                      <c:pt idx="8">
                        <c:v>2.0702799999999999</c:v>
                      </c:pt>
                      <c:pt idx="9">
                        <c:v>2.5120759999999995</c:v>
                      </c:pt>
                      <c:pt idx="10">
                        <c:v>2.9894959999999999</c:v>
                      </c:pt>
                      <c:pt idx="11">
                        <c:v>3.2934679999999998</c:v>
                      </c:pt>
                      <c:pt idx="12">
                        <c:v>3.6047400000000001</c:v>
                      </c:pt>
                      <c:pt idx="13">
                        <c:v>3.9087120000000004</c:v>
                      </c:pt>
                      <c:pt idx="14">
                        <c:v>4.8708519999999993</c:v>
                      </c:pt>
                      <c:pt idx="15">
                        <c:v>5.7900679999999998</c:v>
                      </c:pt>
                      <c:pt idx="16">
                        <c:v>6.4409359999999989</c:v>
                      </c:pt>
                      <c:pt idx="17">
                        <c:v>7.0561799999999995</c:v>
                      </c:pt>
                      <c:pt idx="18">
                        <c:v>7.9680959999999992</c:v>
                      </c:pt>
                      <c:pt idx="19">
                        <c:v>8.9302360000000007</c:v>
                      </c:pt>
                      <c:pt idx="20">
                        <c:v>9.5454799999999995</c:v>
                      </c:pt>
                    </c:numCache>
                  </c:numRef>
                </c:yVal>
                <c:smooth val="0"/>
                <c:extLst xmlns:c15="http://schemas.microsoft.com/office/drawing/2012/chart">
                  <c:ext xmlns:c16="http://schemas.microsoft.com/office/drawing/2014/chart" uri="{C3380CC4-5D6E-409C-BE32-E72D297353CC}">
                    <c16:uniqueId val="{00000005-48A0-4456-AC6A-C9DAE946B652}"/>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Tabelle'!$D$78:$X$78</c15:sqref>
                        </c15:formulaRef>
                      </c:ext>
                    </c:extLst>
                    <c:numCache>
                      <c:formatCode>0.00</c:formatCode>
                      <c:ptCount val="21"/>
                      <c:pt idx="0">
                        <c:v>0</c:v>
                      </c:pt>
                      <c:pt idx="1">
                        <c:v>1.282464</c:v>
                      </c:pt>
                      <c:pt idx="2">
                        <c:v>1.4559120000000001</c:v>
                      </c:pt>
                      <c:pt idx="3">
                        <c:v>1.6512599999999997</c:v>
                      </c:pt>
                      <c:pt idx="4">
                        <c:v>1.8466080000000002</c:v>
                      </c:pt>
                      <c:pt idx="5">
                        <c:v>2.0419559999999999</c:v>
                      </c:pt>
                      <c:pt idx="6">
                        <c:v>2.237304</c:v>
                      </c:pt>
                      <c:pt idx="7">
                        <c:v>2.4399519999999999</c:v>
                      </c:pt>
                      <c:pt idx="8">
                        <c:v>2.6353</c:v>
                      </c:pt>
                      <c:pt idx="9">
                        <c:v>3.1784199999999996</c:v>
                      </c:pt>
                      <c:pt idx="10">
                        <c:v>3.7717639999999997</c:v>
                      </c:pt>
                      <c:pt idx="11">
                        <c:v>4.1624600000000003</c:v>
                      </c:pt>
                      <c:pt idx="12">
                        <c:v>4.5531559999999995</c:v>
                      </c:pt>
                      <c:pt idx="13">
                        <c:v>4.9511520000000004</c:v>
                      </c:pt>
                      <c:pt idx="14">
                        <c:v>6.1305399999999999</c:v>
                      </c:pt>
                      <c:pt idx="15">
                        <c:v>7.3099280000000002</c:v>
                      </c:pt>
                      <c:pt idx="16">
                        <c:v>8.0913199999999996</c:v>
                      </c:pt>
                      <c:pt idx="17">
                        <c:v>8.8370879999999996</c:v>
                      </c:pt>
                      <c:pt idx="18">
                        <c:v>10.016476000000001</c:v>
                      </c:pt>
                      <c:pt idx="19">
                        <c:v>11.195864</c:v>
                      </c:pt>
                      <c:pt idx="20">
                        <c:v>11.984556</c:v>
                      </c:pt>
                    </c:numCache>
                  </c:numRef>
                </c:yVal>
                <c:smooth val="0"/>
                <c:extLst xmlns:c15="http://schemas.microsoft.com/office/drawing/2012/chart">
                  <c:ext xmlns:c16="http://schemas.microsoft.com/office/drawing/2014/chart" uri="{C3380CC4-5D6E-409C-BE32-E72D297353CC}">
                    <c16:uniqueId val="{00000006-48A0-4456-AC6A-C9DAE946B652}"/>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xmlns:c15="http://schemas.microsoft.com/office/drawing/2012/chart">
                      <c:ext xmlns:c15="http://schemas.microsoft.com/office/drawing/2012/chart" uri="{02D57815-91ED-43cb-92C2-25804820EDAC}">
                        <c15:formulaRef>
                          <c15:sqref>'Zehnder Charl. Tabelle'!$C$85:$V$85</c15:sqref>
                        </c15:formulaRef>
                      </c:ext>
                    </c:extLst>
                    <c:numCache>
                      <c:formatCode>0.00</c:formatCode>
                      <c:ptCount val="20"/>
                      <c:pt idx="0">
                        <c:v>0.463696</c:v>
                      </c:pt>
                      <c:pt idx="1">
                        <c:v>0.492896</c:v>
                      </c:pt>
                      <c:pt idx="2">
                        <c:v>0.58692</c:v>
                      </c:pt>
                      <c:pt idx="3">
                        <c:v>0.65904399999999996</c:v>
                      </c:pt>
                      <c:pt idx="4">
                        <c:v>0.75306800000000007</c:v>
                      </c:pt>
                      <c:pt idx="5">
                        <c:v>0.80416799999999999</c:v>
                      </c:pt>
                      <c:pt idx="6">
                        <c:v>0.89089200000000002</c:v>
                      </c:pt>
                      <c:pt idx="7">
                        <c:v>0.9849159999999999</c:v>
                      </c:pt>
                      <c:pt idx="8">
                        <c:v>1.2094640000000001</c:v>
                      </c:pt>
                      <c:pt idx="9">
                        <c:v>1.4842360000000001</c:v>
                      </c:pt>
                      <c:pt idx="10">
                        <c:v>1.6220599999999998</c:v>
                      </c:pt>
                      <c:pt idx="11">
                        <c:v>1.8028080000000002</c:v>
                      </c:pt>
                      <c:pt idx="12">
                        <c:v>1.9406319999999999</c:v>
                      </c:pt>
                      <c:pt idx="13">
                        <c:v>2.4472519999999998</c:v>
                      </c:pt>
                      <c:pt idx="14">
                        <c:v>2.9465720000000006</c:v>
                      </c:pt>
                      <c:pt idx="15">
                        <c:v>3.2651439999999998</c:v>
                      </c:pt>
                      <c:pt idx="16">
                        <c:v>3.5910159999999998</c:v>
                      </c:pt>
                      <c:pt idx="17">
                        <c:v>4.0903359999999997</c:v>
                      </c:pt>
                      <c:pt idx="18">
                        <c:v>4.5896559999999997</c:v>
                      </c:pt>
                      <c:pt idx="19">
                        <c:v>4.9155280000000001</c:v>
                      </c:pt>
                    </c:numCache>
                  </c:numRef>
                </c:yVal>
                <c:smooth val="0"/>
                <c:extLst xmlns:c15="http://schemas.microsoft.com/office/drawing/2012/chart">
                  <c:ext xmlns:c16="http://schemas.microsoft.com/office/drawing/2014/chart" uri="{C3380CC4-5D6E-409C-BE32-E72D297353CC}">
                    <c16:uniqueId val="{00000001-48A0-4456-AC6A-C9DAE946B652}"/>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Tabelle'!$C$86:$V$86</c15:sqref>
                        </c15:formulaRef>
                      </c:ext>
                    </c:extLst>
                    <c:numCache>
                      <c:formatCode>0.00</c:formatCode>
                      <c:ptCount val="20"/>
                      <c:pt idx="0">
                        <c:v>0.66634400000000005</c:v>
                      </c:pt>
                      <c:pt idx="1">
                        <c:v>0.76036800000000004</c:v>
                      </c:pt>
                      <c:pt idx="2">
                        <c:v>0.87629199999999985</c:v>
                      </c:pt>
                      <c:pt idx="3">
                        <c:v>0.99221599999999988</c:v>
                      </c:pt>
                      <c:pt idx="4">
                        <c:v>1.1081399999999999</c:v>
                      </c:pt>
                      <c:pt idx="5">
                        <c:v>1.2240639999999998</c:v>
                      </c:pt>
                      <c:pt idx="6">
                        <c:v>1.339988</c:v>
                      </c:pt>
                      <c:pt idx="7">
                        <c:v>1.4988360000000001</c:v>
                      </c:pt>
                      <c:pt idx="8">
                        <c:v>1.8393079999999999</c:v>
                      </c:pt>
                      <c:pt idx="9">
                        <c:v>2.2227040000000002</c:v>
                      </c:pt>
                      <c:pt idx="10">
                        <c:v>2.4545519999999996</c:v>
                      </c:pt>
                      <c:pt idx="11">
                        <c:v>2.6863999999999999</c:v>
                      </c:pt>
                      <c:pt idx="12">
                        <c:v>2.9538720000000001</c:v>
                      </c:pt>
                      <c:pt idx="13">
                        <c:v>3.6850400000000003</c:v>
                      </c:pt>
                      <c:pt idx="14">
                        <c:v>4.4162080000000001</c:v>
                      </c:pt>
                      <c:pt idx="15">
                        <c:v>4.9155280000000001</c:v>
                      </c:pt>
                      <c:pt idx="16">
                        <c:v>5.3719239999999999</c:v>
                      </c:pt>
                      <c:pt idx="17">
                        <c:v>6.1030919999999993</c:v>
                      </c:pt>
                      <c:pt idx="18">
                        <c:v>6.8342599999999996</c:v>
                      </c:pt>
                      <c:pt idx="19">
                        <c:v>7.3335799999999995</c:v>
                      </c:pt>
                    </c:numCache>
                  </c:numRef>
                </c:yVal>
                <c:smooth val="0"/>
                <c:extLst xmlns:c15="http://schemas.microsoft.com/office/drawing/2012/chart">
                  <c:ext xmlns:c16="http://schemas.microsoft.com/office/drawing/2014/chart" uri="{C3380CC4-5D6E-409C-BE32-E72D297353CC}">
                    <c16:uniqueId val="{00000008-48A0-4456-AC6A-C9DAE946B652}"/>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Tabelle'!$C$87:$V$87</c15:sqref>
                        </c15:formulaRef>
                      </c:ext>
                    </c:extLst>
                    <c:numCache>
                      <c:formatCode>0.00</c:formatCode>
                      <c:ptCount val="20"/>
                      <c:pt idx="0">
                        <c:v>0.90549199999999996</c:v>
                      </c:pt>
                      <c:pt idx="1">
                        <c:v>1.028716</c:v>
                      </c:pt>
                      <c:pt idx="2">
                        <c:v>1.2094640000000001</c:v>
                      </c:pt>
                      <c:pt idx="3">
                        <c:v>1.361888</c:v>
                      </c:pt>
                      <c:pt idx="4">
                        <c:v>1.5426360000000001</c:v>
                      </c:pt>
                      <c:pt idx="5">
                        <c:v>1.6804599999999996</c:v>
                      </c:pt>
                      <c:pt idx="6">
                        <c:v>1.861208</c:v>
                      </c:pt>
                      <c:pt idx="7">
                        <c:v>2.034656</c:v>
                      </c:pt>
                      <c:pt idx="8">
                        <c:v>2.4910519999999998</c:v>
                      </c:pt>
                      <c:pt idx="9">
                        <c:v>2.9903720000000003</c:v>
                      </c:pt>
                      <c:pt idx="10">
                        <c:v>3.301644</c:v>
                      </c:pt>
                      <c:pt idx="11">
                        <c:v>3.6202160000000001</c:v>
                      </c:pt>
                      <c:pt idx="12">
                        <c:v>3.9387880000000002</c:v>
                      </c:pt>
                      <c:pt idx="13">
                        <c:v>4.9301279999999998</c:v>
                      </c:pt>
                      <c:pt idx="14">
                        <c:v>5.8785439999999998</c:v>
                      </c:pt>
                      <c:pt idx="15">
                        <c:v>6.5586120000000001</c:v>
                      </c:pt>
                      <c:pt idx="16">
                        <c:v>7.1884559999999995</c:v>
                      </c:pt>
                      <c:pt idx="17">
                        <c:v>8.1368719999999986</c:v>
                      </c:pt>
                      <c:pt idx="18">
                        <c:v>9.1282120000000013</c:v>
                      </c:pt>
                      <c:pt idx="19">
                        <c:v>9.7653559999999988</c:v>
                      </c:pt>
                    </c:numCache>
                  </c:numRef>
                </c:yVal>
                <c:smooth val="0"/>
                <c:extLst xmlns:c15="http://schemas.microsoft.com/office/drawing/2012/chart">
                  <c:ext xmlns:c16="http://schemas.microsoft.com/office/drawing/2014/chart" uri="{C3380CC4-5D6E-409C-BE32-E72D297353CC}">
                    <c16:uniqueId val="{00000009-48A0-4456-AC6A-C9DAE946B652}"/>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Tabelle'!$C$88:$V$88</c15:sqref>
                        </c15:formulaRef>
                      </c:ext>
                    </c:extLst>
                    <c:numCache>
                      <c:formatCode>0.00</c:formatCode>
                      <c:ptCount val="20"/>
                      <c:pt idx="0">
                        <c:v>1.0716399999999999</c:v>
                      </c:pt>
                      <c:pt idx="1">
                        <c:v>1.2523879999999998</c:v>
                      </c:pt>
                      <c:pt idx="2">
                        <c:v>1.4194119999999999</c:v>
                      </c:pt>
                      <c:pt idx="3">
                        <c:v>1.7461599999999997</c:v>
                      </c:pt>
                      <c:pt idx="4">
                        <c:v>1.9488080000000001</c:v>
                      </c:pt>
                      <c:pt idx="5">
                        <c:v>2.151456</c:v>
                      </c:pt>
                      <c:pt idx="6">
                        <c:v>2.3184800000000001</c:v>
                      </c:pt>
                      <c:pt idx="7">
                        <c:v>2.5640520000000002</c:v>
                      </c:pt>
                      <c:pt idx="8">
                        <c:v>3.1792959999999995</c:v>
                      </c:pt>
                      <c:pt idx="9">
                        <c:v>3.79454</c:v>
                      </c:pt>
                      <c:pt idx="10">
                        <c:v>4.2071360000000002</c:v>
                      </c:pt>
                      <c:pt idx="11">
                        <c:v>4.6124320000000001</c:v>
                      </c:pt>
                      <c:pt idx="12">
                        <c:v>5.0250279999999998</c:v>
                      </c:pt>
                      <c:pt idx="13">
                        <c:v>6.2555159999999992</c:v>
                      </c:pt>
                      <c:pt idx="14">
                        <c:v>7.4430800000000001</c:v>
                      </c:pt>
                      <c:pt idx="15">
                        <c:v>8.2609720000000006</c:v>
                      </c:pt>
                      <c:pt idx="16">
                        <c:v>9.0861640000000001</c:v>
                      </c:pt>
                      <c:pt idx="17">
                        <c:v>10.316651999999999</c:v>
                      </c:pt>
                      <c:pt idx="18">
                        <c:v>11.547140000000001</c:v>
                      </c:pt>
                      <c:pt idx="19">
                        <c:v>12.365031999999999</c:v>
                      </c:pt>
                    </c:numCache>
                  </c:numRef>
                </c:yVal>
                <c:smooth val="0"/>
                <c:extLst xmlns:c15="http://schemas.microsoft.com/office/drawing/2012/chart">
                  <c:ext xmlns:c16="http://schemas.microsoft.com/office/drawing/2014/chart" uri="{C3380CC4-5D6E-409C-BE32-E72D297353CC}">
                    <c16:uniqueId val="{0000000A-48A0-4456-AC6A-C9DAE946B652}"/>
                  </c:ext>
                </c:extLst>
              </c15:ser>
            </c15:filteredScatterSeries>
            <c15:filteredScatterSeries>
              <c15:ser>
                <c:idx val="3"/>
                <c:order val="10"/>
                <c:tx>
                  <c:strRef>
                    <c:extLst xmlns:c15="http://schemas.microsoft.com/office/drawing/2012/char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Tabelle'!$C$3:$AC$3</c15:sqref>
                        </c15:formulaRef>
                      </c:ext>
                    </c:extLst>
                    <c:numCache>
                      <c:formatCode>General</c:formatCode>
                      <c:ptCount val="27"/>
                      <c:pt idx="0">
                        <c:v>14.9</c:v>
                      </c:pt>
                      <c:pt idx="1">
                        <c:v>23.4</c:v>
                      </c:pt>
                      <c:pt idx="2">
                        <c:v>26.8</c:v>
                      </c:pt>
                      <c:pt idx="3">
                        <c:v>27.8</c:v>
                      </c:pt>
                      <c:pt idx="4">
                        <c:v>30.1</c:v>
                      </c:pt>
                      <c:pt idx="5">
                        <c:v>33.4</c:v>
                      </c:pt>
                      <c:pt idx="6">
                        <c:v>36.700000000000003</c:v>
                      </c:pt>
                      <c:pt idx="7">
                        <c:v>38.9</c:v>
                      </c:pt>
                      <c:pt idx="8">
                        <c:v>39.9</c:v>
                      </c:pt>
                      <c:pt idx="9">
                        <c:v>40.9</c:v>
                      </c:pt>
                      <c:pt idx="10">
                        <c:v>43.2</c:v>
                      </c:pt>
                      <c:pt idx="11">
                        <c:v>46.4</c:v>
                      </c:pt>
                      <c:pt idx="12">
                        <c:v>47.4</c:v>
                      </c:pt>
                      <c:pt idx="13">
                        <c:v>48.7</c:v>
                      </c:pt>
                      <c:pt idx="14">
                        <c:v>52.9</c:v>
                      </c:pt>
                      <c:pt idx="15">
                        <c:v>53.9</c:v>
                      </c:pt>
                      <c:pt idx="16">
                        <c:v>57.1</c:v>
                      </c:pt>
                      <c:pt idx="17">
                        <c:v>60.4</c:v>
                      </c:pt>
                      <c:pt idx="18">
                        <c:v>61.7</c:v>
                      </c:pt>
                      <c:pt idx="19">
                        <c:v>62.7</c:v>
                      </c:pt>
                      <c:pt idx="20">
                        <c:v>69.2</c:v>
                      </c:pt>
                      <c:pt idx="21">
                        <c:v>82.5</c:v>
                      </c:pt>
                      <c:pt idx="22">
                        <c:v>103</c:v>
                      </c:pt>
                      <c:pt idx="23">
                        <c:v>124.3</c:v>
                      </c:pt>
                      <c:pt idx="24">
                        <c:v>139</c:v>
                      </c:pt>
                      <c:pt idx="25">
                        <c:v>154.19999999999999</c:v>
                      </c:pt>
                      <c:pt idx="26">
                        <c:v>177.8</c:v>
                      </c:pt>
                    </c:numCache>
                  </c:numRef>
                </c:yVal>
                <c:smooth val="0"/>
                <c:extLst xmlns:c15="http://schemas.microsoft.com/office/drawing/2012/chart">
                  <c:ext xmlns:c16="http://schemas.microsoft.com/office/drawing/2014/chart" uri="{C3380CC4-5D6E-409C-BE32-E72D297353CC}">
                    <c16:uniqueId val="{0000000C-48A0-4456-AC6A-C9DAE946B652}"/>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Tabelle'!$C$4:$AC$4</c15:sqref>
                        </c15:formulaRef>
                      </c:ext>
                    </c:extLst>
                    <c:numCache>
                      <c:formatCode>General</c:formatCode>
                      <c:ptCount val="27"/>
                      <c:pt idx="0">
                        <c:v>20.3</c:v>
                      </c:pt>
                      <c:pt idx="1">
                        <c:v>32.5</c:v>
                      </c:pt>
                      <c:pt idx="2">
                        <c:v>37.299999999999997</c:v>
                      </c:pt>
                      <c:pt idx="3">
                        <c:v>38.700000000000003</c:v>
                      </c:pt>
                      <c:pt idx="4">
                        <c:v>42</c:v>
                      </c:pt>
                      <c:pt idx="5">
                        <c:v>46.7</c:v>
                      </c:pt>
                      <c:pt idx="6">
                        <c:v>51.4</c:v>
                      </c:pt>
                      <c:pt idx="7">
                        <c:v>54.6</c:v>
                      </c:pt>
                      <c:pt idx="8">
                        <c:v>55.9</c:v>
                      </c:pt>
                      <c:pt idx="9">
                        <c:v>57.4</c:v>
                      </c:pt>
                      <c:pt idx="10">
                        <c:v>60.6</c:v>
                      </c:pt>
                      <c:pt idx="11">
                        <c:v>65.2</c:v>
                      </c:pt>
                      <c:pt idx="12">
                        <c:v>66.5</c:v>
                      </c:pt>
                      <c:pt idx="13">
                        <c:v>68.3</c:v>
                      </c:pt>
                      <c:pt idx="14">
                        <c:v>74.400000000000006</c:v>
                      </c:pt>
                      <c:pt idx="15">
                        <c:v>75.599999999999994</c:v>
                      </c:pt>
                      <c:pt idx="16">
                        <c:v>80.099999999999994</c:v>
                      </c:pt>
                      <c:pt idx="17">
                        <c:v>84.6</c:v>
                      </c:pt>
                      <c:pt idx="18">
                        <c:v>86.4</c:v>
                      </c:pt>
                      <c:pt idx="19">
                        <c:v>87.8</c:v>
                      </c:pt>
                      <c:pt idx="20">
                        <c:v>96.8</c:v>
                      </c:pt>
                      <c:pt idx="21">
                        <c:v>114.8</c:v>
                      </c:pt>
                      <c:pt idx="22">
                        <c:v>141.69999999999999</c:v>
                      </c:pt>
                      <c:pt idx="23">
                        <c:v>168.9</c:v>
                      </c:pt>
                      <c:pt idx="24">
                        <c:v>187.2</c:v>
                      </c:pt>
                      <c:pt idx="25">
                        <c:v>205.7</c:v>
                      </c:pt>
                      <c:pt idx="26">
                        <c:v>233.7</c:v>
                      </c:pt>
                    </c:numCache>
                  </c:numRef>
                </c:yVal>
                <c:smooth val="0"/>
                <c:extLst xmlns:c15="http://schemas.microsoft.com/office/drawing/2012/chart">
                  <c:ext xmlns:c16="http://schemas.microsoft.com/office/drawing/2014/chart" uri="{C3380CC4-5D6E-409C-BE32-E72D297353CC}">
                    <c16:uniqueId val="{0000000D-48A0-4456-AC6A-C9DAE946B652}"/>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Tabelle'!$C$5:$AC$5</c15:sqref>
                        </c15:formulaRef>
                      </c:ext>
                    </c:extLst>
                    <c:numCache>
                      <c:formatCode>General</c:formatCode>
                      <c:ptCount val="27"/>
                      <c:pt idx="0">
                        <c:v>26</c:v>
                      </c:pt>
                      <c:pt idx="1">
                        <c:v>42.1</c:v>
                      </c:pt>
                      <c:pt idx="2">
                        <c:v>48.4</c:v>
                      </c:pt>
                      <c:pt idx="3">
                        <c:v>50.3</c:v>
                      </c:pt>
                      <c:pt idx="4">
                        <c:v>54.6</c:v>
                      </c:pt>
                      <c:pt idx="5">
                        <c:v>60.8</c:v>
                      </c:pt>
                      <c:pt idx="6">
                        <c:v>66.900000000000006</c:v>
                      </c:pt>
                      <c:pt idx="7">
                        <c:v>71.2</c:v>
                      </c:pt>
                      <c:pt idx="8">
                        <c:v>73</c:v>
                      </c:pt>
                      <c:pt idx="9">
                        <c:v>74.8</c:v>
                      </c:pt>
                      <c:pt idx="10">
                        <c:v>79</c:v>
                      </c:pt>
                      <c:pt idx="11">
                        <c:v>85</c:v>
                      </c:pt>
                      <c:pt idx="12">
                        <c:v>86.7</c:v>
                      </c:pt>
                      <c:pt idx="13">
                        <c:v>89.1</c:v>
                      </c:pt>
                      <c:pt idx="14">
                        <c:v>96.8</c:v>
                      </c:pt>
                      <c:pt idx="15">
                        <c:v>98.6</c:v>
                      </c:pt>
                      <c:pt idx="16">
                        <c:v>104.4</c:v>
                      </c:pt>
                      <c:pt idx="17">
                        <c:v>110.3</c:v>
                      </c:pt>
                      <c:pt idx="18">
                        <c:v>112.6</c:v>
                      </c:pt>
                      <c:pt idx="19">
                        <c:v>114.3</c:v>
                      </c:pt>
                      <c:pt idx="20">
                        <c:v>125.9</c:v>
                      </c:pt>
                      <c:pt idx="21">
                        <c:v>148.80000000000001</c:v>
                      </c:pt>
                      <c:pt idx="22">
                        <c:v>182.6</c:v>
                      </c:pt>
                      <c:pt idx="23">
                        <c:v>216</c:v>
                      </c:pt>
                      <c:pt idx="24">
                        <c:v>238.1</c:v>
                      </c:pt>
                      <c:pt idx="25">
                        <c:v>260</c:v>
                      </c:pt>
                      <c:pt idx="26">
                        <c:v>292.8</c:v>
                      </c:pt>
                    </c:numCache>
                  </c:numRef>
                </c:yVal>
                <c:smooth val="0"/>
                <c:extLst xmlns:c15="http://schemas.microsoft.com/office/drawing/2012/chart">
                  <c:ext xmlns:c16="http://schemas.microsoft.com/office/drawing/2014/chart" uri="{C3380CC4-5D6E-409C-BE32-E72D297353CC}">
                    <c16:uniqueId val="{0000000E-48A0-4456-AC6A-C9DAE946B652}"/>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Tabelle'!$C$6:$AC$6</c15:sqref>
                        </c15:formulaRef>
                      </c:ext>
                    </c:extLst>
                    <c:numCache>
                      <c:formatCode>General</c:formatCode>
                      <c:ptCount val="27"/>
                      <c:pt idx="0">
                        <c:v>31.7</c:v>
                      </c:pt>
                      <c:pt idx="1">
                        <c:v>51.4</c:v>
                      </c:pt>
                      <c:pt idx="2">
                        <c:v>59</c:v>
                      </c:pt>
                      <c:pt idx="3">
                        <c:v>61.3</c:v>
                      </c:pt>
                      <c:pt idx="4">
                        <c:v>66.5</c:v>
                      </c:pt>
                      <c:pt idx="5">
                        <c:v>74</c:v>
                      </c:pt>
                      <c:pt idx="6">
                        <c:v>81.3</c:v>
                      </c:pt>
                      <c:pt idx="7">
                        <c:v>86.5</c:v>
                      </c:pt>
                      <c:pt idx="8">
                        <c:v>88.7</c:v>
                      </c:pt>
                      <c:pt idx="9">
                        <c:v>90.8</c:v>
                      </c:pt>
                      <c:pt idx="10">
                        <c:v>95.9</c:v>
                      </c:pt>
                      <c:pt idx="11">
                        <c:v>103.1</c:v>
                      </c:pt>
                      <c:pt idx="12">
                        <c:v>105.2</c:v>
                      </c:pt>
                      <c:pt idx="13">
                        <c:v>108.1</c:v>
                      </c:pt>
                      <c:pt idx="14">
                        <c:v>117.4</c:v>
                      </c:pt>
                      <c:pt idx="15">
                        <c:v>119.5</c:v>
                      </c:pt>
                      <c:pt idx="16">
                        <c:v>126.5</c:v>
                      </c:pt>
                      <c:pt idx="17">
                        <c:v>133.6</c:v>
                      </c:pt>
                      <c:pt idx="18">
                        <c:v>136.4</c:v>
                      </c:pt>
                      <c:pt idx="19">
                        <c:v>138.5</c:v>
                      </c:pt>
                      <c:pt idx="20">
                        <c:v>152.4</c:v>
                      </c:pt>
                      <c:pt idx="21">
                        <c:v>180</c:v>
                      </c:pt>
                      <c:pt idx="22">
                        <c:v>220.9</c:v>
                      </c:pt>
                      <c:pt idx="23">
                        <c:v>261.3</c:v>
                      </c:pt>
                      <c:pt idx="24">
                        <c:v>288</c:v>
                      </c:pt>
                      <c:pt idx="25">
                        <c:v>314.7</c:v>
                      </c:pt>
                      <c:pt idx="26">
                        <c:v>354.5</c:v>
                      </c:pt>
                    </c:numCache>
                  </c:numRef>
                </c:yVal>
                <c:smooth val="0"/>
                <c:extLst xmlns:c15="http://schemas.microsoft.com/office/drawing/2012/chart">
                  <c:ext xmlns:c16="http://schemas.microsoft.com/office/drawing/2014/chart" uri="{C3380CC4-5D6E-409C-BE32-E72D297353CC}">
                    <c16:uniqueId val="{0000000F-48A0-4456-AC6A-C9DAE946B652}"/>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Tabelle'!$C$7:$AC$7</c15:sqref>
                        </c15:formulaRef>
                      </c:ext>
                    </c:extLst>
                    <c:numCache>
                      <c:formatCode>General</c:formatCode>
                      <c:ptCount val="27"/>
                      <c:pt idx="0">
                        <c:v>37.4</c:v>
                      </c:pt>
                      <c:pt idx="1">
                        <c:v>60.7</c:v>
                      </c:pt>
                      <c:pt idx="2">
                        <c:v>69.599999999999994</c:v>
                      </c:pt>
                      <c:pt idx="3">
                        <c:v>72.3</c:v>
                      </c:pt>
                      <c:pt idx="4">
                        <c:v>78.5</c:v>
                      </c:pt>
                      <c:pt idx="5">
                        <c:v>87.2</c:v>
                      </c:pt>
                      <c:pt idx="6">
                        <c:v>95.8</c:v>
                      </c:pt>
                      <c:pt idx="7">
                        <c:v>101.8</c:v>
                      </c:pt>
                      <c:pt idx="8">
                        <c:v>104.3</c:v>
                      </c:pt>
                      <c:pt idx="9">
                        <c:v>106.9</c:v>
                      </c:pt>
                      <c:pt idx="10">
                        <c:v>112.8</c:v>
                      </c:pt>
                      <c:pt idx="11">
                        <c:v>121.2</c:v>
                      </c:pt>
                      <c:pt idx="12">
                        <c:v>123.7</c:v>
                      </c:pt>
                      <c:pt idx="13">
                        <c:v>127.1</c:v>
                      </c:pt>
                      <c:pt idx="14">
                        <c:v>137.9</c:v>
                      </c:pt>
                      <c:pt idx="15">
                        <c:v>140.4</c:v>
                      </c:pt>
                      <c:pt idx="16">
                        <c:v>148.69999999999999</c:v>
                      </c:pt>
                      <c:pt idx="17">
                        <c:v>156.9</c:v>
                      </c:pt>
                      <c:pt idx="18">
                        <c:v>160.19999999999999</c:v>
                      </c:pt>
                      <c:pt idx="19">
                        <c:v>162.6</c:v>
                      </c:pt>
                      <c:pt idx="20">
                        <c:v>178.9</c:v>
                      </c:pt>
                      <c:pt idx="21">
                        <c:v>211.2</c:v>
                      </c:pt>
                      <c:pt idx="22">
                        <c:v>259.10000000000002</c:v>
                      </c:pt>
                      <c:pt idx="23">
                        <c:v>306.5</c:v>
                      </c:pt>
                      <c:pt idx="24">
                        <c:v>337.9</c:v>
                      </c:pt>
                      <c:pt idx="25">
                        <c:v>369.3</c:v>
                      </c:pt>
                      <c:pt idx="26">
                        <c:v>416.2</c:v>
                      </c:pt>
                    </c:numCache>
                  </c:numRef>
                </c:yVal>
                <c:smooth val="0"/>
                <c:extLst xmlns:c15="http://schemas.microsoft.com/office/drawing/2012/chart">
                  <c:ext xmlns:c16="http://schemas.microsoft.com/office/drawing/2014/chart" uri="{C3380CC4-5D6E-409C-BE32-E72D297353CC}">
                    <c16:uniqueId val="{00000010-48A0-4456-AC6A-C9DAE946B652}"/>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Tabelle'!$C$75:$AB$75</c15:sqref>
                        </c15:formulaRef>
                      </c:ext>
                    </c:extLst>
                    <c:numCache>
                      <c:formatCode>0.00</c:formatCode>
                      <c:ptCount val="26"/>
                      <c:pt idx="0">
                        <c:v>0.38427199999999995</c:v>
                      </c:pt>
                      <c:pt idx="1">
                        <c:v>0.57231999999999994</c:v>
                      </c:pt>
                      <c:pt idx="2">
                        <c:v>0.71744399999999997</c:v>
                      </c:pt>
                      <c:pt idx="3">
                        <c:v>0.90549199999999996</c:v>
                      </c:pt>
                      <c:pt idx="4">
                        <c:v>1.0068159999999999</c:v>
                      </c:pt>
                      <c:pt idx="5">
                        <c:v>1.036016</c:v>
                      </c:pt>
                      <c:pt idx="6">
                        <c:v>1.050616</c:v>
                      </c:pt>
                      <c:pt idx="7">
                        <c:v>1.2085879999999998</c:v>
                      </c:pt>
                      <c:pt idx="8">
                        <c:v>1.15194</c:v>
                      </c:pt>
                      <c:pt idx="9">
                        <c:v>1.216764</c:v>
                      </c:pt>
                      <c:pt idx="10">
                        <c:v>1.3326880000000001</c:v>
                      </c:pt>
                      <c:pt idx="11">
                        <c:v>1.339988</c:v>
                      </c:pt>
                      <c:pt idx="12">
                        <c:v>1.29064</c:v>
                      </c:pt>
                      <c:pt idx="13">
                        <c:v>1.485112</c:v>
                      </c:pt>
                      <c:pt idx="14">
                        <c:v>1.5499360000000002</c:v>
                      </c:pt>
                      <c:pt idx="15">
                        <c:v>1.5426360000000001</c:v>
                      </c:pt>
                      <c:pt idx="16">
                        <c:v>1.7242599999999997</c:v>
                      </c:pt>
                      <c:pt idx="17">
                        <c:v>2.0574319999999999</c:v>
                      </c:pt>
                      <c:pt idx="18">
                        <c:v>2.5786519999999999</c:v>
                      </c:pt>
                      <c:pt idx="19">
                        <c:v>2.8250999999999999</c:v>
                      </c:pt>
                      <c:pt idx="20">
                        <c:v>3.0998720000000004</c:v>
                      </c:pt>
                      <c:pt idx="21">
                        <c:v>3.1655720000000001</c:v>
                      </c:pt>
                      <c:pt idx="22">
                        <c:v>3.4403439999999996</c:v>
                      </c:pt>
                      <c:pt idx="23">
                        <c:v>3.5060440000000002</c:v>
                      </c:pt>
                      <c:pt idx="24">
                        <c:v>3.7735159999999999</c:v>
                      </c:pt>
                      <c:pt idx="25">
                        <c:v>4.2518120000000001</c:v>
                      </c:pt>
                    </c:numCache>
                  </c:numRef>
                </c:yVal>
                <c:smooth val="0"/>
                <c:extLst xmlns:c15="http://schemas.microsoft.com/office/drawing/2012/chart">
                  <c:ext xmlns:c16="http://schemas.microsoft.com/office/drawing/2014/chart" uri="{C3380CC4-5D6E-409C-BE32-E72D297353CC}">
                    <c16:uniqueId val="{00000002-48A0-4456-AC6A-C9DAE946B652}"/>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Tabelle'!$C$76:$AB$76</c15:sqref>
                        </c15:formulaRef>
                      </c:ext>
                    </c:extLst>
                    <c:numCache>
                      <c:formatCode>0.00</c:formatCode>
                      <c:ptCount val="26"/>
                      <c:pt idx="0">
                        <c:v>0.60152000000000005</c:v>
                      </c:pt>
                      <c:pt idx="1">
                        <c:v>0.84066799999999997</c:v>
                      </c:pt>
                      <c:pt idx="2">
                        <c:v>1.1227399999999998</c:v>
                      </c:pt>
                      <c:pt idx="3">
                        <c:v>1.361888</c:v>
                      </c:pt>
                      <c:pt idx="4">
                        <c:v>1.4924119999999998</c:v>
                      </c:pt>
                      <c:pt idx="5">
                        <c:v>1.5791360000000001</c:v>
                      </c:pt>
                      <c:pt idx="6">
                        <c:v>1.6010360000000001</c:v>
                      </c:pt>
                      <c:pt idx="7">
                        <c:v>1.6877599999999999</c:v>
                      </c:pt>
                      <c:pt idx="8">
                        <c:v>1.73156</c:v>
                      </c:pt>
                      <c:pt idx="9">
                        <c:v>1.8036840000000001</c:v>
                      </c:pt>
                      <c:pt idx="10">
                        <c:v>2.0063319999999996</c:v>
                      </c:pt>
                      <c:pt idx="11">
                        <c:v>2.0136319999999999</c:v>
                      </c:pt>
                      <c:pt idx="12">
                        <c:v>2.0647320000000002</c:v>
                      </c:pt>
                      <c:pt idx="13">
                        <c:v>2.25278</c:v>
                      </c:pt>
                      <c:pt idx="14">
                        <c:v>2.2892799999999998</c:v>
                      </c:pt>
                      <c:pt idx="15">
                        <c:v>2.3678280000000003</c:v>
                      </c:pt>
                      <c:pt idx="16">
                        <c:v>2.6078520000000003</c:v>
                      </c:pt>
                      <c:pt idx="17">
                        <c:v>3.1290720000000003</c:v>
                      </c:pt>
                      <c:pt idx="18">
                        <c:v>3.8967399999999999</c:v>
                      </c:pt>
                      <c:pt idx="19">
                        <c:v>4.2664119999999999</c:v>
                      </c:pt>
                      <c:pt idx="20">
                        <c:v>4.6141839999999998</c:v>
                      </c:pt>
                      <c:pt idx="21">
                        <c:v>4.7949319999999993</c:v>
                      </c:pt>
                      <c:pt idx="22">
                        <c:v>5.1354039999999994</c:v>
                      </c:pt>
                      <c:pt idx="23">
                        <c:v>5.2805279999999994</c:v>
                      </c:pt>
                      <c:pt idx="24">
                        <c:v>5.6210000000000004</c:v>
                      </c:pt>
                      <c:pt idx="25">
                        <c:v>6.3813680000000002</c:v>
                      </c:pt>
                    </c:numCache>
                  </c:numRef>
                </c:yVal>
                <c:smooth val="0"/>
                <c:extLst xmlns:c15="http://schemas.microsoft.com/office/drawing/2012/chart">
                  <c:ext xmlns:c16="http://schemas.microsoft.com/office/drawing/2014/chart" uri="{C3380CC4-5D6E-409C-BE32-E72D297353CC}">
                    <c16:uniqueId val="{00000011-48A0-4456-AC6A-C9DAE946B652}"/>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Tabelle'!$C$77:$AB$77</c15:sqref>
                        </c15:formulaRef>
                      </c:ext>
                    </c:extLst>
                    <c:numCache>
                      <c:formatCode>0.00</c:formatCode>
                      <c:ptCount val="26"/>
                      <c:pt idx="0">
                        <c:v>0.81876799999999994</c:v>
                      </c:pt>
                      <c:pt idx="1">
                        <c:v>1.15194</c:v>
                      </c:pt>
                      <c:pt idx="2">
                        <c:v>1.485112</c:v>
                      </c:pt>
                      <c:pt idx="3">
                        <c:v>1.8182839999999998</c:v>
                      </c:pt>
                      <c:pt idx="4">
                        <c:v>2.0209320000000002</c:v>
                      </c:pt>
                      <c:pt idx="5">
                        <c:v>2.1222560000000001</c:v>
                      </c:pt>
                      <c:pt idx="6">
                        <c:v>2.1587559999999999</c:v>
                      </c:pt>
                      <c:pt idx="7">
                        <c:v>2.25278</c:v>
                      </c:pt>
                      <c:pt idx="8">
                        <c:v>2.3541039999999995</c:v>
                      </c:pt>
                      <c:pt idx="9">
                        <c:v>2.3979039999999996</c:v>
                      </c:pt>
                      <c:pt idx="10">
                        <c:v>2.6370519999999997</c:v>
                      </c:pt>
                      <c:pt idx="11">
                        <c:v>2.6945759999999996</c:v>
                      </c:pt>
                      <c:pt idx="12">
                        <c:v>2.8032000000000004</c:v>
                      </c:pt>
                      <c:pt idx="13">
                        <c:v>3.0277479999999999</c:v>
                      </c:pt>
                      <c:pt idx="14">
                        <c:v>3.0642480000000001</c:v>
                      </c:pt>
                      <c:pt idx="15">
                        <c:v>3.1427959999999997</c:v>
                      </c:pt>
                      <c:pt idx="16">
                        <c:v>3.4914439999999995</c:v>
                      </c:pt>
                      <c:pt idx="17">
                        <c:v>4.1650879999999999</c:v>
                      </c:pt>
                      <c:pt idx="18">
                        <c:v>5.1646040000000006</c:v>
                      </c:pt>
                      <c:pt idx="19">
                        <c:v>5.7004239999999999</c:v>
                      </c:pt>
                      <c:pt idx="20">
                        <c:v>6.1714199999999995</c:v>
                      </c:pt>
                      <c:pt idx="21">
                        <c:v>6.3886680000000009</c:v>
                      </c:pt>
                      <c:pt idx="22">
                        <c:v>6.837764</c:v>
                      </c:pt>
                      <c:pt idx="23">
                        <c:v>7.0550119999999996</c:v>
                      </c:pt>
                      <c:pt idx="24">
                        <c:v>7.5114079999999994</c:v>
                      </c:pt>
                      <c:pt idx="25">
                        <c:v>8.5109239999999993</c:v>
                      </c:pt>
                    </c:numCache>
                  </c:numRef>
                </c:yVal>
                <c:smooth val="0"/>
                <c:extLst xmlns:c15="http://schemas.microsoft.com/office/drawing/2012/chart">
                  <c:ext xmlns:c16="http://schemas.microsoft.com/office/drawing/2014/chart" uri="{C3380CC4-5D6E-409C-BE32-E72D297353CC}">
                    <c16:uniqueId val="{00000012-48A0-4456-AC6A-C9DAE946B652}"/>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Tabelle'!$C$78:$AB$78</c15:sqref>
                        </c15:formulaRef>
                      </c:ext>
                    </c:extLst>
                    <c:numCache>
                      <c:formatCode>0.00</c:formatCode>
                      <c:ptCount val="26"/>
                      <c:pt idx="0">
                        <c:v>1.036016</c:v>
                      </c:pt>
                      <c:pt idx="1">
                        <c:v>1.420288</c:v>
                      </c:pt>
                      <c:pt idx="2">
                        <c:v>1.8474840000000001</c:v>
                      </c:pt>
                      <c:pt idx="3">
                        <c:v>2.2819799999999999</c:v>
                      </c:pt>
                      <c:pt idx="4">
                        <c:v>2.5065279999999999</c:v>
                      </c:pt>
                      <c:pt idx="5">
                        <c:v>2.622452</c:v>
                      </c:pt>
                      <c:pt idx="6">
                        <c:v>2.7091759999999998</c:v>
                      </c:pt>
                      <c:pt idx="7">
                        <c:v>2.8178000000000001</c:v>
                      </c:pt>
                      <c:pt idx="8">
                        <c:v>2.9410239999999996</c:v>
                      </c:pt>
                      <c:pt idx="9">
                        <c:v>3.0350479999999997</c:v>
                      </c:pt>
                      <c:pt idx="10">
                        <c:v>3.3106960000000001</c:v>
                      </c:pt>
                      <c:pt idx="11">
                        <c:v>3.36822</c:v>
                      </c:pt>
                      <c:pt idx="12">
                        <c:v>3.4987440000000003</c:v>
                      </c:pt>
                      <c:pt idx="13">
                        <c:v>3.7524920000000002</c:v>
                      </c:pt>
                      <c:pt idx="14">
                        <c:v>3.8465160000000003</c:v>
                      </c:pt>
                      <c:pt idx="15">
                        <c:v>3.9250639999999999</c:v>
                      </c:pt>
                      <c:pt idx="16">
                        <c:v>4.3823359999999996</c:v>
                      </c:pt>
                      <c:pt idx="17">
                        <c:v>5.1938040000000001</c:v>
                      </c:pt>
                      <c:pt idx="18">
                        <c:v>6.4826919999999992</c:v>
                      </c:pt>
                      <c:pt idx="19">
                        <c:v>7.1417359999999999</c:v>
                      </c:pt>
                      <c:pt idx="20">
                        <c:v>7.728656</c:v>
                      </c:pt>
                      <c:pt idx="21">
                        <c:v>7.9751039999999991</c:v>
                      </c:pt>
                      <c:pt idx="22">
                        <c:v>8.5830479999999998</c:v>
                      </c:pt>
                      <c:pt idx="23">
                        <c:v>8.8294959999999989</c:v>
                      </c:pt>
                      <c:pt idx="24">
                        <c:v>9.4018160000000002</c:v>
                      </c:pt>
                      <c:pt idx="25">
                        <c:v>10.647779999999999</c:v>
                      </c:pt>
                    </c:numCache>
                  </c:numRef>
                </c:yVal>
                <c:smooth val="0"/>
                <c:extLst xmlns:c15="http://schemas.microsoft.com/office/drawing/2012/chart">
                  <c:ext xmlns:c16="http://schemas.microsoft.com/office/drawing/2014/chart" uri="{C3380CC4-5D6E-409C-BE32-E72D297353CC}">
                    <c16:uniqueId val="{00000013-48A0-4456-AC6A-C9DAE946B652}"/>
                  </c:ext>
                </c:extLst>
              </c15:ser>
            </c15:filteredScatterSeries>
            <c15:filteredScatterSeries>
              <c15:ser>
                <c:idx val="20"/>
                <c:order val="20"/>
                <c:tx>
                  <c:strRef>
                    <c:extLst xmlns:c15="http://schemas.microsoft.com/office/drawing/2012/char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Iron'!$C$3:$AC$3</c15:sqref>
                        </c15:formulaRef>
                      </c:ext>
                    </c:extLst>
                    <c:numCache>
                      <c:formatCode>General</c:formatCode>
                      <c:ptCount val="27"/>
                      <c:pt idx="0">
                        <c:v>12.66</c:v>
                      </c:pt>
                      <c:pt idx="1">
                        <c:v>25.24</c:v>
                      </c:pt>
                      <c:pt idx="2">
                        <c:v>28.96</c:v>
                      </c:pt>
                      <c:pt idx="4">
                        <c:v>32.630000000000003</c:v>
                      </c:pt>
                      <c:pt idx="6">
                        <c:v>36.26</c:v>
                      </c:pt>
                      <c:pt idx="7">
                        <c:v>39.869999999999997</c:v>
                      </c:pt>
                      <c:pt idx="8">
                        <c:v>43.46</c:v>
                      </c:pt>
                      <c:pt idx="9">
                        <c:v>44.53</c:v>
                      </c:pt>
                      <c:pt idx="10">
                        <c:v>47.02</c:v>
                      </c:pt>
                      <c:pt idx="11">
                        <c:v>51.64</c:v>
                      </c:pt>
                      <c:pt idx="12">
                        <c:v>57.65</c:v>
                      </c:pt>
                      <c:pt idx="13">
                        <c:v>65.8</c:v>
                      </c:pt>
                      <c:pt idx="14">
                        <c:v>68.22</c:v>
                      </c:pt>
                      <c:pt idx="15">
                        <c:v>72.8</c:v>
                      </c:pt>
                      <c:pt idx="16">
                        <c:v>75.260000000000005</c:v>
                      </c:pt>
                      <c:pt idx="18">
                        <c:v>83.2</c:v>
                      </c:pt>
                      <c:pt idx="19">
                        <c:v>89.35</c:v>
                      </c:pt>
                      <c:pt idx="20">
                        <c:v>110.64</c:v>
                      </c:pt>
                      <c:pt idx="21">
                        <c:v>132.22999999999999</c:v>
                      </c:pt>
                      <c:pt idx="22">
                        <c:v>146.83000000000001</c:v>
                      </c:pt>
                      <c:pt idx="23">
                        <c:v>161.63</c:v>
                      </c:pt>
                      <c:pt idx="24">
                        <c:v>184.23</c:v>
                      </c:pt>
                      <c:pt idx="25">
                        <c:v>207.56</c:v>
                      </c:pt>
                      <c:pt idx="26">
                        <c:v>223.1</c:v>
                      </c:pt>
                    </c:numCache>
                  </c:numRef>
                </c:yVal>
                <c:smooth val="0"/>
                <c:extLst xmlns:c15="http://schemas.microsoft.com/office/drawing/2012/chart">
                  <c:ext xmlns:c16="http://schemas.microsoft.com/office/drawing/2014/chart" uri="{C3380CC4-5D6E-409C-BE32-E72D297353CC}">
                    <c16:uniqueId val="{00000015-48A0-4456-AC6A-C9DAE946B652}"/>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Iron'!$C$4:$AC$4</c15:sqref>
                        </c15:formulaRef>
                      </c:ext>
                    </c:extLst>
                    <c:numCache>
                      <c:formatCode>General</c:formatCode>
                      <c:ptCount val="27"/>
                      <c:pt idx="0">
                        <c:v>17.510000000000002</c:v>
                      </c:pt>
                      <c:pt idx="1">
                        <c:v>35.4</c:v>
                      </c:pt>
                      <c:pt idx="2">
                        <c:v>40.5</c:v>
                      </c:pt>
                      <c:pt idx="3">
                        <c:v>42.01</c:v>
                      </c:pt>
                      <c:pt idx="4">
                        <c:v>45.52</c:v>
                      </c:pt>
                      <c:pt idx="5">
                        <c:v>47.01</c:v>
                      </c:pt>
                      <c:pt idx="6">
                        <c:v>50.47</c:v>
                      </c:pt>
                      <c:pt idx="7">
                        <c:v>55.38</c:v>
                      </c:pt>
                      <c:pt idx="8">
                        <c:v>60.25</c:v>
                      </c:pt>
                      <c:pt idx="9">
                        <c:v>61.7</c:v>
                      </c:pt>
                      <c:pt idx="10">
                        <c:v>65.069999999999993</c:v>
                      </c:pt>
                      <c:pt idx="11">
                        <c:v>71.31</c:v>
                      </c:pt>
                      <c:pt idx="12">
                        <c:v>79.400000000000006</c:v>
                      </c:pt>
                      <c:pt idx="13">
                        <c:v>90.3</c:v>
                      </c:pt>
                      <c:pt idx="14">
                        <c:v>93.57</c:v>
                      </c:pt>
                      <c:pt idx="15">
                        <c:v>99.69</c:v>
                      </c:pt>
                      <c:pt idx="16">
                        <c:v>102.97</c:v>
                      </c:pt>
                      <c:pt idx="17">
                        <c:v>109.07</c:v>
                      </c:pt>
                      <c:pt idx="18">
                        <c:v>112.34</c:v>
                      </c:pt>
                      <c:pt idx="19">
                        <c:v>121.7</c:v>
                      </c:pt>
                      <c:pt idx="20">
                        <c:v>149.80000000000001</c:v>
                      </c:pt>
                      <c:pt idx="21">
                        <c:v>178.08</c:v>
                      </c:pt>
                      <c:pt idx="22">
                        <c:v>197.1</c:v>
                      </c:pt>
                      <c:pt idx="23">
                        <c:v>216.28</c:v>
                      </c:pt>
                      <c:pt idx="24">
                        <c:v>245.44</c:v>
                      </c:pt>
                      <c:pt idx="25">
                        <c:v>275.08999999999997</c:v>
                      </c:pt>
                      <c:pt idx="26">
                        <c:v>295.18</c:v>
                      </c:pt>
                    </c:numCache>
                  </c:numRef>
                </c:yVal>
                <c:smooth val="0"/>
                <c:extLst xmlns:c15="http://schemas.microsoft.com/office/drawing/2012/chart">
                  <c:ext xmlns:c16="http://schemas.microsoft.com/office/drawing/2014/chart" uri="{C3380CC4-5D6E-409C-BE32-E72D297353CC}">
                    <c16:uniqueId val="{00000016-48A0-4456-AC6A-C9DAE946B652}"/>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Iron'!$C$5:$AC$5</c15:sqref>
                        </c15:formulaRef>
                      </c:ext>
                    </c:extLst>
                    <c:numCache>
                      <c:formatCode>General</c:formatCode>
                      <c:ptCount val="27"/>
                      <c:pt idx="0">
                        <c:v>22.83</c:v>
                      </c:pt>
                      <c:pt idx="1">
                        <c:v>45.56</c:v>
                      </c:pt>
                      <c:pt idx="2">
                        <c:v>52.04</c:v>
                      </c:pt>
                      <c:pt idx="3">
                        <c:v>53.96</c:v>
                      </c:pt>
                      <c:pt idx="4">
                        <c:v>58.4</c:v>
                      </c:pt>
                      <c:pt idx="5">
                        <c:v>60.29</c:v>
                      </c:pt>
                      <c:pt idx="6">
                        <c:v>64.680000000000007</c:v>
                      </c:pt>
                      <c:pt idx="7">
                        <c:v>70.88</c:v>
                      </c:pt>
                      <c:pt idx="8">
                        <c:v>77.03</c:v>
                      </c:pt>
                      <c:pt idx="9">
                        <c:v>78.86</c:v>
                      </c:pt>
                      <c:pt idx="10">
                        <c:v>83.12</c:v>
                      </c:pt>
                      <c:pt idx="11">
                        <c:v>90.97</c:v>
                      </c:pt>
                      <c:pt idx="12">
                        <c:v>101.15</c:v>
                      </c:pt>
                      <c:pt idx="13">
                        <c:v>114.8</c:v>
                      </c:pt>
                      <c:pt idx="14">
                        <c:v>118.92</c:v>
                      </c:pt>
                      <c:pt idx="15">
                        <c:v>126.57</c:v>
                      </c:pt>
                      <c:pt idx="16">
                        <c:v>130.66999999999999</c:v>
                      </c:pt>
                      <c:pt idx="17">
                        <c:v>138.29</c:v>
                      </c:pt>
                      <c:pt idx="18">
                        <c:v>142.38</c:v>
                      </c:pt>
                      <c:pt idx="19">
                        <c:v>154.04</c:v>
                      </c:pt>
                      <c:pt idx="20">
                        <c:v>188.95</c:v>
                      </c:pt>
                      <c:pt idx="21">
                        <c:v>223.92</c:v>
                      </c:pt>
                      <c:pt idx="22">
                        <c:v>247.36</c:v>
                      </c:pt>
                      <c:pt idx="23">
                        <c:v>270.93</c:v>
                      </c:pt>
                      <c:pt idx="24">
                        <c:v>306.3</c:v>
                      </c:pt>
                      <c:pt idx="25">
                        <c:v>342.82</c:v>
                      </c:pt>
                      <c:pt idx="26">
                        <c:v>367.25</c:v>
                      </c:pt>
                    </c:numCache>
                  </c:numRef>
                </c:yVal>
                <c:smooth val="0"/>
                <c:extLst xmlns:c15="http://schemas.microsoft.com/office/drawing/2012/chart">
                  <c:ext xmlns:c16="http://schemas.microsoft.com/office/drawing/2014/chart" uri="{C3380CC4-5D6E-409C-BE32-E72D297353CC}">
                    <c16:uniqueId val="{00000017-48A0-4456-AC6A-C9DAE946B652}"/>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Iron'!$C$6:$AC$6</c15:sqref>
                        </c15:formulaRef>
                      </c:ext>
                    </c:extLst>
                    <c:numCache>
                      <c:formatCode>General</c:formatCode>
                      <c:ptCount val="27"/>
                      <c:pt idx="0">
                        <c:v>28.71</c:v>
                      </c:pt>
                      <c:pt idx="1">
                        <c:v>55.98</c:v>
                      </c:pt>
                      <c:pt idx="2">
                        <c:v>63.99</c:v>
                      </c:pt>
                      <c:pt idx="3">
                        <c:v>66.36</c:v>
                      </c:pt>
                      <c:pt idx="4">
                        <c:v>71.87</c:v>
                      </c:pt>
                      <c:pt idx="6">
                        <c:v>79.64</c:v>
                      </c:pt>
                      <c:pt idx="7">
                        <c:v>87.32</c:v>
                      </c:pt>
                      <c:pt idx="8">
                        <c:v>94.93</c:v>
                      </c:pt>
                      <c:pt idx="9">
                        <c:v>97.2</c:v>
                      </c:pt>
                      <c:pt idx="10">
                        <c:v>102.48</c:v>
                      </c:pt>
                      <c:pt idx="11">
                        <c:v>112.2</c:v>
                      </c:pt>
                      <c:pt idx="12">
                        <c:v>124.8</c:v>
                      </c:pt>
                      <c:pt idx="13">
                        <c:v>141.69999999999999</c:v>
                      </c:pt>
                      <c:pt idx="14">
                        <c:v>146.79</c:v>
                      </c:pt>
                      <c:pt idx="16">
                        <c:v>161.31</c:v>
                      </c:pt>
                      <c:pt idx="17">
                        <c:v>170.72</c:v>
                      </c:pt>
                      <c:pt idx="18">
                        <c:v>175.77</c:v>
                      </c:pt>
                      <c:pt idx="19">
                        <c:v>190.17</c:v>
                      </c:pt>
                      <c:pt idx="20">
                        <c:v>233.18</c:v>
                      </c:pt>
                      <c:pt idx="21">
                        <c:v>276.14</c:v>
                      </c:pt>
                      <c:pt idx="22">
                        <c:v>304.85000000000002</c:v>
                      </c:pt>
                      <c:pt idx="23">
                        <c:v>333.68</c:v>
                      </c:pt>
                      <c:pt idx="24">
                        <c:v>377.21</c:v>
                      </c:pt>
                      <c:pt idx="25">
                        <c:v>421.18</c:v>
                      </c:pt>
                      <c:pt idx="26">
                        <c:v>450.78</c:v>
                      </c:pt>
                    </c:numCache>
                  </c:numRef>
                </c:yVal>
                <c:smooth val="0"/>
                <c:extLst xmlns:c15="http://schemas.microsoft.com/office/drawing/2012/chart">
                  <c:ext xmlns:c16="http://schemas.microsoft.com/office/drawing/2014/chart" uri="{C3380CC4-5D6E-409C-BE32-E72D297353CC}">
                    <c16:uniqueId val="{00000018-48A0-4456-AC6A-C9DAE946B652}"/>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Iron'!$C$7:$AC$7</c15:sqref>
                        </c15:formulaRef>
                      </c:ext>
                    </c:extLst>
                    <c:numCache>
                      <c:formatCode>General</c:formatCode>
                      <c:ptCount val="27"/>
                      <c:pt idx="0">
                        <c:v>34.799999999999997</c:v>
                      </c:pt>
                      <c:pt idx="1">
                        <c:v>66.39</c:v>
                      </c:pt>
                      <c:pt idx="2">
                        <c:v>75.930000000000007</c:v>
                      </c:pt>
                      <c:pt idx="3">
                        <c:v>78.760000000000005</c:v>
                      </c:pt>
                      <c:pt idx="4">
                        <c:v>85.33</c:v>
                      </c:pt>
                      <c:pt idx="5">
                        <c:v>88.12</c:v>
                      </c:pt>
                      <c:pt idx="6">
                        <c:v>94.6</c:v>
                      </c:pt>
                      <c:pt idx="7">
                        <c:v>103.76</c:v>
                      </c:pt>
                      <c:pt idx="8">
                        <c:v>112.83</c:v>
                      </c:pt>
                      <c:pt idx="9">
                        <c:v>115.54</c:v>
                      </c:pt>
                      <c:pt idx="10">
                        <c:v>121.83</c:v>
                      </c:pt>
                      <c:pt idx="11">
                        <c:v>133.41999999999999</c:v>
                      </c:pt>
                      <c:pt idx="12">
                        <c:v>148.44999999999999</c:v>
                      </c:pt>
                      <c:pt idx="13">
                        <c:v>168.5</c:v>
                      </c:pt>
                      <c:pt idx="14">
                        <c:v>174.65</c:v>
                      </c:pt>
                      <c:pt idx="15">
                        <c:v>185.91</c:v>
                      </c:pt>
                      <c:pt idx="16">
                        <c:v>191.95</c:v>
                      </c:pt>
                      <c:pt idx="17">
                        <c:v>203.15</c:v>
                      </c:pt>
                      <c:pt idx="18">
                        <c:v>209.16</c:v>
                      </c:pt>
                      <c:pt idx="19">
                        <c:v>226.29</c:v>
                      </c:pt>
                      <c:pt idx="20">
                        <c:v>277.41000000000003</c:v>
                      </c:pt>
                      <c:pt idx="21">
                        <c:v>328.35</c:v>
                      </c:pt>
                      <c:pt idx="22">
                        <c:v>362.34</c:v>
                      </c:pt>
                      <c:pt idx="23">
                        <c:v>396.42</c:v>
                      </c:pt>
                      <c:pt idx="24">
                        <c:v>447.78</c:v>
                      </c:pt>
                      <c:pt idx="25">
                        <c:v>499.53</c:v>
                      </c:pt>
                      <c:pt idx="26">
                        <c:v>534.29999999999995</c:v>
                      </c:pt>
                    </c:numCache>
                  </c:numRef>
                </c:yVal>
                <c:smooth val="0"/>
                <c:extLst xmlns:c15="http://schemas.microsoft.com/office/drawing/2012/chart">
                  <c:ext xmlns:c16="http://schemas.microsoft.com/office/drawing/2014/chart" uri="{C3380CC4-5D6E-409C-BE32-E72D297353CC}">
                    <c16:uniqueId val="{00000019-48A0-4456-AC6A-C9DAE946B652}"/>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6088852962148769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Exponent </a:t>
            </a:r>
            <a:r>
              <a:rPr lang="de-CH" baseline="0"/>
              <a:t> 2-Säule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0"/>
          <c:order val="0"/>
          <c:tx>
            <c:strRef>
              <c:f>'Arbonia Tabelle'!$Y$3</c:f>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f>'Arbonia Tabelle'!$D$11:$X$11</c:f>
              <c:numCache>
                <c:formatCode>General</c:formatCode>
                <c:ptCount val="21"/>
                <c:pt idx="0">
                  <c:v>1.23</c:v>
                </c:pt>
                <c:pt idx="1">
                  <c:v>1.25</c:v>
                </c:pt>
                <c:pt idx="2">
                  <c:v>1.26</c:v>
                </c:pt>
                <c:pt idx="3">
                  <c:v>1.31</c:v>
                </c:pt>
                <c:pt idx="4">
                  <c:v>1.31</c:v>
                </c:pt>
                <c:pt idx="5">
                  <c:v>1.31</c:v>
                </c:pt>
                <c:pt idx="6">
                  <c:v>1.31</c:v>
                </c:pt>
                <c:pt idx="7">
                  <c:v>1.31</c:v>
                </c:pt>
                <c:pt idx="8">
                  <c:v>1.31</c:v>
                </c:pt>
                <c:pt idx="9">
                  <c:v>1.31</c:v>
                </c:pt>
                <c:pt idx="10">
                  <c:v>1.31</c:v>
                </c:pt>
                <c:pt idx="11">
                  <c:v>1.32</c:v>
                </c:pt>
                <c:pt idx="12">
                  <c:v>1.32</c:v>
                </c:pt>
                <c:pt idx="13">
                  <c:v>1.32</c:v>
                </c:pt>
                <c:pt idx="14">
                  <c:v>1.32</c:v>
                </c:pt>
                <c:pt idx="15">
                  <c:v>1.32</c:v>
                </c:pt>
                <c:pt idx="16">
                  <c:v>1.32</c:v>
                </c:pt>
                <c:pt idx="17">
                  <c:v>1.32</c:v>
                </c:pt>
                <c:pt idx="18">
                  <c:v>1.32</c:v>
                </c:pt>
                <c:pt idx="19">
                  <c:v>1.33</c:v>
                </c:pt>
                <c:pt idx="20">
                  <c:v>1.33</c:v>
                </c:pt>
              </c:numCache>
            </c:numRef>
          </c:yVal>
          <c:smooth val="0"/>
          <c:extLst>
            <c:ext xmlns:c16="http://schemas.microsoft.com/office/drawing/2014/chart" uri="{C3380CC4-5D6E-409C-BE32-E72D297353CC}">
              <c16:uniqueId val="{00000000-E6A6-4B87-8089-8C4A788D5A63}"/>
            </c:ext>
          </c:extLst>
        </c:ser>
        <c:ser>
          <c:idx val="5"/>
          <c:order val="5"/>
          <c:tx>
            <c:strRef>
              <c:f>'Zehnder Charl. Tabelle'!$W$4</c:f>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f>'Zehnder Charl. Tabelle'!$C$2:$V$2</c:f>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f>'Zehnder Charl. Tabelle'!$C$13:$V$13</c:f>
              <c:numCache>
                <c:formatCode>General</c:formatCode>
                <c:ptCount val="20"/>
                <c:pt idx="0">
                  <c:v>1.27</c:v>
                </c:pt>
                <c:pt idx="1">
                  <c:v>1.27</c:v>
                </c:pt>
                <c:pt idx="2">
                  <c:v>1.26</c:v>
                </c:pt>
                <c:pt idx="3">
                  <c:v>1.26</c:v>
                </c:pt>
                <c:pt idx="4">
                  <c:v>1.26</c:v>
                </c:pt>
                <c:pt idx="5">
                  <c:v>1.25</c:v>
                </c:pt>
                <c:pt idx="6">
                  <c:v>1.25</c:v>
                </c:pt>
                <c:pt idx="7">
                  <c:v>1.25</c:v>
                </c:pt>
                <c:pt idx="8">
                  <c:v>1.24</c:v>
                </c:pt>
                <c:pt idx="9">
                  <c:v>1.23</c:v>
                </c:pt>
                <c:pt idx="10">
                  <c:v>1.22</c:v>
                </c:pt>
                <c:pt idx="11">
                  <c:v>1.21</c:v>
                </c:pt>
                <c:pt idx="12">
                  <c:v>1.3</c:v>
                </c:pt>
                <c:pt idx="13">
                  <c:v>1.29</c:v>
                </c:pt>
                <c:pt idx="14">
                  <c:v>1.29</c:v>
                </c:pt>
                <c:pt idx="15">
                  <c:v>1.28</c:v>
                </c:pt>
                <c:pt idx="16">
                  <c:v>1.28</c:v>
                </c:pt>
                <c:pt idx="17">
                  <c:v>1.28</c:v>
                </c:pt>
                <c:pt idx="18">
                  <c:v>1.27</c:v>
                </c:pt>
                <c:pt idx="19">
                  <c:v>1.27</c:v>
                </c:pt>
              </c:numCache>
            </c:numRef>
          </c:yVal>
          <c:smooth val="0"/>
          <c:extLst>
            <c:ext xmlns:c16="http://schemas.microsoft.com/office/drawing/2014/chart" uri="{C3380CC4-5D6E-409C-BE32-E72D297353CC}">
              <c16:uniqueId val="{00000001-E6A6-4B87-8089-8C4A788D5A63}"/>
            </c:ext>
          </c:extLst>
        </c:ser>
        <c:ser>
          <c:idx val="3"/>
          <c:order val="10"/>
          <c:tx>
            <c:strRef>
              <c:f>'IRSAP Tabelle'!$AD$3</c:f>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f>'IRSAP Tabelle'!$C$11:$AC$11</c:f>
              <c:numCache>
                <c:formatCode>General</c:formatCode>
                <c:ptCount val="27"/>
                <c:pt idx="0">
                  <c:v>1.25</c:v>
                </c:pt>
                <c:pt idx="1">
                  <c:v>1.24</c:v>
                </c:pt>
                <c:pt idx="2">
                  <c:v>1.24</c:v>
                </c:pt>
                <c:pt idx="3">
                  <c:v>1.24</c:v>
                </c:pt>
                <c:pt idx="4">
                  <c:v>1.25</c:v>
                </c:pt>
                <c:pt idx="5">
                  <c:v>1.25</c:v>
                </c:pt>
                <c:pt idx="6">
                  <c:v>1.25</c:v>
                </c:pt>
                <c:pt idx="7">
                  <c:v>1.26</c:v>
                </c:pt>
                <c:pt idx="8">
                  <c:v>1.26</c:v>
                </c:pt>
                <c:pt idx="9">
                  <c:v>1.26</c:v>
                </c:pt>
                <c:pt idx="10">
                  <c:v>1.26</c:v>
                </c:pt>
                <c:pt idx="11">
                  <c:v>1.27</c:v>
                </c:pt>
                <c:pt idx="12">
                  <c:v>1.27</c:v>
                </c:pt>
                <c:pt idx="13">
                  <c:v>1.27</c:v>
                </c:pt>
                <c:pt idx="14">
                  <c:v>1.27</c:v>
                </c:pt>
                <c:pt idx="15">
                  <c:v>1.28</c:v>
                </c:pt>
                <c:pt idx="16">
                  <c:v>1.28</c:v>
                </c:pt>
                <c:pt idx="17">
                  <c:v>1.28</c:v>
                </c:pt>
                <c:pt idx="18">
                  <c:v>1.29</c:v>
                </c:pt>
                <c:pt idx="19">
                  <c:v>1.29</c:v>
                </c:pt>
                <c:pt idx="20">
                  <c:v>1.29</c:v>
                </c:pt>
                <c:pt idx="21">
                  <c:v>1.31</c:v>
                </c:pt>
                <c:pt idx="22">
                  <c:v>1.33</c:v>
                </c:pt>
                <c:pt idx="23">
                  <c:v>1.33</c:v>
                </c:pt>
                <c:pt idx="24">
                  <c:v>1.32</c:v>
                </c:pt>
                <c:pt idx="25">
                  <c:v>1.31</c:v>
                </c:pt>
                <c:pt idx="26">
                  <c:v>1.29</c:v>
                </c:pt>
              </c:numCache>
            </c:numRef>
          </c:yVal>
          <c:smooth val="0"/>
          <c:extLst>
            <c:ext xmlns:c16="http://schemas.microsoft.com/office/drawing/2014/chart" uri="{C3380CC4-5D6E-409C-BE32-E72D297353CC}">
              <c16:uniqueId val="{00000002-E6A6-4B87-8089-8C4A788D5A63}"/>
            </c:ext>
          </c:extLst>
        </c:ser>
        <c:ser>
          <c:idx val="15"/>
          <c:order val="15"/>
          <c:tx>
            <c:strRef>
              <c:f>'Cordivari Tabelle'!$AC$3</c:f>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f>'Cordivari Tabelle'!$C$11:$AB$11</c:f>
              <c:numCache>
                <c:formatCode>General</c:formatCode>
                <c:ptCount val="26"/>
                <c:pt idx="0">
                  <c:v>1.3029999999999999</c:v>
                </c:pt>
                <c:pt idx="1">
                  <c:v>1.2470000000000001</c:v>
                </c:pt>
                <c:pt idx="2">
                  <c:v>1.2609999999999999</c:v>
                </c:pt>
                <c:pt idx="3">
                  <c:v>1.2749999999999999</c:v>
                </c:pt>
                <c:pt idx="4">
                  <c:v>1.2829999999999999</c:v>
                </c:pt>
                <c:pt idx="5">
                  <c:v>1.2869999999999999</c:v>
                </c:pt>
                <c:pt idx="6">
                  <c:v>1.2889999999999999</c:v>
                </c:pt>
                <c:pt idx="7">
                  <c:v>1.292</c:v>
                </c:pt>
                <c:pt idx="8">
                  <c:v>1.2969999999999999</c:v>
                </c:pt>
                <c:pt idx="9">
                  <c:v>1.2989999999999999</c:v>
                </c:pt>
                <c:pt idx="10">
                  <c:v>1.31</c:v>
                </c:pt>
                <c:pt idx="11">
                  <c:v>1.3109999999999999</c:v>
                </c:pt>
                <c:pt idx="12">
                  <c:v>1.3149999999999999</c:v>
                </c:pt>
                <c:pt idx="13">
                  <c:v>1.3240000000000001</c:v>
                </c:pt>
                <c:pt idx="14">
                  <c:v>1.327</c:v>
                </c:pt>
                <c:pt idx="15">
                  <c:v>1.3320000000000001</c:v>
                </c:pt>
                <c:pt idx="16">
                  <c:v>1.335</c:v>
                </c:pt>
                <c:pt idx="17">
                  <c:v>1.343</c:v>
                </c:pt>
                <c:pt idx="18">
                  <c:v>1.355</c:v>
                </c:pt>
                <c:pt idx="19">
                  <c:v>1.355</c:v>
                </c:pt>
                <c:pt idx="20">
                  <c:v>1.355</c:v>
                </c:pt>
                <c:pt idx="21">
                  <c:v>1.355</c:v>
                </c:pt>
                <c:pt idx="22">
                  <c:v>1.355</c:v>
                </c:pt>
                <c:pt idx="23">
                  <c:v>1.355</c:v>
                </c:pt>
                <c:pt idx="24">
                  <c:v>1.355</c:v>
                </c:pt>
                <c:pt idx="25">
                  <c:v>1.355</c:v>
                </c:pt>
              </c:numCache>
            </c:numRef>
          </c:yVal>
          <c:smooth val="0"/>
          <c:extLst>
            <c:ext xmlns:c16="http://schemas.microsoft.com/office/drawing/2014/chart" uri="{C3380CC4-5D6E-409C-BE32-E72D297353CC}">
              <c16:uniqueId val="{00000003-E6A6-4B87-8089-8C4A788D5A63}"/>
            </c:ext>
          </c:extLst>
        </c:ser>
        <c:ser>
          <c:idx val="20"/>
          <c:order val="20"/>
          <c:tx>
            <c:strRef>
              <c:f>'FIR Iron'!$AD$3</c:f>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f>'FIR Iron'!$C$11:$AC$11</c:f>
              <c:numCache>
                <c:formatCode>General</c:formatCode>
                <c:ptCount val="27"/>
                <c:pt idx="0">
                  <c:v>1.21</c:v>
                </c:pt>
                <c:pt idx="1">
                  <c:v>1.22</c:v>
                </c:pt>
                <c:pt idx="2">
                  <c:v>1.23</c:v>
                </c:pt>
                <c:pt idx="4">
                  <c:v>1.23</c:v>
                </c:pt>
                <c:pt idx="6">
                  <c:v>1.23</c:v>
                </c:pt>
                <c:pt idx="7">
                  <c:v>1.24</c:v>
                </c:pt>
                <c:pt idx="8">
                  <c:v>1.24</c:v>
                </c:pt>
                <c:pt idx="9">
                  <c:v>1.24</c:v>
                </c:pt>
                <c:pt idx="10">
                  <c:v>1.24</c:v>
                </c:pt>
                <c:pt idx="11">
                  <c:v>1.25</c:v>
                </c:pt>
                <c:pt idx="12">
                  <c:v>1.25</c:v>
                </c:pt>
                <c:pt idx="13">
                  <c:v>1.26</c:v>
                </c:pt>
                <c:pt idx="14">
                  <c:v>1.26</c:v>
                </c:pt>
                <c:pt idx="15">
                  <c:v>1.27</c:v>
                </c:pt>
                <c:pt idx="16">
                  <c:v>1.27</c:v>
                </c:pt>
                <c:pt idx="18">
                  <c:v>1.28</c:v>
                </c:pt>
                <c:pt idx="19">
                  <c:v>1.28</c:v>
                </c:pt>
                <c:pt idx="20">
                  <c:v>1.3</c:v>
                </c:pt>
                <c:pt idx="21">
                  <c:v>1.32</c:v>
                </c:pt>
                <c:pt idx="22">
                  <c:v>1.33</c:v>
                </c:pt>
                <c:pt idx="23">
                  <c:v>1.34</c:v>
                </c:pt>
                <c:pt idx="24">
                  <c:v>1.34</c:v>
                </c:pt>
                <c:pt idx="25">
                  <c:v>1.34</c:v>
                </c:pt>
                <c:pt idx="26">
                  <c:v>1.3</c:v>
                </c:pt>
              </c:numCache>
            </c:numRef>
          </c:yVal>
          <c:smooth val="0"/>
          <c:extLst>
            <c:ext xmlns:c16="http://schemas.microsoft.com/office/drawing/2014/chart" uri="{C3380CC4-5D6E-409C-BE32-E72D297353CC}">
              <c16:uniqueId val="{00000004-E6A6-4B87-8089-8C4A788D5A63}"/>
            </c:ext>
          </c:extLst>
        </c:ser>
        <c:ser>
          <c:idx val="25"/>
          <c:order val="25"/>
          <c:tx>
            <c:strRef>
              <c:f>'Exponent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trendline>
            <c:spPr>
              <a:ln w="19050" cap="rnd">
                <a:solidFill>
                  <a:schemeClr val="accent2">
                    <a:lumMod val="60000"/>
                    <a:lumOff val="40000"/>
                  </a:schemeClr>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'Exponent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'Exponent alle'!$B$48:$U$48</c:f>
              <c:numCache>
                <c:formatCode>0.00</c:formatCode>
                <c:ptCount val="20"/>
                <c:pt idx="0">
                  <c:v>1.26</c:v>
                </c:pt>
                <c:pt idx="1">
                  <c:v>1.2474000000000001</c:v>
                </c:pt>
                <c:pt idx="2">
                  <c:v>1.2600000000000002</c:v>
                </c:pt>
                <c:pt idx="3">
                  <c:v>1.2622</c:v>
                </c:pt>
                <c:pt idx="4">
                  <c:v>1.2625000000000002</c:v>
                </c:pt>
                <c:pt idx="5">
                  <c:v>1.2650000000000001</c:v>
                </c:pt>
                <c:pt idx="6">
                  <c:v>1.2685999999999999</c:v>
                </c:pt>
                <c:pt idx="7">
                  <c:v>1.2698</c:v>
                </c:pt>
                <c:pt idx="8">
                  <c:v>1.276</c:v>
                </c:pt>
                <c:pt idx="9">
                  <c:v>1.2725</c:v>
                </c:pt>
                <c:pt idx="10">
                  <c:v>1.2870000000000001</c:v>
                </c:pt>
                <c:pt idx="11">
                  <c:v>1.2700000000000002</c:v>
                </c:pt>
                <c:pt idx="12">
                  <c:v>1.3106</c:v>
                </c:pt>
                <c:pt idx="13">
                  <c:v>1.319</c:v>
                </c:pt>
                <c:pt idx="14">
                  <c:v>1.323</c:v>
                </c:pt>
                <c:pt idx="15">
                  <c:v>1.3210000000000002</c:v>
                </c:pt>
                <c:pt idx="16">
                  <c:v>1.3210000000000002</c:v>
                </c:pt>
                <c:pt idx="17">
                  <c:v>1.3169999999999999</c:v>
                </c:pt>
                <c:pt idx="18">
                  <c:v>1.3133333333333335</c:v>
                </c:pt>
                <c:pt idx="19">
                  <c:v>1.3</c:v>
                </c:pt>
              </c:numCache>
            </c:numRef>
          </c:yVal>
          <c:smooth val="0"/>
          <c:extLst>
            <c:ext xmlns:c16="http://schemas.microsoft.com/office/drawing/2014/chart" uri="{C3380CC4-5D6E-409C-BE32-E72D297353CC}">
              <c16:uniqueId val="{00000005-E6A6-4B87-8089-8C4A788D5A63}"/>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1"/>
                <c:order val="1"/>
                <c:tx>
                  <c:strRef>
                    <c:extLst>
                      <c:ex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Tabelle'!$D$12:$X$12</c15:sqref>
                        </c15:formulaRef>
                      </c:ext>
                    </c:extLst>
                    <c:numCache>
                      <c:formatCode>General</c:formatCode>
                      <c:ptCount val="21"/>
                      <c:pt idx="0">
                        <c:v>1.27</c:v>
                      </c:pt>
                      <c:pt idx="1">
                        <c:v>1.31</c:v>
                      </c:pt>
                      <c:pt idx="2">
                        <c:v>1.33</c:v>
                      </c:pt>
                      <c:pt idx="3">
                        <c:v>1.36</c:v>
                      </c:pt>
                      <c:pt idx="4">
                        <c:v>1.36</c:v>
                      </c:pt>
                      <c:pt idx="5">
                        <c:v>1.36</c:v>
                      </c:pt>
                      <c:pt idx="6">
                        <c:v>1.36</c:v>
                      </c:pt>
                      <c:pt idx="7">
                        <c:v>1.36</c:v>
                      </c:pt>
                      <c:pt idx="8">
                        <c:v>1.36</c:v>
                      </c:pt>
                      <c:pt idx="9">
                        <c:v>1.36</c:v>
                      </c:pt>
                      <c:pt idx="10">
                        <c:v>1.36</c:v>
                      </c:pt>
                      <c:pt idx="11">
                        <c:v>1.36</c:v>
                      </c:pt>
                      <c:pt idx="12">
                        <c:v>1.35</c:v>
                      </c:pt>
                      <c:pt idx="13">
                        <c:v>1.35</c:v>
                      </c:pt>
                      <c:pt idx="14">
                        <c:v>1.35</c:v>
                      </c:pt>
                      <c:pt idx="15">
                        <c:v>1.35</c:v>
                      </c:pt>
                      <c:pt idx="16">
                        <c:v>1.34</c:v>
                      </c:pt>
                      <c:pt idx="17">
                        <c:v>1.34</c:v>
                      </c:pt>
                      <c:pt idx="18">
                        <c:v>1.34</c:v>
                      </c:pt>
                      <c:pt idx="19">
                        <c:v>1.34</c:v>
                      </c:pt>
                      <c:pt idx="20">
                        <c:v>1.33</c:v>
                      </c:pt>
                    </c:numCache>
                  </c:numRef>
                </c:yVal>
                <c:smooth val="0"/>
                <c:extLst>
                  <c:ext xmlns:c16="http://schemas.microsoft.com/office/drawing/2014/chart" uri="{C3380CC4-5D6E-409C-BE32-E72D297353CC}">
                    <c16:uniqueId val="{00000006-E6A6-4B87-8089-8C4A788D5A63}"/>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xmlns:c15="http://schemas.microsoft.com/office/drawing/2012/chart" uri="{02D57815-91ED-43cb-92C2-25804820EDAC}">
                        <c15:formulaRef>
                          <c15:sqref>'Arbonia Tabelle'!$D$13:$X$13</c15:sqref>
                        </c15:formulaRef>
                      </c:ext>
                    </c:extLst>
                    <c:numCache>
                      <c:formatCode>General</c:formatCode>
                      <c:ptCount val="21"/>
                      <c:pt idx="0">
                        <c:v>1.25</c:v>
                      </c:pt>
                      <c:pt idx="1">
                        <c:v>1.3</c:v>
                      </c:pt>
                      <c:pt idx="2">
                        <c:v>1.33</c:v>
                      </c:pt>
                      <c:pt idx="3">
                        <c:v>1.35</c:v>
                      </c:pt>
                      <c:pt idx="4">
                        <c:v>1.35</c:v>
                      </c:pt>
                      <c:pt idx="5">
                        <c:v>1.35</c:v>
                      </c:pt>
                      <c:pt idx="6">
                        <c:v>1.35</c:v>
                      </c:pt>
                      <c:pt idx="7">
                        <c:v>1.35</c:v>
                      </c:pt>
                      <c:pt idx="8">
                        <c:v>1.35</c:v>
                      </c:pt>
                      <c:pt idx="9">
                        <c:v>1.35</c:v>
                      </c:pt>
                      <c:pt idx="10">
                        <c:v>1.35</c:v>
                      </c:pt>
                      <c:pt idx="11">
                        <c:v>1.35</c:v>
                      </c:pt>
                      <c:pt idx="12">
                        <c:v>1.35</c:v>
                      </c:pt>
                      <c:pt idx="13">
                        <c:v>1.35</c:v>
                      </c:pt>
                      <c:pt idx="14">
                        <c:v>1.35</c:v>
                      </c:pt>
                      <c:pt idx="15">
                        <c:v>1.34</c:v>
                      </c:pt>
                      <c:pt idx="16">
                        <c:v>1.34</c:v>
                      </c:pt>
                      <c:pt idx="17">
                        <c:v>1.34</c:v>
                      </c:pt>
                      <c:pt idx="18">
                        <c:v>1.34</c:v>
                      </c:pt>
                      <c:pt idx="19">
                        <c:v>1.34</c:v>
                      </c:pt>
                      <c:pt idx="20">
                        <c:v>1.34</c:v>
                      </c:pt>
                    </c:numCache>
                  </c:numRef>
                </c:yVal>
                <c:smooth val="0"/>
                <c:extLst xmlns:c15="http://schemas.microsoft.com/office/drawing/2012/chart">
                  <c:ext xmlns:c16="http://schemas.microsoft.com/office/drawing/2014/chart" uri="{C3380CC4-5D6E-409C-BE32-E72D297353CC}">
                    <c16:uniqueId val="{00000007-E6A6-4B87-8089-8C4A788D5A63}"/>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xmlns:c15="http://schemas.microsoft.com/office/drawing/2012/chart" uri="{02D57815-91ED-43cb-92C2-25804820EDAC}">
                        <c15:formulaRef>
                          <c15:sqref>'Arbonia Tabelle'!$D$14:$X$14</c15:sqref>
                        </c15:formulaRef>
                      </c:ext>
                    </c:extLst>
                    <c:numCache>
                      <c:formatCode>General</c:formatCode>
                      <c:ptCount val="21"/>
                      <c:pt idx="0">
                        <c:v>0</c:v>
                      </c:pt>
                      <c:pt idx="1">
                        <c:v>1.33</c:v>
                      </c:pt>
                      <c:pt idx="2">
                        <c:v>1.36</c:v>
                      </c:pt>
                      <c:pt idx="3">
                        <c:v>1.39</c:v>
                      </c:pt>
                      <c:pt idx="4">
                        <c:v>1.39</c:v>
                      </c:pt>
                      <c:pt idx="5">
                        <c:v>1.39</c:v>
                      </c:pt>
                      <c:pt idx="6">
                        <c:v>1.39</c:v>
                      </c:pt>
                      <c:pt idx="7">
                        <c:v>1.39</c:v>
                      </c:pt>
                      <c:pt idx="8">
                        <c:v>1.39</c:v>
                      </c:pt>
                      <c:pt idx="9">
                        <c:v>1.39</c:v>
                      </c:pt>
                      <c:pt idx="10">
                        <c:v>1.39</c:v>
                      </c:pt>
                      <c:pt idx="11">
                        <c:v>1.38</c:v>
                      </c:pt>
                      <c:pt idx="12">
                        <c:v>1.38</c:v>
                      </c:pt>
                      <c:pt idx="13">
                        <c:v>1.38</c:v>
                      </c:pt>
                      <c:pt idx="14">
                        <c:v>1.37</c:v>
                      </c:pt>
                      <c:pt idx="15">
                        <c:v>1.37</c:v>
                      </c:pt>
                      <c:pt idx="16">
                        <c:v>1.37</c:v>
                      </c:pt>
                      <c:pt idx="17">
                        <c:v>1.36</c:v>
                      </c:pt>
                      <c:pt idx="18">
                        <c:v>1.36</c:v>
                      </c:pt>
                      <c:pt idx="19">
                        <c:v>1.35</c:v>
                      </c:pt>
                      <c:pt idx="20">
                        <c:v>1.35</c:v>
                      </c:pt>
                    </c:numCache>
                  </c:numRef>
                </c:yVal>
                <c:smooth val="0"/>
                <c:extLst xmlns:c15="http://schemas.microsoft.com/office/drawing/2012/chart">
                  <c:ext xmlns:c16="http://schemas.microsoft.com/office/drawing/2014/chart" uri="{C3380CC4-5D6E-409C-BE32-E72D297353CC}">
                    <c16:uniqueId val="{00000008-E6A6-4B87-8089-8C4A788D5A63}"/>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xmlns:c15="http://schemas.microsoft.com/office/drawing/2012/chart" uri="{02D57815-91ED-43cb-92C2-25804820EDAC}">
                        <c15:formulaRef>
                          <c15:sqref>'Arbonia Tabelle'!$D$15:$X$15</c15:sqref>
                        </c15:formulaRef>
                      </c:ext>
                    </c:extLst>
                    <c:numCache>
                      <c:formatCode>General</c:formatCode>
                      <c:ptCount val="21"/>
                      <c:pt idx="0">
                        <c:v>0</c:v>
                      </c:pt>
                      <c:pt idx="1">
                        <c:v>1.36</c:v>
                      </c:pt>
                      <c:pt idx="2">
                        <c:v>1.39</c:v>
                      </c:pt>
                      <c:pt idx="3">
                        <c:v>1.41</c:v>
                      </c:pt>
                      <c:pt idx="4">
                        <c:v>1.41</c:v>
                      </c:pt>
                      <c:pt idx="5">
                        <c:v>1.41</c:v>
                      </c:pt>
                      <c:pt idx="6">
                        <c:v>1.41</c:v>
                      </c:pt>
                      <c:pt idx="7">
                        <c:v>1.41</c:v>
                      </c:pt>
                      <c:pt idx="8">
                        <c:v>1.41</c:v>
                      </c:pt>
                      <c:pt idx="9">
                        <c:v>1.4</c:v>
                      </c:pt>
                      <c:pt idx="10">
                        <c:v>1.4</c:v>
                      </c:pt>
                      <c:pt idx="11">
                        <c:v>1.4</c:v>
                      </c:pt>
                      <c:pt idx="12">
                        <c:v>1.4</c:v>
                      </c:pt>
                      <c:pt idx="13">
                        <c:v>1.4</c:v>
                      </c:pt>
                      <c:pt idx="14">
                        <c:v>1.4</c:v>
                      </c:pt>
                      <c:pt idx="15">
                        <c:v>1.39</c:v>
                      </c:pt>
                      <c:pt idx="16">
                        <c:v>1.39</c:v>
                      </c:pt>
                      <c:pt idx="17">
                        <c:v>1.39</c:v>
                      </c:pt>
                      <c:pt idx="18">
                        <c:v>1.39</c:v>
                      </c:pt>
                      <c:pt idx="19">
                        <c:v>1.38</c:v>
                      </c:pt>
                      <c:pt idx="20">
                        <c:v>1.38</c:v>
                      </c:pt>
                    </c:numCache>
                  </c:numRef>
                </c:yVal>
                <c:smooth val="0"/>
                <c:extLst xmlns:c15="http://schemas.microsoft.com/office/drawing/2012/chart">
                  <c:ext xmlns:c16="http://schemas.microsoft.com/office/drawing/2014/chart" uri="{C3380CC4-5D6E-409C-BE32-E72D297353CC}">
                    <c16:uniqueId val="{00000009-E6A6-4B87-8089-8C4A788D5A63}"/>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c:ext xmlns:c15="http://schemas.microsoft.com/office/drawing/2012/chart" uri="{02D57815-91ED-43cb-92C2-25804820EDAC}">
                        <c15:formulaRef>
                          <c15:sqref>'Zehnder Charl. Tabelle'!$C$14:$V$14</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A-E6A6-4B87-8089-8C4A788D5A63}"/>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c:ext xmlns:c15="http://schemas.microsoft.com/office/drawing/2012/chart" uri="{02D57815-91ED-43cb-92C2-25804820EDAC}">
                        <c15:formulaRef>
                          <c15:sqref>'Zehnder Charl. Tabelle'!$C$15:$V$15</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B-E6A6-4B87-8089-8C4A788D5A63}"/>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c:ext xmlns:c15="http://schemas.microsoft.com/office/drawing/2012/chart" uri="{02D57815-91ED-43cb-92C2-25804820EDAC}">
                        <c15:formulaRef>
                          <c15:sqref>'Zehnder Charl. Tabelle'!$C$16:$V$16</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C-E6A6-4B87-8089-8C4A788D5A63}"/>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c:ext xmlns:c15="http://schemas.microsoft.com/office/drawing/2012/chart" uri="{02D57815-91ED-43cb-92C2-25804820EDAC}">
                        <c15:formulaRef>
                          <c15:sqref>'Zehnder Charl. Tabelle'!$C$17:$V$17</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1.25</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D-E6A6-4B87-8089-8C4A788D5A63}"/>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c:ext xmlns:c15="http://schemas.microsoft.com/office/drawing/2012/chart" uri="{02D57815-91ED-43cb-92C2-25804820EDAC}">
                        <c15:formulaRef>
                          <c15:sqref>'IRSAP Tabelle'!$C$12:$AC$12</c15:sqref>
                        </c15:formulaRef>
                      </c:ext>
                    </c:extLst>
                    <c:numCache>
                      <c:formatCode>General</c:formatCode>
                      <c:ptCount val="27"/>
                      <c:pt idx="0">
                        <c:v>1.29</c:v>
                      </c:pt>
                      <c:pt idx="1">
                        <c:v>1.25</c:v>
                      </c:pt>
                      <c:pt idx="2">
                        <c:v>1.25</c:v>
                      </c:pt>
                      <c:pt idx="3">
                        <c:v>1.26</c:v>
                      </c:pt>
                      <c:pt idx="4">
                        <c:v>1.26</c:v>
                      </c:pt>
                      <c:pt idx="5">
                        <c:v>1.26</c:v>
                      </c:pt>
                      <c:pt idx="6">
                        <c:v>1.27</c:v>
                      </c:pt>
                      <c:pt idx="7">
                        <c:v>1.27</c:v>
                      </c:pt>
                      <c:pt idx="8">
                        <c:v>1.28</c:v>
                      </c:pt>
                      <c:pt idx="9">
                        <c:v>1.28</c:v>
                      </c:pt>
                      <c:pt idx="10">
                        <c:v>1.28</c:v>
                      </c:pt>
                      <c:pt idx="11">
                        <c:v>1.29</c:v>
                      </c:pt>
                      <c:pt idx="12">
                        <c:v>1.29</c:v>
                      </c:pt>
                      <c:pt idx="13">
                        <c:v>1.29</c:v>
                      </c:pt>
                      <c:pt idx="14">
                        <c:v>1.3</c:v>
                      </c:pt>
                      <c:pt idx="15">
                        <c:v>1.3</c:v>
                      </c:pt>
                      <c:pt idx="16">
                        <c:v>1.3</c:v>
                      </c:pt>
                      <c:pt idx="17">
                        <c:v>1.31</c:v>
                      </c:pt>
                      <c:pt idx="18">
                        <c:v>1.31</c:v>
                      </c:pt>
                      <c:pt idx="19">
                        <c:v>1.31</c:v>
                      </c:pt>
                      <c:pt idx="20">
                        <c:v>1.32</c:v>
                      </c:pt>
                      <c:pt idx="21">
                        <c:v>1.32</c:v>
                      </c:pt>
                      <c:pt idx="22">
                        <c:v>1.33</c:v>
                      </c:pt>
                      <c:pt idx="23">
                        <c:v>1.33</c:v>
                      </c:pt>
                      <c:pt idx="24">
                        <c:v>1.3180000000000001</c:v>
                      </c:pt>
                      <c:pt idx="25">
                        <c:v>1.31</c:v>
                      </c:pt>
                      <c:pt idx="26">
                        <c:v>1.2989999999999999</c:v>
                      </c:pt>
                    </c:numCache>
                  </c:numRef>
                </c:yVal>
                <c:smooth val="0"/>
                <c:extLst xmlns:c15="http://schemas.microsoft.com/office/drawing/2012/chart">
                  <c:ext xmlns:c16="http://schemas.microsoft.com/office/drawing/2014/chart" uri="{C3380CC4-5D6E-409C-BE32-E72D297353CC}">
                    <c16:uniqueId val="{0000000E-E6A6-4B87-8089-8C4A788D5A63}"/>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c:ext xmlns:c15="http://schemas.microsoft.com/office/drawing/2012/chart" uri="{02D57815-91ED-43cb-92C2-25804820EDAC}">
                        <c15:formulaRef>
                          <c15:sqref>'IRSAP Tabelle'!$C$13:$AC$13</c15:sqref>
                        </c15:formulaRef>
                      </c:ext>
                    </c:extLst>
                    <c:numCache>
                      <c:formatCode>General</c:formatCode>
                      <c:ptCount val="27"/>
                      <c:pt idx="0">
                        <c:v>1.3260000000000001</c:v>
                      </c:pt>
                      <c:pt idx="1">
                        <c:v>1.258</c:v>
                      </c:pt>
                      <c:pt idx="2">
                        <c:v>1.2649999999999999</c:v>
                      </c:pt>
                      <c:pt idx="3">
                        <c:v>1.2669999999999999</c:v>
                      </c:pt>
                      <c:pt idx="4">
                        <c:v>1.272</c:v>
                      </c:pt>
                      <c:pt idx="5">
                        <c:v>1.2789999999999999</c:v>
                      </c:pt>
                      <c:pt idx="6">
                        <c:v>1.286</c:v>
                      </c:pt>
                      <c:pt idx="7">
                        <c:v>1.2909999999999999</c:v>
                      </c:pt>
                      <c:pt idx="8">
                        <c:v>1.2929999999999999</c:v>
                      </c:pt>
                      <c:pt idx="9">
                        <c:v>1.296</c:v>
                      </c:pt>
                      <c:pt idx="10">
                        <c:v>1.3</c:v>
                      </c:pt>
                      <c:pt idx="11">
                        <c:v>1.3069999999999999</c:v>
                      </c:pt>
                      <c:pt idx="12">
                        <c:v>1.31</c:v>
                      </c:pt>
                      <c:pt idx="13">
                        <c:v>1.3120000000000001</c:v>
                      </c:pt>
                      <c:pt idx="14">
                        <c:v>1.3220000000000001</c:v>
                      </c:pt>
                      <c:pt idx="15">
                        <c:v>1.3240000000000001</c:v>
                      </c:pt>
                      <c:pt idx="16">
                        <c:v>1.331</c:v>
                      </c:pt>
                      <c:pt idx="17">
                        <c:v>1.3380000000000001</c:v>
                      </c:pt>
                      <c:pt idx="18">
                        <c:v>1.341</c:v>
                      </c:pt>
                      <c:pt idx="19">
                        <c:v>1.343</c:v>
                      </c:pt>
                      <c:pt idx="20">
                        <c:v>1.34</c:v>
                      </c:pt>
                      <c:pt idx="21">
                        <c:v>1.335</c:v>
                      </c:pt>
                      <c:pt idx="22">
                        <c:v>1.3280000000000001</c:v>
                      </c:pt>
                      <c:pt idx="23">
                        <c:v>1.321</c:v>
                      </c:pt>
                      <c:pt idx="24">
                        <c:v>1.3169999999999999</c:v>
                      </c:pt>
                      <c:pt idx="25">
                        <c:v>1.3120000000000001</c:v>
                      </c:pt>
                      <c:pt idx="26">
                        <c:v>1.306</c:v>
                      </c:pt>
                    </c:numCache>
                  </c:numRef>
                </c:yVal>
                <c:smooth val="0"/>
                <c:extLst xmlns:c15="http://schemas.microsoft.com/office/drawing/2012/chart">
                  <c:ext xmlns:c16="http://schemas.microsoft.com/office/drawing/2014/chart" uri="{C3380CC4-5D6E-409C-BE32-E72D297353CC}">
                    <c16:uniqueId val="{0000000F-E6A6-4B87-8089-8C4A788D5A63}"/>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c:ext xmlns:c15="http://schemas.microsoft.com/office/drawing/2012/chart" uri="{02D57815-91ED-43cb-92C2-25804820EDAC}">
                        <c15:formulaRef>
                          <c15:sqref>'IRSAP Tabelle'!$C$14:$AC$14</c15:sqref>
                        </c15:formulaRef>
                      </c:ext>
                    </c:extLst>
                    <c:numCache>
                      <c:formatCode>General</c:formatCode>
                      <c:ptCount val="27"/>
                      <c:pt idx="0">
                        <c:v>1.35</c:v>
                      </c:pt>
                      <c:pt idx="1">
                        <c:v>1.276</c:v>
                      </c:pt>
                      <c:pt idx="2">
                        <c:v>1.2829999999999999</c:v>
                      </c:pt>
                      <c:pt idx="3">
                        <c:v>1.286</c:v>
                      </c:pt>
                      <c:pt idx="4">
                        <c:v>1.2909999999999999</c:v>
                      </c:pt>
                      <c:pt idx="5">
                        <c:v>1.2989999999999999</c:v>
                      </c:pt>
                      <c:pt idx="6">
                        <c:v>1.3069999999999999</c:v>
                      </c:pt>
                      <c:pt idx="7">
                        <c:v>1.3120000000000001</c:v>
                      </c:pt>
                      <c:pt idx="8">
                        <c:v>1.3149999999999999</c:v>
                      </c:pt>
                      <c:pt idx="9">
                        <c:v>1.3169999999999999</c:v>
                      </c:pt>
                      <c:pt idx="10">
                        <c:v>1.3220000000000001</c:v>
                      </c:pt>
                      <c:pt idx="11">
                        <c:v>1.33</c:v>
                      </c:pt>
                      <c:pt idx="12">
                        <c:v>1.333</c:v>
                      </c:pt>
                      <c:pt idx="13">
                        <c:v>1.3360000000000001</c:v>
                      </c:pt>
                      <c:pt idx="14">
                        <c:v>1.3460000000000001</c:v>
                      </c:pt>
                      <c:pt idx="15">
                        <c:v>1.3480000000000001</c:v>
                      </c:pt>
                      <c:pt idx="16">
                        <c:v>1.3560000000000001</c:v>
                      </c:pt>
                      <c:pt idx="17">
                        <c:v>1.3640000000000001</c:v>
                      </c:pt>
                      <c:pt idx="18">
                        <c:v>1.367</c:v>
                      </c:pt>
                      <c:pt idx="19">
                        <c:v>1.369</c:v>
                      </c:pt>
                      <c:pt idx="20">
                        <c:v>1.3640000000000001</c:v>
                      </c:pt>
                      <c:pt idx="21">
                        <c:v>1.353</c:v>
                      </c:pt>
                      <c:pt idx="22">
                        <c:v>1.337</c:v>
                      </c:pt>
                      <c:pt idx="23">
                        <c:v>1.327</c:v>
                      </c:pt>
                      <c:pt idx="24">
                        <c:v>1.323</c:v>
                      </c:pt>
                      <c:pt idx="25">
                        <c:v>1.32</c:v>
                      </c:pt>
                      <c:pt idx="26">
                        <c:v>1.3140000000000001</c:v>
                      </c:pt>
                    </c:numCache>
                  </c:numRef>
                </c:yVal>
                <c:smooth val="0"/>
                <c:extLst xmlns:c15="http://schemas.microsoft.com/office/drawing/2012/chart">
                  <c:ext xmlns:c16="http://schemas.microsoft.com/office/drawing/2014/chart" uri="{C3380CC4-5D6E-409C-BE32-E72D297353CC}">
                    <c16:uniqueId val="{00000010-E6A6-4B87-8089-8C4A788D5A63}"/>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c:ext xmlns:c15="http://schemas.microsoft.com/office/drawing/2012/chart" uri="{02D57815-91ED-43cb-92C2-25804820EDAC}">
                        <c15:formulaRef>
                          <c15:sqref>'IRSAP Tabelle'!$C$15:$AC$15</c15:sqref>
                        </c15:formulaRef>
                      </c:ext>
                    </c:extLst>
                    <c:numCache>
                      <c:formatCode>General</c:formatCode>
                      <c:ptCount val="27"/>
                      <c:pt idx="0">
                        <c:v>1.3740000000000001</c:v>
                      </c:pt>
                      <c:pt idx="1">
                        <c:v>1.2929999999999999</c:v>
                      </c:pt>
                      <c:pt idx="2">
                        <c:v>1.302</c:v>
                      </c:pt>
                      <c:pt idx="3">
                        <c:v>1.304</c:v>
                      </c:pt>
                      <c:pt idx="4">
                        <c:v>1.31</c:v>
                      </c:pt>
                      <c:pt idx="5">
                        <c:v>1.319</c:v>
                      </c:pt>
                      <c:pt idx="6">
                        <c:v>1.327</c:v>
                      </c:pt>
                      <c:pt idx="7">
                        <c:v>1.333</c:v>
                      </c:pt>
                      <c:pt idx="8">
                        <c:v>1.3360000000000001</c:v>
                      </c:pt>
                      <c:pt idx="9">
                        <c:v>1.339</c:v>
                      </c:pt>
                      <c:pt idx="10">
                        <c:v>1.345</c:v>
                      </c:pt>
                      <c:pt idx="11">
                        <c:v>1.353</c:v>
                      </c:pt>
                      <c:pt idx="12">
                        <c:v>1.3560000000000001</c:v>
                      </c:pt>
                      <c:pt idx="13">
                        <c:v>1.359</c:v>
                      </c:pt>
                      <c:pt idx="14">
                        <c:v>1.37</c:v>
                      </c:pt>
                      <c:pt idx="15">
                        <c:v>1.373</c:v>
                      </c:pt>
                      <c:pt idx="16">
                        <c:v>1.381</c:v>
                      </c:pt>
                      <c:pt idx="17">
                        <c:v>1.39</c:v>
                      </c:pt>
                      <c:pt idx="18">
                        <c:v>1.3939999999999999</c:v>
                      </c:pt>
                      <c:pt idx="19">
                        <c:v>1.3959999999999999</c:v>
                      </c:pt>
                      <c:pt idx="20">
                        <c:v>1.3879999999999999</c:v>
                      </c:pt>
                      <c:pt idx="21">
                        <c:v>1.371</c:v>
                      </c:pt>
                      <c:pt idx="22">
                        <c:v>1.3460000000000001</c:v>
                      </c:pt>
                      <c:pt idx="23">
                        <c:v>1.3340000000000001</c:v>
                      </c:pt>
                      <c:pt idx="24">
                        <c:v>1.33</c:v>
                      </c:pt>
                      <c:pt idx="25">
                        <c:v>1.327</c:v>
                      </c:pt>
                      <c:pt idx="26">
                        <c:v>1.3220000000000001</c:v>
                      </c:pt>
                    </c:numCache>
                  </c:numRef>
                </c:yVal>
                <c:smooth val="0"/>
                <c:extLst xmlns:c15="http://schemas.microsoft.com/office/drawing/2012/chart">
                  <c:ext xmlns:c16="http://schemas.microsoft.com/office/drawing/2014/chart" uri="{C3380CC4-5D6E-409C-BE32-E72D297353CC}">
                    <c16:uniqueId val="{00000011-E6A6-4B87-8089-8C4A788D5A63}"/>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c:ext xmlns:c15="http://schemas.microsoft.com/office/drawing/2012/chart" uri="{02D57815-91ED-43cb-92C2-25804820EDAC}">
                        <c15:formulaRef>
                          <c15:sqref>'Cordivari Tabelle'!$C$12:$AB$12</c15:sqref>
                        </c15:formulaRef>
                      </c:ext>
                    </c:extLst>
                    <c:numCache>
                      <c:formatCode>General</c:formatCode>
                      <c:ptCount val="26"/>
                      <c:pt idx="0">
                        <c:v>1.3140000000000001</c:v>
                      </c:pt>
                      <c:pt idx="1">
                        <c:v>1.2729999999999999</c:v>
                      </c:pt>
                      <c:pt idx="2">
                        <c:v>1.284</c:v>
                      </c:pt>
                      <c:pt idx="3">
                        <c:v>1.296</c:v>
                      </c:pt>
                      <c:pt idx="4">
                        <c:v>1.302</c:v>
                      </c:pt>
                      <c:pt idx="5">
                        <c:v>1.306</c:v>
                      </c:pt>
                      <c:pt idx="6">
                        <c:v>1.3069999999999999</c:v>
                      </c:pt>
                      <c:pt idx="7">
                        <c:v>1.31</c:v>
                      </c:pt>
                      <c:pt idx="8">
                        <c:v>1.3140000000000001</c:v>
                      </c:pt>
                      <c:pt idx="9">
                        <c:v>1.3160000000000001</c:v>
                      </c:pt>
                      <c:pt idx="10">
                        <c:v>1.325</c:v>
                      </c:pt>
                      <c:pt idx="11">
                        <c:v>1.325</c:v>
                      </c:pt>
                      <c:pt idx="12">
                        <c:v>1.329</c:v>
                      </c:pt>
                      <c:pt idx="13">
                        <c:v>1.337</c:v>
                      </c:pt>
                      <c:pt idx="14">
                        <c:v>1.339</c:v>
                      </c:pt>
                      <c:pt idx="15">
                        <c:v>1.343</c:v>
                      </c:pt>
                      <c:pt idx="16">
                        <c:v>1.345</c:v>
                      </c:pt>
                      <c:pt idx="17">
                        <c:v>1.35</c:v>
                      </c:pt>
                      <c:pt idx="18">
                        <c:v>1.359</c:v>
                      </c:pt>
                      <c:pt idx="19">
                        <c:v>1.35</c:v>
                      </c:pt>
                      <c:pt idx="20">
                        <c:v>1.341</c:v>
                      </c:pt>
                      <c:pt idx="21">
                        <c:v>1.3380000000000001</c:v>
                      </c:pt>
                      <c:pt idx="22">
                        <c:v>1.33</c:v>
                      </c:pt>
                      <c:pt idx="23">
                        <c:v>1.3260000000000001</c:v>
                      </c:pt>
                      <c:pt idx="24">
                        <c:v>1.3180000000000001</c:v>
                      </c:pt>
                      <c:pt idx="25">
                        <c:v>1.3009999999999999</c:v>
                      </c:pt>
                    </c:numCache>
                  </c:numRef>
                </c:yVal>
                <c:smooth val="0"/>
                <c:extLst xmlns:c15="http://schemas.microsoft.com/office/drawing/2012/chart">
                  <c:ext xmlns:c16="http://schemas.microsoft.com/office/drawing/2014/chart" uri="{C3380CC4-5D6E-409C-BE32-E72D297353CC}">
                    <c16:uniqueId val="{00000012-E6A6-4B87-8089-8C4A788D5A63}"/>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c:ext xmlns:c15="http://schemas.microsoft.com/office/drawing/2012/chart" uri="{02D57815-91ED-43cb-92C2-25804820EDAC}">
                        <c15:formulaRef>
                          <c15:sqref>'Cordivari Tabelle'!$C$13:$AB$13</c15:sqref>
                        </c15:formulaRef>
                      </c:ext>
                    </c:extLst>
                    <c:numCache>
                      <c:formatCode>General</c:formatCode>
                      <c:ptCount val="26"/>
                      <c:pt idx="0">
                        <c:v>1.3169999999999999</c:v>
                      </c:pt>
                      <c:pt idx="1">
                        <c:v>1.2649999999999999</c:v>
                      </c:pt>
                      <c:pt idx="2">
                        <c:v>1.28</c:v>
                      </c:pt>
                      <c:pt idx="3">
                        <c:v>1.296</c:v>
                      </c:pt>
                      <c:pt idx="4">
                        <c:v>1.3049999999999999</c:v>
                      </c:pt>
                      <c:pt idx="5">
                        <c:v>1.3089999999999999</c:v>
                      </c:pt>
                      <c:pt idx="6">
                        <c:v>1.3120000000000001</c:v>
                      </c:pt>
                      <c:pt idx="7">
                        <c:v>1.3160000000000001</c:v>
                      </c:pt>
                      <c:pt idx="8">
                        <c:v>1.32</c:v>
                      </c:pt>
                      <c:pt idx="9">
                        <c:v>1.3240000000000001</c:v>
                      </c:pt>
                      <c:pt idx="10">
                        <c:v>1.335</c:v>
                      </c:pt>
                      <c:pt idx="11">
                        <c:v>1.3360000000000001</c:v>
                      </c:pt>
                      <c:pt idx="12">
                        <c:v>1.341</c:v>
                      </c:pt>
                      <c:pt idx="13">
                        <c:v>1.3520000000000001</c:v>
                      </c:pt>
                      <c:pt idx="14">
                        <c:v>1.355</c:v>
                      </c:pt>
                      <c:pt idx="15">
                        <c:v>1.3580000000000001</c:v>
                      </c:pt>
                      <c:pt idx="16">
                        <c:v>1.355</c:v>
                      </c:pt>
                      <c:pt idx="17">
                        <c:v>1.3480000000000001</c:v>
                      </c:pt>
                      <c:pt idx="18">
                        <c:v>1.3380000000000001</c:v>
                      </c:pt>
                      <c:pt idx="19">
                        <c:v>1.3460000000000001</c:v>
                      </c:pt>
                      <c:pt idx="20">
                        <c:v>1.353</c:v>
                      </c:pt>
                      <c:pt idx="21">
                        <c:v>1.3560000000000001</c:v>
                      </c:pt>
                      <c:pt idx="22">
                        <c:v>1.3640000000000001</c:v>
                      </c:pt>
                      <c:pt idx="23">
                        <c:v>1.3660000000000001</c:v>
                      </c:pt>
                      <c:pt idx="24">
                        <c:v>1.3740000000000001</c:v>
                      </c:pt>
                      <c:pt idx="25">
                        <c:v>1.389</c:v>
                      </c:pt>
                    </c:numCache>
                  </c:numRef>
                </c:yVal>
                <c:smooth val="0"/>
                <c:extLst xmlns:c15="http://schemas.microsoft.com/office/drawing/2012/chart">
                  <c:ext xmlns:c16="http://schemas.microsoft.com/office/drawing/2014/chart" uri="{C3380CC4-5D6E-409C-BE32-E72D297353CC}">
                    <c16:uniqueId val="{00000013-E6A6-4B87-8089-8C4A788D5A63}"/>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c:ext xmlns:c15="http://schemas.microsoft.com/office/drawing/2012/chart" uri="{02D57815-91ED-43cb-92C2-25804820EDAC}">
                        <c15:formulaRef>
                          <c15:sqref>'Cordivari Tabelle'!$C$14:$AB$14</c15:sqref>
                        </c15:formulaRef>
                      </c:ext>
                    </c:extLst>
                    <c:numCache>
                      <c:formatCode>General</c:formatCode>
                      <c:ptCount val="26"/>
                      <c:pt idx="0">
                        <c:v>1.329</c:v>
                      </c:pt>
                      <c:pt idx="1">
                        <c:v>1.32</c:v>
                      </c:pt>
                      <c:pt idx="2">
                        <c:v>1.323</c:v>
                      </c:pt>
                      <c:pt idx="3">
                        <c:v>1.3260000000000001</c:v>
                      </c:pt>
                      <c:pt idx="4">
                        <c:v>1.3280000000000001</c:v>
                      </c:pt>
                      <c:pt idx="5">
                        <c:v>1.329</c:v>
                      </c:pt>
                      <c:pt idx="6">
                        <c:v>1.329</c:v>
                      </c:pt>
                      <c:pt idx="7">
                        <c:v>1.33</c:v>
                      </c:pt>
                      <c:pt idx="8">
                        <c:v>1.331</c:v>
                      </c:pt>
                      <c:pt idx="9">
                        <c:v>1.3320000000000001</c:v>
                      </c:pt>
                      <c:pt idx="10">
                        <c:v>1.3340000000000001</c:v>
                      </c:pt>
                      <c:pt idx="11">
                        <c:v>1.335</c:v>
                      </c:pt>
                      <c:pt idx="12">
                        <c:v>1.335</c:v>
                      </c:pt>
                      <c:pt idx="13">
                        <c:v>1.3380000000000001</c:v>
                      </c:pt>
                      <c:pt idx="14">
                        <c:v>1.3380000000000001</c:v>
                      </c:pt>
                      <c:pt idx="15">
                        <c:v>1.3420000000000001</c:v>
                      </c:pt>
                      <c:pt idx="16">
                        <c:v>1.3480000000000001</c:v>
                      </c:pt>
                      <c:pt idx="17">
                        <c:v>1.3660000000000001</c:v>
                      </c:pt>
                      <c:pt idx="18">
                        <c:v>1.393</c:v>
                      </c:pt>
                      <c:pt idx="19">
                        <c:v>1.381</c:v>
                      </c:pt>
                      <c:pt idx="20">
                        <c:v>1.37</c:v>
                      </c:pt>
                      <c:pt idx="21">
                        <c:v>1.3660000000000001</c:v>
                      </c:pt>
                      <c:pt idx="22">
                        <c:v>1.3560000000000001</c:v>
                      </c:pt>
                      <c:pt idx="23">
                        <c:v>1.351</c:v>
                      </c:pt>
                      <c:pt idx="24">
                        <c:v>1.341</c:v>
                      </c:pt>
                      <c:pt idx="25">
                        <c:v>1.3180000000000001</c:v>
                      </c:pt>
                    </c:numCache>
                  </c:numRef>
                </c:yVal>
                <c:smooth val="0"/>
                <c:extLst xmlns:c15="http://schemas.microsoft.com/office/drawing/2012/chart">
                  <c:ext xmlns:c16="http://schemas.microsoft.com/office/drawing/2014/chart" uri="{C3380CC4-5D6E-409C-BE32-E72D297353CC}">
                    <c16:uniqueId val="{00000014-E6A6-4B87-8089-8C4A788D5A63}"/>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c:ext xmlns:c15="http://schemas.microsoft.com/office/drawing/2012/chart" uri="{02D57815-91ED-43cb-92C2-25804820EDAC}">
                        <c15:formulaRef>
                          <c15:sqref>'Cordivari Tabelle'!$C$15:$AB$15</c15:sqref>
                        </c15:formulaRef>
                      </c:ext>
                    </c:extLst>
                    <c:numCache>
                      <c:formatCode>General</c:formatCode>
                      <c:ptCount val="26"/>
                      <c:pt idx="0">
                        <c:v>1.3180000000000001</c:v>
                      </c:pt>
                      <c:pt idx="1">
                        <c:v>1.3220000000000001</c:v>
                      </c:pt>
                      <c:pt idx="2">
                        <c:v>1.3129999999999999</c:v>
                      </c:pt>
                      <c:pt idx="3">
                        <c:v>1.3049999999999999</c:v>
                      </c:pt>
                      <c:pt idx="4">
                        <c:v>1.3</c:v>
                      </c:pt>
                      <c:pt idx="5">
                        <c:v>1.298</c:v>
                      </c:pt>
                      <c:pt idx="6">
                        <c:v>1.296</c:v>
                      </c:pt>
                      <c:pt idx="7">
                        <c:v>1.294</c:v>
                      </c:pt>
                      <c:pt idx="8">
                        <c:v>1.292</c:v>
                      </c:pt>
                      <c:pt idx="9">
                        <c:v>1.29</c:v>
                      </c:pt>
                      <c:pt idx="10">
                        <c:v>1.284</c:v>
                      </c:pt>
                      <c:pt idx="11">
                        <c:v>1.2829999999999999</c:v>
                      </c:pt>
                      <c:pt idx="12">
                        <c:v>1.2809999999999999</c:v>
                      </c:pt>
                      <c:pt idx="13">
                        <c:v>1.2749999999999999</c:v>
                      </c:pt>
                      <c:pt idx="14">
                        <c:v>1.2729999999999999</c:v>
                      </c:pt>
                      <c:pt idx="15">
                        <c:v>1.2769999999999999</c:v>
                      </c:pt>
                      <c:pt idx="16">
                        <c:v>1.296</c:v>
                      </c:pt>
                      <c:pt idx="17">
                        <c:v>1.345</c:v>
                      </c:pt>
                      <c:pt idx="18">
                        <c:v>1.4179999999999999</c:v>
                      </c:pt>
                      <c:pt idx="19">
                        <c:v>1.407</c:v>
                      </c:pt>
                      <c:pt idx="20">
                        <c:v>1.3959999999999999</c:v>
                      </c:pt>
                      <c:pt idx="21">
                        <c:v>1.3919999999999999</c:v>
                      </c:pt>
                      <c:pt idx="22">
                        <c:v>1.3819999999999999</c:v>
                      </c:pt>
                      <c:pt idx="23">
                        <c:v>1.3779999999999999</c:v>
                      </c:pt>
                      <c:pt idx="24">
                        <c:v>1.367</c:v>
                      </c:pt>
                      <c:pt idx="25">
                        <c:v>1.345</c:v>
                      </c:pt>
                    </c:numCache>
                  </c:numRef>
                </c:yVal>
                <c:smooth val="0"/>
                <c:extLst xmlns:c15="http://schemas.microsoft.com/office/drawing/2012/chart">
                  <c:ext xmlns:c16="http://schemas.microsoft.com/office/drawing/2014/chart" uri="{C3380CC4-5D6E-409C-BE32-E72D297353CC}">
                    <c16:uniqueId val="{00000015-E6A6-4B87-8089-8C4A788D5A63}"/>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c:ext xmlns:c15="http://schemas.microsoft.com/office/drawing/2012/chart" uri="{02D57815-91ED-43cb-92C2-25804820EDAC}">
                        <c15:formulaRef>
                          <c15:sqref>'FIR Iron'!$C$12:$AC$12</c15:sqref>
                        </c15:formulaRef>
                      </c:ext>
                    </c:extLst>
                    <c:numCache>
                      <c:formatCode>General</c:formatCode>
                      <c:ptCount val="27"/>
                      <c:pt idx="0">
                        <c:v>1.22</c:v>
                      </c:pt>
                      <c:pt idx="1">
                        <c:v>1.23</c:v>
                      </c:pt>
                      <c:pt idx="2">
                        <c:v>1.23</c:v>
                      </c:pt>
                      <c:pt idx="3">
                        <c:v>1.23</c:v>
                      </c:pt>
                      <c:pt idx="4">
                        <c:v>1.24</c:v>
                      </c:pt>
                      <c:pt idx="5">
                        <c:v>1.24</c:v>
                      </c:pt>
                      <c:pt idx="6">
                        <c:v>1.24</c:v>
                      </c:pt>
                      <c:pt idx="7">
                        <c:v>1.25</c:v>
                      </c:pt>
                      <c:pt idx="8">
                        <c:v>1.26</c:v>
                      </c:pt>
                      <c:pt idx="9">
                        <c:v>1.26</c:v>
                      </c:pt>
                      <c:pt idx="10">
                        <c:v>1.26</c:v>
                      </c:pt>
                      <c:pt idx="11">
                        <c:v>1.27</c:v>
                      </c:pt>
                      <c:pt idx="12">
                        <c:v>1.28</c:v>
                      </c:pt>
                      <c:pt idx="13">
                        <c:v>1.29</c:v>
                      </c:pt>
                      <c:pt idx="14">
                        <c:v>1.29</c:v>
                      </c:pt>
                      <c:pt idx="15">
                        <c:v>1.29</c:v>
                      </c:pt>
                      <c:pt idx="16">
                        <c:v>1.3</c:v>
                      </c:pt>
                      <c:pt idx="17">
                        <c:v>1.3</c:v>
                      </c:pt>
                      <c:pt idx="18">
                        <c:v>1.3</c:v>
                      </c:pt>
                      <c:pt idx="19">
                        <c:v>1.31</c:v>
                      </c:pt>
                      <c:pt idx="20">
                        <c:v>1.33</c:v>
                      </c:pt>
                      <c:pt idx="21">
                        <c:v>1.34</c:v>
                      </c:pt>
                      <c:pt idx="22">
                        <c:v>1.34</c:v>
                      </c:pt>
                      <c:pt idx="23">
                        <c:v>1.34</c:v>
                      </c:pt>
                      <c:pt idx="24">
                        <c:v>1.34</c:v>
                      </c:pt>
                      <c:pt idx="25">
                        <c:v>1.33</c:v>
                      </c:pt>
                      <c:pt idx="26">
                        <c:v>1.32</c:v>
                      </c:pt>
                    </c:numCache>
                  </c:numRef>
                </c:yVal>
                <c:smooth val="0"/>
                <c:extLst xmlns:c15="http://schemas.microsoft.com/office/drawing/2012/chart">
                  <c:ext xmlns:c16="http://schemas.microsoft.com/office/drawing/2014/chart" uri="{C3380CC4-5D6E-409C-BE32-E72D297353CC}">
                    <c16:uniqueId val="{00000016-E6A6-4B87-8089-8C4A788D5A63}"/>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c:ext xmlns:c15="http://schemas.microsoft.com/office/drawing/2012/chart" uri="{02D57815-91ED-43cb-92C2-25804820EDAC}">
                        <c15:formulaRef>
                          <c15:sqref>'FIR Iron'!$C$13:$AC$13</c15:sqref>
                        </c15:formulaRef>
                      </c:ext>
                    </c:extLst>
                    <c:numCache>
                      <c:formatCode>General</c:formatCode>
                      <c:ptCount val="27"/>
                      <c:pt idx="0">
                        <c:v>1.22</c:v>
                      </c:pt>
                      <c:pt idx="1">
                        <c:v>1.23</c:v>
                      </c:pt>
                      <c:pt idx="2">
                        <c:v>1.24</c:v>
                      </c:pt>
                      <c:pt idx="3">
                        <c:v>1.24</c:v>
                      </c:pt>
                      <c:pt idx="4">
                        <c:v>1.25</c:v>
                      </c:pt>
                      <c:pt idx="5">
                        <c:v>1.25</c:v>
                      </c:pt>
                      <c:pt idx="6">
                        <c:v>1.26</c:v>
                      </c:pt>
                      <c:pt idx="7">
                        <c:v>1.26</c:v>
                      </c:pt>
                      <c:pt idx="8">
                        <c:v>1.27</c:v>
                      </c:pt>
                      <c:pt idx="9">
                        <c:v>1.27</c:v>
                      </c:pt>
                      <c:pt idx="10">
                        <c:v>1.28</c:v>
                      </c:pt>
                      <c:pt idx="11">
                        <c:v>1.29</c:v>
                      </c:pt>
                      <c:pt idx="12">
                        <c:v>1.28</c:v>
                      </c:pt>
                      <c:pt idx="13">
                        <c:v>1.31</c:v>
                      </c:pt>
                      <c:pt idx="14">
                        <c:v>1.31</c:v>
                      </c:pt>
                      <c:pt idx="15">
                        <c:v>1.32</c:v>
                      </c:pt>
                      <c:pt idx="16">
                        <c:v>1.32</c:v>
                      </c:pt>
                      <c:pt idx="17">
                        <c:v>1.33</c:v>
                      </c:pt>
                      <c:pt idx="18">
                        <c:v>1.33</c:v>
                      </c:pt>
                      <c:pt idx="19">
                        <c:v>1.34</c:v>
                      </c:pt>
                      <c:pt idx="20">
                        <c:v>1.35</c:v>
                      </c:pt>
                      <c:pt idx="21">
                        <c:v>1.35</c:v>
                      </c:pt>
                      <c:pt idx="22">
                        <c:v>1.35</c:v>
                      </c:pt>
                      <c:pt idx="23">
                        <c:v>1.35</c:v>
                      </c:pt>
                      <c:pt idx="24">
                        <c:v>1.34</c:v>
                      </c:pt>
                      <c:pt idx="25">
                        <c:v>1.3</c:v>
                      </c:pt>
                      <c:pt idx="26">
                        <c:v>1.32</c:v>
                      </c:pt>
                    </c:numCache>
                  </c:numRef>
                </c:yVal>
                <c:smooth val="0"/>
                <c:extLst xmlns:c15="http://schemas.microsoft.com/office/drawing/2012/chart">
                  <c:ext xmlns:c16="http://schemas.microsoft.com/office/drawing/2014/chart" uri="{C3380CC4-5D6E-409C-BE32-E72D297353CC}">
                    <c16:uniqueId val="{00000017-E6A6-4B87-8089-8C4A788D5A63}"/>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c:ext xmlns:c15="http://schemas.microsoft.com/office/drawing/2012/chart" uri="{02D57815-91ED-43cb-92C2-25804820EDAC}">
                        <c15:formulaRef>
                          <c15:sqref>'FIR Iron'!$C$14:$AC$14</c15:sqref>
                        </c15:formulaRef>
                      </c:ext>
                    </c:extLst>
                    <c:numCache>
                      <c:formatCode>General</c:formatCode>
                      <c:ptCount val="27"/>
                      <c:pt idx="0">
                        <c:v>1.24</c:v>
                      </c:pt>
                      <c:pt idx="1">
                        <c:v>1.24</c:v>
                      </c:pt>
                      <c:pt idx="2">
                        <c:v>1.25</c:v>
                      </c:pt>
                      <c:pt idx="3">
                        <c:v>1.25</c:v>
                      </c:pt>
                      <c:pt idx="4">
                        <c:v>1.26</c:v>
                      </c:pt>
                      <c:pt idx="6">
                        <c:v>1.26</c:v>
                      </c:pt>
                      <c:pt idx="7">
                        <c:v>1.27</c:v>
                      </c:pt>
                      <c:pt idx="8">
                        <c:v>1.28</c:v>
                      </c:pt>
                      <c:pt idx="9">
                        <c:v>1.28</c:v>
                      </c:pt>
                      <c:pt idx="10">
                        <c:v>1.28</c:v>
                      </c:pt>
                      <c:pt idx="11">
                        <c:v>1.29</c:v>
                      </c:pt>
                      <c:pt idx="12">
                        <c:v>1.28</c:v>
                      </c:pt>
                      <c:pt idx="13">
                        <c:v>1.31</c:v>
                      </c:pt>
                      <c:pt idx="14">
                        <c:v>1.31</c:v>
                      </c:pt>
                      <c:pt idx="16">
                        <c:v>1.32</c:v>
                      </c:pt>
                      <c:pt idx="17">
                        <c:v>1.33</c:v>
                      </c:pt>
                      <c:pt idx="18">
                        <c:v>1.33</c:v>
                      </c:pt>
                      <c:pt idx="19">
                        <c:v>1.34</c:v>
                      </c:pt>
                      <c:pt idx="20">
                        <c:v>1.35</c:v>
                      </c:pt>
                      <c:pt idx="21">
                        <c:v>1.35</c:v>
                      </c:pt>
                      <c:pt idx="22">
                        <c:v>1.35</c:v>
                      </c:pt>
                      <c:pt idx="23">
                        <c:v>1.34</c:v>
                      </c:pt>
                      <c:pt idx="24">
                        <c:v>1.33</c:v>
                      </c:pt>
                      <c:pt idx="25">
                        <c:v>1.31</c:v>
                      </c:pt>
                      <c:pt idx="26">
                        <c:v>1.3</c:v>
                      </c:pt>
                    </c:numCache>
                  </c:numRef>
                </c:yVal>
                <c:smooth val="0"/>
                <c:extLst xmlns:c15="http://schemas.microsoft.com/office/drawing/2012/chart">
                  <c:ext xmlns:c16="http://schemas.microsoft.com/office/drawing/2014/chart" uri="{C3380CC4-5D6E-409C-BE32-E72D297353CC}">
                    <c16:uniqueId val="{00000018-E6A6-4B87-8089-8C4A788D5A63}"/>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c:ext xmlns:c15="http://schemas.microsoft.com/office/drawing/2012/chart" uri="{02D57815-91ED-43cb-92C2-25804820EDAC}">
                        <c15:formulaRef>
                          <c15:sqref>'FIR Iron'!$C$15:$AC$15</c15:sqref>
                        </c15:formulaRef>
                      </c:ext>
                    </c:extLst>
                    <c:numCache>
                      <c:formatCode>General</c:formatCode>
                      <c:ptCount val="27"/>
                      <c:pt idx="0">
                        <c:v>1.24</c:v>
                      </c:pt>
                      <c:pt idx="1">
                        <c:v>1.25</c:v>
                      </c:pt>
                      <c:pt idx="2">
                        <c:v>1.26</c:v>
                      </c:pt>
                      <c:pt idx="3">
                        <c:v>1.26</c:v>
                      </c:pt>
                      <c:pt idx="4">
                        <c:v>1.26</c:v>
                      </c:pt>
                      <c:pt idx="5">
                        <c:v>1.27</c:v>
                      </c:pt>
                      <c:pt idx="6">
                        <c:v>1.27</c:v>
                      </c:pt>
                      <c:pt idx="7">
                        <c:v>1.28</c:v>
                      </c:pt>
                      <c:pt idx="8">
                        <c:v>1.28</c:v>
                      </c:pt>
                      <c:pt idx="9">
                        <c:v>1.28</c:v>
                      </c:pt>
                      <c:pt idx="10">
                        <c:v>1.29</c:v>
                      </c:pt>
                      <c:pt idx="11">
                        <c:v>1.29</c:v>
                      </c:pt>
                      <c:pt idx="12">
                        <c:v>1.3</c:v>
                      </c:pt>
                      <c:pt idx="13">
                        <c:v>1.31</c:v>
                      </c:pt>
                      <c:pt idx="14">
                        <c:v>1.31</c:v>
                      </c:pt>
                      <c:pt idx="15">
                        <c:v>1.32</c:v>
                      </c:pt>
                      <c:pt idx="16">
                        <c:v>1.32</c:v>
                      </c:pt>
                      <c:pt idx="17">
                        <c:v>1.32</c:v>
                      </c:pt>
                      <c:pt idx="18">
                        <c:v>1.33</c:v>
                      </c:pt>
                      <c:pt idx="19">
                        <c:v>1.33</c:v>
                      </c:pt>
                      <c:pt idx="20">
                        <c:v>1.34</c:v>
                      </c:pt>
                      <c:pt idx="21">
                        <c:v>1.35</c:v>
                      </c:pt>
                      <c:pt idx="22">
                        <c:v>1.34</c:v>
                      </c:pt>
                      <c:pt idx="23">
                        <c:v>1.34</c:v>
                      </c:pt>
                      <c:pt idx="24">
                        <c:v>1.32</c:v>
                      </c:pt>
                      <c:pt idx="25">
                        <c:v>1.3</c:v>
                      </c:pt>
                      <c:pt idx="26">
                        <c:v>1.28</c:v>
                      </c:pt>
                    </c:numCache>
                  </c:numRef>
                </c:yVal>
                <c:smooth val="0"/>
                <c:extLst xmlns:c15="http://schemas.microsoft.com/office/drawing/2012/chart">
                  <c:ext xmlns:c16="http://schemas.microsoft.com/office/drawing/2014/chart" uri="{C3380CC4-5D6E-409C-BE32-E72D297353CC}">
                    <c16:uniqueId val="{00000019-E6A6-4B87-8089-8C4A788D5A63}"/>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7507740131373573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Exponent </a:t>
            </a:r>
            <a:r>
              <a:rPr lang="de-CH" baseline="0"/>
              <a:t> 3-Säule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1"/>
          <c:order val="1"/>
          <c:tx>
            <c:strRef>
              <c:f>'Arbonia Tabelle'!$Y$4</c:f>
              <c:strCache>
                <c:ptCount val="1"/>
                <c:pt idx="0">
                  <c:v>ARB 3-Säule</c:v>
                </c:pt>
              </c:strCache>
              <c:extLst xmlns:c15="http://schemas.microsoft.com/office/drawing/2012/chart"/>
            </c:strRef>
          </c:tx>
          <c:spPr>
            <a:ln w="38100" cap="rnd">
              <a:noFill/>
              <a:round/>
            </a:ln>
            <a:effectLst/>
          </c:spPr>
          <c:marker>
            <c:symbol val="circle"/>
            <c:size val="5"/>
            <c:spPr>
              <a:solidFill>
                <a:schemeClr val="accent2"/>
              </a:solidFill>
              <a:ln w="9525">
                <a:solidFill>
                  <a:schemeClr val="accent2"/>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extLst xmlns:c15="http://schemas.microsoft.com/office/drawing/2012/chart"/>
            </c:numRef>
          </c:xVal>
          <c:yVal>
            <c:numRef>
              <c:f>'Arbonia Tabelle'!$D$12:$X$12</c:f>
              <c:numCache>
                <c:formatCode>General</c:formatCode>
                <c:ptCount val="21"/>
                <c:pt idx="0">
                  <c:v>1.27</c:v>
                </c:pt>
                <c:pt idx="1">
                  <c:v>1.31</c:v>
                </c:pt>
                <c:pt idx="2">
                  <c:v>1.33</c:v>
                </c:pt>
                <c:pt idx="3">
                  <c:v>1.36</c:v>
                </c:pt>
                <c:pt idx="4">
                  <c:v>1.36</c:v>
                </c:pt>
                <c:pt idx="5">
                  <c:v>1.36</c:v>
                </c:pt>
                <c:pt idx="6">
                  <c:v>1.36</c:v>
                </c:pt>
                <c:pt idx="7">
                  <c:v>1.36</c:v>
                </c:pt>
                <c:pt idx="8">
                  <c:v>1.36</c:v>
                </c:pt>
                <c:pt idx="9">
                  <c:v>1.36</c:v>
                </c:pt>
                <c:pt idx="10">
                  <c:v>1.36</c:v>
                </c:pt>
                <c:pt idx="11">
                  <c:v>1.36</c:v>
                </c:pt>
                <c:pt idx="12">
                  <c:v>1.35</c:v>
                </c:pt>
                <c:pt idx="13">
                  <c:v>1.35</c:v>
                </c:pt>
                <c:pt idx="14">
                  <c:v>1.35</c:v>
                </c:pt>
                <c:pt idx="15">
                  <c:v>1.35</c:v>
                </c:pt>
                <c:pt idx="16">
                  <c:v>1.34</c:v>
                </c:pt>
                <c:pt idx="17">
                  <c:v>1.34</c:v>
                </c:pt>
                <c:pt idx="18">
                  <c:v>1.34</c:v>
                </c:pt>
                <c:pt idx="19">
                  <c:v>1.34</c:v>
                </c:pt>
                <c:pt idx="20">
                  <c:v>1.33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7-C13E-4E24-B62A-A60F45716F48}"/>
            </c:ext>
          </c:extLst>
        </c:ser>
        <c:ser>
          <c:idx val="6"/>
          <c:order val="6"/>
          <c:tx>
            <c:strRef>
              <c:f>'Zehnder Charl. Tabelle'!$W$5</c:f>
              <c:strCache>
                <c:ptCount val="1"/>
                <c:pt idx="0">
                  <c:v>ZEHN 3-Säule</c:v>
                </c:pt>
              </c:strCache>
              <c:extLst xmlns:c15="http://schemas.microsoft.com/office/drawing/2012/chart"/>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Tabelle'!$C$14:$V$14</c:f>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B-C13E-4E24-B62A-A60F45716F48}"/>
            </c:ext>
          </c:extLst>
        </c:ser>
        <c:ser>
          <c:idx val="4"/>
          <c:order val="11"/>
          <c:tx>
            <c:strRef>
              <c:f>'IRSAP Tabelle'!$AD$4</c:f>
              <c:strCache>
                <c:ptCount val="1"/>
                <c:pt idx="0">
                  <c:v>IRSAP 3-Säule</c:v>
                </c:pt>
              </c:strCache>
              <c:extLst xmlns:c15="http://schemas.microsoft.com/office/drawing/2012/chart"/>
            </c:strRef>
          </c:tx>
          <c:spPr>
            <a:ln w="25400" cap="rnd">
              <a:noFill/>
              <a:round/>
            </a:ln>
            <a:effectLst/>
          </c:spPr>
          <c:marker>
            <c:symbol val="circle"/>
            <c:size val="5"/>
            <c:spPr>
              <a:solidFill>
                <a:schemeClr val="accent5"/>
              </a:solidFill>
              <a:ln w="9525">
                <a:solidFill>
                  <a:schemeClr val="accent5"/>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extLst xmlns:c15="http://schemas.microsoft.com/office/drawing/2012/chart"/>
            </c:numRef>
          </c:xVal>
          <c:yVal>
            <c:numRef>
              <c:f>'IRSAP Tabelle'!$C$12:$AC$12</c:f>
              <c:numCache>
                <c:formatCode>General</c:formatCode>
                <c:ptCount val="27"/>
                <c:pt idx="0">
                  <c:v>1.29</c:v>
                </c:pt>
                <c:pt idx="1">
                  <c:v>1.25</c:v>
                </c:pt>
                <c:pt idx="2">
                  <c:v>1.25</c:v>
                </c:pt>
                <c:pt idx="3">
                  <c:v>1.26</c:v>
                </c:pt>
                <c:pt idx="4">
                  <c:v>1.26</c:v>
                </c:pt>
                <c:pt idx="5">
                  <c:v>1.26</c:v>
                </c:pt>
                <c:pt idx="6">
                  <c:v>1.27</c:v>
                </c:pt>
                <c:pt idx="7">
                  <c:v>1.27</c:v>
                </c:pt>
                <c:pt idx="8">
                  <c:v>1.28</c:v>
                </c:pt>
                <c:pt idx="9">
                  <c:v>1.28</c:v>
                </c:pt>
                <c:pt idx="10">
                  <c:v>1.28</c:v>
                </c:pt>
                <c:pt idx="11">
                  <c:v>1.29</c:v>
                </c:pt>
                <c:pt idx="12">
                  <c:v>1.29</c:v>
                </c:pt>
                <c:pt idx="13">
                  <c:v>1.29</c:v>
                </c:pt>
                <c:pt idx="14">
                  <c:v>1.3</c:v>
                </c:pt>
                <c:pt idx="15">
                  <c:v>1.3</c:v>
                </c:pt>
                <c:pt idx="16">
                  <c:v>1.3</c:v>
                </c:pt>
                <c:pt idx="17">
                  <c:v>1.31</c:v>
                </c:pt>
                <c:pt idx="18">
                  <c:v>1.31</c:v>
                </c:pt>
                <c:pt idx="19">
                  <c:v>1.31</c:v>
                </c:pt>
                <c:pt idx="20">
                  <c:v>1.32</c:v>
                </c:pt>
                <c:pt idx="21">
                  <c:v>1.32</c:v>
                </c:pt>
                <c:pt idx="22">
                  <c:v>1.33</c:v>
                </c:pt>
                <c:pt idx="23">
                  <c:v>1.33</c:v>
                </c:pt>
                <c:pt idx="24">
                  <c:v>1.3180000000000001</c:v>
                </c:pt>
                <c:pt idx="25">
                  <c:v>1.31</c:v>
                </c:pt>
                <c:pt idx="26">
                  <c:v>1.2989999999999999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F-C13E-4E24-B62A-A60F45716F48}"/>
            </c:ext>
          </c:extLst>
        </c:ser>
        <c:ser>
          <c:idx val="16"/>
          <c:order val="16"/>
          <c:tx>
            <c:strRef>
              <c:f>'Cordivari Tabelle'!$AC$4</c:f>
              <c:strCache>
                <c:ptCount val="1"/>
                <c:pt idx="0">
                  <c:v>Cordivari 3-Säule</c:v>
                </c:pt>
              </c:strCache>
              <c:extLst xmlns:c15="http://schemas.microsoft.com/office/drawing/2012/chart"/>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Tabelle'!$C$12:$AB$12</c:f>
              <c:numCache>
                <c:formatCode>General</c:formatCode>
                <c:ptCount val="26"/>
                <c:pt idx="0">
                  <c:v>1.3140000000000001</c:v>
                </c:pt>
                <c:pt idx="1">
                  <c:v>1.2729999999999999</c:v>
                </c:pt>
                <c:pt idx="2">
                  <c:v>1.284</c:v>
                </c:pt>
                <c:pt idx="3">
                  <c:v>1.296</c:v>
                </c:pt>
                <c:pt idx="4">
                  <c:v>1.302</c:v>
                </c:pt>
                <c:pt idx="5">
                  <c:v>1.306</c:v>
                </c:pt>
                <c:pt idx="6">
                  <c:v>1.3069999999999999</c:v>
                </c:pt>
                <c:pt idx="7">
                  <c:v>1.31</c:v>
                </c:pt>
                <c:pt idx="8">
                  <c:v>1.3140000000000001</c:v>
                </c:pt>
                <c:pt idx="9">
                  <c:v>1.3160000000000001</c:v>
                </c:pt>
                <c:pt idx="10">
                  <c:v>1.325</c:v>
                </c:pt>
                <c:pt idx="11">
                  <c:v>1.325</c:v>
                </c:pt>
                <c:pt idx="12">
                  <c:v>1.329</c:v>
                </c:pt>
                <c:pt idx="13">
                  <c:v>1.337</c:v>
                </c:pt>
                <c:pt idx="14">
                  <c:v>1.339</c:v>
                </c:pt>
                <c:pt idx="15">
                  <c:v>1.343</c:v>
                </c:pt>
                <c:pt idx="16">
                  <c:v>1.345</c:v>
                </c:pt>
                <c:pt idx="17">
                  <c:v>1.35</c:v>
                </c:pt>
                <c:pt idx="18">
                  <c:v>1.359</c:v>
                </c:pt>
                <c:pt idx="19">
                  <c:v>1.35</c:v>
                </c:pt>
                <c:pt idx="20">
                  <c:v>1.341</c:v>
                </c:pt>
                <c:pt idx="21">
                  <c:v>1.3380000000000001</c:v>
                </c:pt>
                <c:pt idx="22">
                  <c:v>1.33</c:v>
                </c:pt>
                <c:pt idx="23">
                  <c:v>1.3260000000000001</c:v>
                </c:pt>
                <c:pt idx="24">
                  <c:v>1.3180000000000001</c:v>
                </c:pt>
                <c:pt idx="25">
                  <c:v>1.3009999999999999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3-C13E-4E24-B62A-A60F45716F48}"/>
            </c:ext>
          </c:extLst>
        </c:ser>
        <c:ser>
          <c:idx val="21"/>
          <c:order val="21"/>
          <c:tx>
            <c:strRef>
              <c:f>'FIR Iron'!$AD$4</c:f>
              <c:strCache>
                <c:ptCount val="1"/>
                <c:pt idx="0">
                  <c:v>FIR Iron 3-Säule</c:v>
                </c:pt>
              </c:strCache>
              <c:extLst xmlns:c15="http://schemas.microsoft.com/office/drawing/2012/chart"/>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Iron'!$C$12:$AC$12</c:f>
              <c:numCache>
                <c:formatCode>General</c:formatCode>
                <c:ptCount val="27"/>
                <c:pt idx="0">
                  <c:v>1.22</c:v>
                </c:pt>
                <c:pt idx="1">
                  <c:v>1.23</c:v>
                </c:pt>
                <c:pt idx="2">
                  <c:v>1.23</c:v>
                </c:pt>
                <c:pt idx="3">
                  <c:v>1.23</c:v>
                </c:pt>
                <c:pt idx="4">
                  <c:v>1.24</c:v>
                </c:pt>
                <c:pt idx="5">
                  <c:v>1.24</c:v>
                </c:pt>
                <c:pt idx="6">
                  <c:v>1.24</c:v>
                </c:pt>
                <c:pt idx="7">
                  <c:v>1.25</c:v>
                </c:pt>
                <c:pt idx="8">
                  <c:v>1.26</c:v>
                </c:pt>
                <c:pt idx="9">
                  <c:v>1.26</c:v>
                </c:pt>
                <c:pt idx="10">
                  <c:v>1.26</c:v>
                </c:pt>
                <c:pt idx="11">
                  <c:v>1.27</c:v>
                </c:pt>
                <c:pt idx="12">
                  <c:v>1.28</c:v>
                </c:pt>
                <c:pt idx="13">
                  <c:v>1.29</c:v>
                </c:pt>
                <c:pt idx="14">
                  <c:v>1.29</c:v>
                </c:pt>
                <c:pt idx="15">
                  <c:v>1.29</c:v>
                </c:pt>
                <c:pt idx="16">
                  <c:v>1.3</c:v>
                </c:pt>
                <c:pt idx="17">
                  <c:v>1.3</c:v>
                </c:pt>
                <c:pt idx="18">
                  <c:v>1.3</c:v>
                </c:pt>
                <c:pt idx="19">
                  <c:v>1.31</c:v>
                </c:pt>
                <c:pt idx="20">
                  <c:v>1.33</c:v>
                </c:pt>
                <c:pt idx="21">
                  <c:v>1.34</c:v>
                </c:pt>
                <c:pt idx="22">
                  <c:v>1.34</c:v>
                </c:pt>
                <c:pt idx="23">
                  <c:v>1.34</c:v>
                </c:pt>
                <c:pt idx="24">
                  <c:v>1.34</c:v>
                </c:pt>
                <c:pt idx="25">
                  <c:v>1.33</c:v>
                </c:pt>
                <c:pt idx="26">
                  <c:v>1.32</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7-C13E-4E24-B62A-A60F45716F48}"/>
            </c:ext>
          </c:extLst>
        </c:ser>
        <c:ser>
          <c:idx val="25"/>
          <c:order val="25"/>
          <c:tx>
            <c:strRef>
              <c:f>'Exponent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trendline>
            <c:spPr>
              <a:ln w="19050" cap="rnd">
                <a:solidFill>
                  <a:schemeClr val="accent2">
                    <a:lumMod val="60000"/>
                    <a:lumOff val="40000"/>
                  </a:schemeClr>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'Exponent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'Exponent alle'!$B$68:$U$68</c:f>
              <c:numCache>
                <c:formatCode>0.00</c:formatCode>
                <c:ptCount val="20"/>
                <c:pt idx="0">
                  <c:v>1.2949999999999999</c:v>
                </c:pt>
                <c:pt idx="1">
                  <c:v>1.2726</c:v>
                </c:pt>
                <c:pt idx="2">
                  <c:v>1.28</c:v>
                </c:pt>
                <c:pt idx="3">
                  <c:v>1.2848000000000002</c:v>
                </c:pt>
                <c:pt idx="4">
                  <c:v>1.2825</c:v>
                </c:pt>
                <c:pt idx="5">
                  <c:v>1.2891999999999999</c:v>
                </c:pt>
                <c:pt idx="6">
                  <c:v>1.2944</c:v>
                </c:pt>
                <c:pt idx="7">
                  <c:v>1.2954000000000001</c:v>
                </c:pt>
                <c:pt idx="8">
                  <c:v>1.3050000000000002</c:v>
                </c:pt>
                <c:pt idx="9">
                  <c:v>1.3025000000000002</c:v>
                </c:pt>
                <c:pt idx="10">
                  <c:v>1.3149999999999999</c:v>
                </c:pt>
                <c:pt idx="11">
                  <c:v>1.3</c:v>
                </c:pt>
                <c:pt idx="12">
                  <c:v>1.3280000000000001</c:v>
                </c:pt>
                <c:pt idx="13">
                  <c:v>1.3358000000000001</c:v>
                </c:pt>
                <c:pt idx="14">
                  <c:v>1.3362000000000001</c:v>
                </c:pt>
                <c:pt idx="15">
                  <c:v>1.3295999999999999</c:v>
                </c:pt>
                <c:pt idx="16">
                  <c:v>1.3256000000000001</c:v>
                </c:pt>
                <c:pt idx="17">
                  <c:v>1.3199999999999998</c:v>
                </c:pt>
                <c:pt idx="18">
                  <c:v>1.3333333333333333</c:v>
                </c:pt>
                <c:pt idx="19">
                  <c:v>1.3266666666666669</c:v>
                </c:pt>
              </c:numCache>
            </c:numRef>
          </c:yVal>
          <c:smooth val="0"/>
          <c:extLst>
            <c:ext xmlns:c16="http://schemas.microsoft.com/office/drawing/2014/chart" uri="{C3380CC4-5D6E-409C-BE32-E72D297353CC}">
              <c16:uniqueId val="{00000006-C13E-4E24-B62A-A60F45716F48}"/>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Tabelle'!$D$11:$X$11</c15:sqref>
                        </c15:formulaRef>
                      </c:ext>
                    </c:extLst>
                    <c:numCache>
                      <c:formatCode>General</c:formatCode>
                      <c:ptCount val="21"/>
                      <c:pt idx="0">
                        <c:v>1.23</c:v>
                      </c:pt>
                      <c:pt idx="1">
                        <c:v>1.25</c:v>
                      </c:pt>
                      <c:pt idx="2">
                        <c:v>1.26</c:v>
                      </c:pt>
                      <c:pt idx="3">
                        <c:v>1.31</c:v>
                      </c:pt>
                      <c:pt idx="4">
                        <c:v>1.31</c:v>
                      </c:pt>
                      <c:pt idx="5">
                        <c:v>1.31</c:v>
                      </c:pt>
                      <c:pt idx="6">
                        <c:v>1.31</c:v>
                      </c:pt>
                      <c:pt idx="7">
                        <c:v>1.31</c:v>
                      </c:pt>
                      <c:pt idx="8">
                        <c:v>1.31</c:v>
                      </c:pt>
                      <c:pt idx="9">
                        <c:v>1.31</c:v>
                      </c:pt>
                      <c:pt idx="10">
                        <c:v>1.31</c:v>
                      </c:pt>
                      <c:pt idx="11">
                        <c:v>1.32</c:v>
                      </c:pt>
                      <c:pt idx="12">
                        <c:v>1.32</c:v>
                      </c:pt>
                      <c:pt idx="13">
                        <c:v>1.32</c:v>
                      </c:pt>
                      <c:pt idx="14">
                        <c:v>1.32</c:v>
                      </c:pt>
                      <c:pt idx="15">
                        <c:v>1.32</c:v>
                      </c:pt>
                      <c:pt idx="16">
                        <c:v>1.32</c:v>
                      </c:pt>
                      <c:pt idx="17">
                        <c:v>1.32</c:v>
                      </c:pt>
                      <c:pt idx="18">
                        <c:v>1.32</c:v>
                      </c:pt>
                      <c:pt idx="19">
                        <c:v>1.33</c:v>
                      </c:pt>
                      <c:pt idx="20">
                        <c:v>1.33</c:v>
                      </c:pt>
                    </c:numCache>
                  </c:numRef>
                </c:yVal>
                <c:smooth val="0"/>
                <c:extLst>
                  <c:ext xmlns:c16="http://schemas.microsoft.com/office/drawing/2014/chart" uri="{C3380CC4-5D6E-409C-BE32-E72D297353CC}">
                    <c16:uniqueId val="{00000000-C13E-4E24-B62A-A60F45716F48}"/>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Tabelle'!$D$13:$X$13</c15:sqref>
                        </c15:formulaRef>
                      </c:ext>
                    </c:extLst>
                    <c:numCache>
                      <c:formatCode>General</c:formatCode>
                      <c:ptCount val="21"/>
                      <c:pt idx="0">
                        <c:v>1.25</c:v>
                      </c:pt>
                      <c:pt idx="1">
                        <c:v>1.3</c:v>
                      </c:pt>
                      <c:pt idx="2">
                        <c:v>1.33</c:v>
                      </c:pt>
                      <c:pt idx="3">
                        <c:v>1.35</c:v>
                      </c:pt>
                      <c:pt idx="4">
                        <c:v>1.35</c:v>
                      </c:pt>
                      <c:pt idx="5">
                        <c:v>1.35</c:v>
                      </c:pt>
                      <c:pt idx="6">
                        <c:v>1.35</c:v>
                      </c:pt>
                      <c:pt idx="7">
                        <c:v>1.35</c:v>
                      </c:pt>
                      <c:pt idx="8">
                        <c:v>1.35</c:v>
                      </c:pt>
                      <c:pt idx="9">
                        <c:v>1.35</c:v>
                      </c:pt>
                      <c:pt idx="10">
                        <c:v>1.35</c:v>
                      </c:pt>
                      <c:pt idx="11">
                        <c:v>1.35</c:v>
                      </c:pt>
                      <c:pt idx="12">
                        <c:v>1.35</c:v>
                      </c:pt>
                      <c:pt idx="13">
                        <c:v>1.35</c:v>
                      </c:pt>
                      <c:pt idx="14">
                        <c:v>1.35</c:v>
                      </c:pt>
                      <c:pt idx="15">
                        <c:v>1.34</c:v>
                      </c:pt>
                      <c:pt idx="16">
                        <c:v>1.34</c:v>
                      </c:pt>
                      <c:pt idx="17">
                        <c:v>1.34</c:v>
                      </c:pt>
                      <c:pt idx="18">
                        <c:v>1.34</c:v>
                      </c:pt>
                      <c:pt idx="19">
                        <c:v>1.34</c:v>
                      </c:pt>
                      <c:pt idx="20">
                        <c:v>1.34</c:v>
                      </c:pt>
                    </c:numCache>
                  </c:numRef>
                </c:yVal>
                <c:smooth val="0"/>
                <c:extLst xmlns:c15="http://schemas.microsoft.com/office/drawing/2012/chart">
                  <c:ext xmlns:c16="http://schemas.microsoft.com/office/drawing/2014/chart" uri="{C3380CC4-5D6E-409C-BE32-E72D297353CC}">
                    <c16:uniqueId val="{00000008-C13E-4E24-B62A-A60F45716F48}"/>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Tabelle'!$D$14:$X$14</c15:sqref>
                        </c15:formulaRef>
                      </c:ext>
                    </c:extLst>
                    <c:numCache>
                      <c:formatCode>General</c:formatCode>
                      <c:ptCount val="21"/>
                      <c:pt idx="0">
                        <c:v>0</c:v>
                      </c:pt>
                      <c:pt idx="1">
                        <c:v>1.33</c:v>
                      </c:pt>
                      <c:pt idx="2">
                        <c:v>1.36</c:v>
                      </c:pt>
                      <c:pt idx="3">
                        <c:v>1.39</c:v>
                      </c:pt>
                      <c:pt idx="4">
                        <c:v>1.39</c:v>
                      </c:pt>
                      <c:pt idx="5">
                        <c:v>1.39</c:v>
                      </c:pt>
                      <c:pt idx="6">
                        <c:v>1.39</c:v>
                      </c:pt>
                      <c:pt idx="7">
                        <c:v>1.39</c:v>
                      </c:pt>
                      <c:pt idx="8">
                        <c:v>1.39</c:v>
                      </c:pt>
                      <c:pt idx="9">
                        <c:v>1.39</c:v>
                      </c:pt>
                      <c:pt idx="10">
                        <c:v>1.39</c:v>
                      </c:pt>
                      <c:pt idx="11">
                        <c:v>1.38</c:v>
                      </c:pt>
                      <c:pt idx="12">
                        <c:v>1.38</c:v>
                      </c:pt>
                      <c:pt idx="13">
                        <c:v>1.38</c:v>
                      </c:pt>
                      <c:pt idx="14">
                        <c:v>1.37</c:v>
                      </c:pt>
                      <c:pt idx="15">
                        <c:v>1.37</c:v>
                      </c:pt>
                      <c:pt idx="16">
                        <c:v>1.37</c:v>
                      </c:pt>
                      <c:pt idx="17">
                        <c:v>1.36</c:v>
                      </c:pt>
                      <c:pt idx="18">
                        <c:v>1.36</c:v>
                      </c:pt>
                      <c:pt idx="19">
                        <c:v>1.35</c:v>
                      </c:pt>
                      <c:pt idx="20">
                        <c:v>1.35</c:v>
                      </c:pt>
                    </c:numCache>
                  </c:numRef>
                </c:yVal>
                <c:smooth val="0"/>
                <c:extLst xmlns:c15="http://schemas.microsoft.com/office/drawing/2012/chart">
                  <c:ext xmlns:c16="http://schemas.microsoft.com/office/drawing/2014/chart" uri="{C3380CC4-5D6E-409C-BE32-E72D297353CC}">
                    <c16:uniqueId val="{00000009-C13E-4E24-B62A-A60F45716F48}"/>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Tabelle'!$D$15:$X$15</c15:sqref>
                        </c15:formulaRef>
                      </c:ext>
                    </c:extLst>
                    <c:numCache>
                      <c:formatCode>General</c:formatCode>
                      <c:ptCount val="21"/>
                      <c:pt idx="0">
                        <c:v>0</c:v>
                      </c:pt>
                      <c:pt idx="1">
                        <c:v>1.36</c:v>
                      </c:pt>
                      <c:pt idx="2">
                        <c:v>1.39</c:v>
                      </c:pt>
                      <c:pt idx="3">
                        <c:v>1.41</c:v>
                      </c:pt>
                      <c:pt idx="4">
                        <c:v>1.41</c:v>
                      </c:pt>
                      <c:pt idx="5">
                        <c:v>1.41</c:v>
                      </c:pt>
                      <c:pt idx="6">
                        <c:v>1.41</c:v>
                      </c:pt>
                      <c:pt idx="7">
                        <c:v>1.41</c:v>
                      </c:pt>
                      <c:pt idx="8">
                        <c:v>1.41</c:v>
                      </c:pt>
                      <c:pt idx="9">
                        <c:v>1.4</c:v>
                      </c:pt>
                      <c:pt idx="10">
                        <c:v>1.4</c:v>
                      </c:pt>
                      <c:pt idx="11">
                        <c:v>1.4</c:v>
                      </c:pt>
                      <c:pt idx="12">
                        <c:v>1.4</c:v>
                      </c:pt>
                      <c:pt idx="13">
                        <c:v>1.4</c:v>
                      </c:pt>
                      <c:pt idx="14">
                        <c:v>1.4</c:v>
                      </c:pt>
                      <c:pt idx="15">
                        <c:v>1.39</c:v>
                      </c:pt>
                      <c:pt idx="16">
                        <c:v>1.39</c:v>
                      </c:pt>
                      <c:pt idx="17">
                        <c:v>1.39</c:v>
                      </c:pt>
                      <c:pt idx="18">
                        <c:v>1.39</c:v>
                      </c:pt>
                      <c:pt idx="19">
                        <c:v>1.38</c:v>
                      </c:pt>
                      <c:pt idx="20">
                        <c:v>1.38</c:v>
                      </c:pt>
                    </c:numCache>
                  </c:numRef>
                </c:yVal>
                <c:smooth val="0"/>
                <c:extLst xmlns:c15="http://schemas.microsoft.com/office/drawing/2012/chart">
                  <c:ext xmlns:c16="http://schemas.microsoft.com/office/drawing/2014/chart" uri="{C3380CC4-5D6E-409C-BE32-E72D297353CC}">
                    <c16:uniqueId val="{0000000A-C13E-4E24-B62A-A60F45716F48}"/>
                  </c:ext>
                </c:extLst>
              </c15:ser>
            </c15:filteredScatterSeries>
            <c15:filteredScatterSeries>
              <c15:ser>
                <c:idx val="5"/>
                <c:order val="5"/>
                <c:tx>
                  <c:strRef>
                    <c:extLs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c:ext xmlns:c15="http://schemas.microsoft.com/office/drawing/2012/chart" uri="{02D57815-91ED-43cb-92C2-25804820EDAC}">
                        <c15:formulaRef>
                          <c15:sqref>'Zehnder Charl. Tabelle'!$C$13:$V$13</c15:sqref>
                        </c15:formulaRef>
                      </c:ext>
                    </c:extLst>
                    <c:numCache>
                      <c:formatCode>General</c:formatCode>
                      <c:ptCount val="20"/>
                      <c:pt idx="0">
                        <c:v>1.27</c:v>
                      </c:pt>
                      <c:pt idx="1">
                        <c:v>1.27</c:v>
                      </c:pt>
                      <c:pt idx="2">
                        <c:v>1.26</c:v>
                      </c:pt>
                      <c:pt idx="3">
                        <c:v>1.26</c:v>
                      </c:pt>
                      <c:pt idx="4">
                        <c:v>1.26</c:v>
                      </c:pt>
                      <c:pt idx="5">
                        <c:v>1.25</c:v>
                      </c:pt>
                      <c:pt idx="6">
                        <c:v>1.25</c:v>
                      </c:pt>
                      <c:pt idx="7">
                        <c:v>1.25</c:v>
                      </c:pt>
                      <c:pt idx="8">
                        <c:v>1.24</c:v>
                      </c:pt>
                      <c:pt idx="9">
                        <c:v>1.23</c:v>
                      </c:pt>
                      <c:pt idx="10">
                        <c:v>1.22</c:v>
                      </c:pt>
                      <c:pt idx="11">
                        <c:v>1.21</c:v>
                      </c:pt>
                      <c:pt idx="12">
                        <c:v>1.3</c:v>
                      </c:pt>
                      <c:pt idx="13">
                        <c:v>1.29</c:v>
                      </c:pt>
                      <c:pt idx="14">
                        <c:v>1.29</c:v>
                      </c:pt>
                      <c:pt idx="15">
                        <c:v>1.28</c:v>
                      </c:pt>
                      <c:pt idx="16">
                        <c:v>1.28</c:v>
                      </c:pt>
                      <c:pt idx="17">
                        <c:v>1.28</c:v>
                      </c:pt>
                      <c:pt idx="18">
                        <c:v>1.27</c:v>
                      </c:pt>
                      <c:pt idx="19">
                        <c:v>1.27</c:v>
                      </c:pt>
                    </c:numCache>
                  </c:numRef>
                </c:yVal>
                <c:smooth val="0"/>
                <c:extLst>
                  <c:ext xmlns:c16="http://schemas.microsoft.com/office/drawing/2014/chart" uri="{C3380CC4-5D6E-409C-BE32-E72D297353CC}">
                    <c16:uniqueId val="{00000001-C13E-4E24-B62A-A60F45716F48}"/>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Tabelle'!$C$15:$V$15</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C-C13E-4E24-B62A-A60F45716F48}"/>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Tabelle'!$C$16:$V$16</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D-C13E-4E24-B62A-A60F45716F48}"/>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Tabelle'!$C$17:$V$17</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1.25</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E-C13E-4E24-B62A-A60F45716F48}"/>
                  </c:ext>
                </c:extLst>
              </c15:ser>
            </c15:filteredScatterSeries>
            <c15:filteredScatterSeries>
              <c15:ser>
                <c:idx val="3"/>
                <c:order val="10"/>
                <c:tx>
                  <c:strRef>
                    <c:extLs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c:ext xmlns:c15="http://schemas.microsoft.com/office/drawing/2012/chart" uri="{02D57815-91ED-43cb-92C2-25804820EDAC}">
                        <c15:formulaRef>
                          <c15:sqref>'IRSAP Tabelle'!$C$11:$AC$11</c15:sqref>
                        </c15:formulaRef>
                      </c:ext>
                    </c:extLst>
                    <c:numCache>
                      <c:formatCode>General</c:formatCode>
                      <c:ptCount val="27"/>
                      <c:pt idx="0">
                        <c:v>1.25</c:v>
                      </c:pt>
                      <c:pt idx="1">
                        <c:v>1.24</c:v>
                      </c:pt>
                      <c:pt idx="2">
                        <c:v>1.24</c:v>
                      </c:pt>
                      <c:pt idx="3">
                        <c:v>1.24</c:v>
                      </c:pt>
                      <c:pt idx="4">
                        <c:v>1.25</c:v>
                      </c:pt>
                      <c:pt idx="5">
                        <c:v>1.25</c:v>
                      </c:pt>
                      <c:pt idx="6">
                        <c:v>1.25</c:v>
                      </c:pt>
                      <c:pt idx="7">
                        <c:v>1.26</c:v>
                      </c:pt>
                      <c:pt idx="8">
                        <c:v>1.26</c:v>
                      </c:pt>
                      <c:pt idx="9">
                        <c:v>1.26</c:v>
                      </c:pt>
                      <c:pt idx="10">
                        <c:v>1.26</c:v>
                      </c:pt>
                      <c:pt idx="11">
                        <c:v>1.27</c:v>
                      </c:pt>
                      <c:pt idx="12">
                        <c:v>1.27</c:v>
                      </c:pt>
                      <c:pt idx="13">
                        <c:v>1.27</c:v>
                      </c:pt>
                      <c:pt idx="14">
                        <c:v>1.27</c:v>
                      </c:pt>
                      <c:pt idx="15">
                        <c:v>1.28</c:v>
                      </c:pt>
                      <c:pt idx="16">
                        <c:v>1.28</c:v>
                      </c:pt>
                      <c:pt idx="17">
                        <c:v>1.28</c:v>
                      </c:pt>
                      <c:pt idx="18">
                        <c:v>1.29</c:v>
                      </c:pt>
                      <c:pt idx="19">
                        <c:v>1.29</c:v>
                      </c:pt>
                      <c:pt idx="20">
                        <c:v>1.29</c:v>
                      </c:pt>
                      <c:pt idx="21">
                        <c:v>1.31</c:v>
                      </c:pt>
                      <c:pt idx="22">
                        <c:v>1.33</c:v>
                      </c:pt>
                      <c:pt idx="23">
                        <c:v>1.33</c:v>
                      </c:pt>
                      <c:pt idx="24">
                        <c:v>1.32</c:v>
                      </c:pt>
                      <c:pt idx="25">
                        <c:v>1.31</c:v>
                      </c:pt>
                      <c:pt idx="26">
                        <c:v>1.29</c:v>
                      </c:pt>
                    </c:numCache>
                  </c:numRef>
                </c:yVal>
                <c:smooth val="0"/>
                <c:extLst>
                  <c:ext xmlns:c16="http://schemas.microsoft.com/office/drawing/2014/chart" uri="{C3380CC4-5D6E-409C-BE32-E72D297353CC}">
                    <c16:uniqueId val="{00000002-C13E-4E24-B62A-A60F45716F48}"/>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Tabelle'!$C$13:$AC$13</c15:sqref>
                        </c15:formulaRef>
                      </c:ext>
                    </c:extLst>
                    <c:numCache>
                      <c:formatCode>General</c:formatCode>
                      <c:ptCount val="27"/>
                      <c:pt idx="0">
                        <c:v>1.3260000000000001</c:v>
                      </c:pt>
                      <c:pt idx="1">
                        <c:v>1.258</c:v>
                      </c:pt>
                      <c:pt idx="2">
                        <c:v>1.2649999999999999</c:v>
                      </c:pt>
                      <c:pt idx="3">
                        <c:v>1.2669999999999999</c:v>
                      </c:pt>
                      <c:pt idx="4">
                        <c:v>1.272</c:v>
                      </c:pt>
                      <c:pt idx="5">
                        <c:v>1.2789999999999999</c:v>
                      </c:pt>
                      <c:pt idx="6">
                        <c:v>1.286</c:v>
                      </c:pt>
                      <c:pt idx="7">
                        <c:v>1.2909999999999999</c:v>
                      </c:pt>
                      <c:pt idx="8">
                        <c:v>1.2929999999999999</c:v>
                      </c:pt>
                      <c:pt idx="9">
                        <c:v>1.296</c:v>
                      </c:pt>
                      <c:pt idx="10">
                        <c:v>1.3</c:v>
                      </c:pt>
                      <c:pt idx="11">
                        <c:v>1.3069999999999999</c:v>
                      </c:pt>
                      <c:pt idx="12">
                        <c:v>1.31</c:v>
                      </c:pt>
                      <c:pt idx="13">
                        <c:v>1.3120000000000001</c:v>
                      </c:pt>
                      <c:pt idx="14">
                        <c:v>1.3220000000000001</c:v>
                      </c:pt>
                      <c:pt idx="15">
                        <c:v>1.3240000000000001</c:v>
                      </c:pt>
                      <c:pt idx="16">
                        <c:v>1.331</c:v>
                      </c:pt>
                      <c:pt idx="17">
                        <c:v>1.3380000000000001</c:v>
                      </c:pt>
                      <c:pt idx="18">
                        <c:v>1.341</c:v>
                      </c:pt>
                      <c:pt idx="19">
                        <c:v>1.343</c:v>
                      </c:pt>
                      <c:pt idx="20">
                        <c:v>1.34</c:v>
                      </c:pt>
                      <c:pt idx="21">
                        <c:v>1.335</c:v>
                      </c:pt>
                      <c:pt idx="22">
                        <c:v>1.3280000000000001</c:v>
                      </c:pt>
                      <c:pt idx="23">
                        <c:v>1.321</c:v>
                      </c:pt>
                      <c:pt idx="24">
                        <c:v>1.3169999999999999</c:v>
                      </c:pt>
                      <c:pt idx="25">
                        <c:v>1.3120000000000001</c:v>
                      </c:pt>
                      <c:pt idx="26">
                        <c:v>1.306</c:v>
                      </c:pt>
                    </c:numCache>
                  </c:numRef>
                </c:yVal>
                <c:smooth val="0"/>
                <c:extLst xmlns:c15="http://schemas.microsoft.com/office/drawing/2012/chart">
                  <c:ext xmlns:c16="http://schemas.microsoft.com/office/drawing/2014/chart" uri="{C3380CC4-5D6E-409C-BE32-E72D297353CC}">
                    <c16:uniqueId val="{00000010-C13E-4E24-B62A-A60F45716F48}"/>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Tabelle'!$C$14:$AC$14</c15:sqref>
                        </c15:formulaRef>
                      </c:ext>
                    </c:extLst>
                    <c:numCache>
                      <c:formatCode>General</c:formatCode>
                      <c:ptCount val="27"/>
                      <c:pt idx="0">
                        <c:v>1.35</c:v>
                      </c:pt>
                      <c:pt idx="1">
                        <c:v>1.276</c:v>
                      </c:pt>
                      <c:pt idx="2">
                        <c:v>1.2829999999999999</c:v>
                      </c:pt>
                      <c:pt idx="3">
                        <c:v>1.286</c:v>
                      </c:pt>
                      <c:pt idx="4">
                        <c:v>1.2909999999999999</c:v>
                      </c:pt>
                      <c:pt idx="5">
                        <c:v>1.2989999999999999</c:v>
                      </c:pt>
                      <c:pt idx="6">
                        <c:v>1.3069999999999999</c:v>
                      </c:pt>
                      <c:pt idx="7">
                        <c:v>1.3120000000000001</c:v>
                      </c:pt>
                      <c:pt idx="8">
                        <c:v>1.3149999999999999</c:v>
                      </c:pt>
                      <c:pt idx="9">
                        <c:v>1.3169999999999999</c:v>
                      </c:pt>
                      <c:pt idx="10">
                        <c:v>1.3220000000000001</c:v>
                      </c:pt>
                      <c:pt idx="11">
                        <c:v>1.33</c:v>
                      </c:pt>
                      <c:pt idx="12">
                        <c:v>1.333</c:v>
                      </c:pt>
                      <c:pt idx="13">
                        <c:v>1.3360000000000001</c:v>
                      </c:pt>
                      <c:pt idx="14">
                        <c:v>1.3460000000000001</c:v>
                      </c:pt>
                      <c:pt idx="15">
                        <c:v>1.3480000000000001</c:v>
                      </c:pt>
                      <c:pt idx="16">
                        <c:v>1.3560000000000001</c:v>
                      </c:pt>
                      <c:pt idx="17">
                        <c:v>1.3640000000000001</c:v>
                      </c:pt>
                      <c:pt idx="18">
                        <c:v>1.367</c:v>
                      </c:pt>
                      <c:pt idx="19">
                        <c:v>1.369</c:v>
                      </c:pt>
                      <c:pt idx="20">
                        <c:v>1.3640000000000001</c:v>
                      </c:pt>
                      <c:pt idx="21">
                        <c:v>1.353</c:v>
                      </c:pt>
                      <c:pt idx="22">
                        <c:v>1.337</c:v>
                      </c:pt>
                      <c:pt idx="23">
                        <c:v>1.327</c:v>
                      </c:pt>
                      <c:pt idx="24">
                        <c:v>1.323</c:v>
                      </c:pt>
                      <c:pt idx="25">
                        <c:v>1.32</c:v>
                      </c:pt>
                      <c:pt idx="26">
                        <c:v>1.3140000000000001</c:v>
                      </c:pt>
                    </c:numCache>
                  </c:numRef>
                </c:yVal>
                <c:smooth val="0"/>
                <c:extLst xmlns:c15="http://schemas.microsoft.com/office/drawing/2012/chart">
                  <c:ext xmlns:c16="http://schemas.microsoft.com/office/drawing/2014/chart" uri="{C3380CC4-5D6E-409C-BE32-E72D297353CC}">
                    <c16:uniqueId val="{00000011-C13E-4E24-B62A-A60F45716F48}"/>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Tabelle'!$C$15:$AC$15</c15:sqref>
                        </c15:formulaRef>
                      </c:ext>
                    </c:extLst>
                    <c:numCache>
                      <c:formatCode>General</c:formatCode>
                      <c:ptCount val="27"/>
                      <c:pt idx="0">
                        <c:v>1.3740000000000001</c:v>
                      </c:pt>
                      <c:pt idx="1">
                        <c:v>1.2929999999999999</c:v>
                      </c:pt>
                      <c:pt idx="2">
                        <c:v>1.302</c:v>
                      </c:pt>
                      <c:pt idx="3">
                        <c:v>1.304</c:v>
                      </c:pt>
                      <c:pt idx="4">
                        <c:v>1.31</c:v>
                      </c:pt>
                      <c:pt idx="5">
                        <c:v>1.319</c:v>
                      </c:pt>
                      <c:pt idx="6">
                        <c:v>1.327</c:v>
                      </c:pt>
                      <c:pt idx="7">
                        <c:v>1.333</c:v>
                      </c:pt>
                      <c:pt idx="8">
                        <c:v>1.3360000000000001</c:v>
                      </c:pt>
                      <c:pt idx="9">
                        <c:v>1.339</c:v>
                      </c:pt>
                      <c:pt idx="10">
                        <c:v>1.345</c:v>
                      </c:pt>
                      <c:pt idx="11">
                        <c:v>1.353</c:v>
                      </c:pt>
                      <c:pt idx="12">
                        <c:v>1.3560000000000001</c:v>
                      </c:pt>
                      <c:pt idx="13">
                        <c:v>1.359</c:v>
                      </c:pt>
                      <c:pt idx="14">
                        <c:v>1.37</c:v>
                      </c:pt>
                      <c:pt idx="15">
                        <c:v>1.373</c:v>
                      </c:pt>
                      <c:pt idx="16">
                        <c:v>1.381</c:v>
                      </c:pt>
                      <c:pt idx="17">
                        <c:v>1.39</c:v>
                      </c:pt>
                      <c:pt idx="18">
                        <c:v>1.3939999999999999</c:v>
                      </c:pt>
                      <c:pt idx="19">
                        <c:v>1.3959999999999999</c:v>
                      </c:pt>
                      <c:pt idx="20">
                        <c:v>1.3879999999999999</c:v>
                      </c:pt>
                      <c:pt idx="21">
                        <c:v>1.371</c:v>
                      </c:pt>
                      <c:pt idx="22">
                        <c:v>1.3460000000000001</c:v>
                      </c:pt>
                      <c:pt idx="23">
                        <c:v>1.3340000000000001</c:v>
                      </c:pt>
                      <c:pt idx="24">
                        <c:v>1.33</c:v>
                      </c:pt>
                      <c:pt idx="25">
                        <c:v>1.327</c:v>
                      </c:pt>
                      <c:pt idx="26">
                        <c:v>1.3220000000000001</c:v>
                      </c:pt>
                    </c:numCache>
                  </c:numRef>
                </c:yVal>
                <c:smooth val="0"/>
                <c:extLst xmlns:c15="http://schemas.microsoft.com/office/drawing/2012/chart">
                  <c:ext xmlns:c16="http://schemas.microsoft.com/office/drawing/2014/chart" uri="{C3380CC4-5D6E-409C-BE32-E72D297353CC}">
                    <c16:uniqueId val="{00000012-C13E-4E24-B62A-A60F45716F48}"/>
                  </c:ext>
                </c:extLst>
              </c15:ser>
            </c15:filteredScatterSeries>
            <c15:filteredScatterSeries>
              <c15:ser>
                <c:idx val="15"/>
                <c:order val="15"/>
                <c:tx>
                  <c:strRef>
                    <c:extLs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c:ext xmlns:c15="http://schemas.microsoft.com/office/drawing/2012/chart" uri="{02D57815-91ED-43cb-92C2-25804820EDAC}">
                        <c15:formulaRef>
                          <c15:sqref>'Cordivari Tabelle'!$C$11:$AB$11</c15:sqref>
                        </c15:formulaRef>
                      </c:ext>
                    </c:extLst>
                    <c:numCache>
                      <c:formatCode>General</c:formatCode>
                      <c:ptCount val="26"/>
                      <c:pt idx="0">
                        <c:v>1.3029999999999999</c:v>
                      </c:pt>
                      <c:pt idx="1">
                        <c:v>1.2470000000000001</c:v>
                      </c:pt>
                      <c:pt idx="2">
                        <c:v>1.2609999999999999</c:v>
                      </c:pt>
                      <c:pt idx="3">
                        <c:v>1.2749999999999999</c:v>
                      </c:pt>
                      <c:pt idx="4">
                        <c:v>1.2829999999999999</c:v>
                      </c:pt>
                      <c:pt idx="5">
                        <c:v>1.2869999999999999</c:v>
                      </c:pt>
                      <c:pt idx="6">
                        <c:v>1.2889999999999999</c:v>
                      </c:pt>
                      <c:pt idx="7">
                        <c:v>1.292</c:v>
                      </c:pt>
                      <c:pt idx="8">
                        <c:v>1.2969999999999999</c:v>
                      </c:pt>
                      <c:pt idx="9">
                        <c:v>1.2989999999999999</c:v>
                      </c:pt>
                      <c:pt idx="10">
                        <c:v>1.31</c:v>
                      </c:pt>
                      <c:pt idx="11">
                        <c:v>1.3109999999999999</c:v>
                      </c:pt>
                      <c:pt idx="12">
                        <c:v>1.3149999999999999</c:v>
                      </c:pt>
                      <c:pt idx="13">
                        <c:v>1.3240000000000001</c:v>
                      </c:pt>
                      <c:pt idx="14">
                        <c:v>1.327</c:v>
                      </c:pt>
                      <c:pt idx="15">
                        <c:v>1.3320000000000001</c:v>
                      </c:pt>
                      <c:pt idx="16">
                        <c:v>1.335</c:v>
                      </c:pt>
                      <c:pt idx="17">
                        <c:v>1.343</c:v>
                      </c:pt>
                      <c:pt idx="18">
                        <c:v>1.355</c:v>
                      </c:pt>
                      <c:pt idx="19">
                        <c:v>1.355</c:v>
                      </c:pt>
                      <c:pt idx="20">
                        <c:v>1.355</c:v>
                      </c:pt>
                      <c:pt idx="21">
                        <c:v>1.355</c:v>
                      </c:pt>
                      <c:pt idx="22">
                        <c:v>1.355</c:v>
                      </c:pt>
                      <c:pt idx="23">
                        <c:v>1.355</c:v>
                      </c:pt>
                      <c:pt idx="24">
                        <c:v>1.355</c:v>
                      </c:pt>
                      <c:pt idx="25">
                        <c:v>1.355</c:v>
                      </c:pt>
                    </c:numCache>
                  </c:numRef>
                </c:yVal>
                <c:smooth val="0"/>
                <c:extLst>
                  <c:ext xmlns:c16="http://schemas.microsoft.com/office/drawing/2014/chart" uri="{C3380CC4-5D6E-409C-BE32-E72D297353CC}">
                    <c16:uniqueId val="{00000003-C13E-4E24-B62A-A60F45716F48}"/>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Tabelle'!$C$13:$AB$13</c15:sqref>
                        </c15:formulaRef>
                      </c:ext>
                    </c:extLst>
                    <c:numCache>
                      <c:formatCode>General</c:formatCode>
                      <c:ptCount val="26"/>
                      <c:pt idx="0">
                        <c:v>1.3169999999999999</c:v>
                      </c:pt>
                      <c:pt idx="1">
                        <c:v>1.2649999999999999</c:v>
                      </c:pt>
                      <c:pt idx="2">
                        <c:v>1.28</c:v>
                      </c:pt>
                      <c:pt idx="3">
                        <c:v>1.296</c:v>
                      </c:pt>
                      <c:pt idx="4">
                        <c:v>1.3049999999999999</c:v>
                      </c:pt>
                      <c:pt idx="5">
                        <c:v>1.3089999999999999</c:v>
                      </c:pt>
                      <c:pt idx="6">
                        <c:v>1.3120000000000001</c:v>
                      </c:pt>
                      <c:pt idx="7">
                        <c:v>1.3160000000000001</c:v>
                      </c:pt>
                      <c:pt idx="8">
                        <c:v>1.32</c:v>
                      </c:pt>
                      <c:pt idx="9">
                        <c:v>1.3240000000000001</c:v>
                      </c:pt>
                      <c:pt idx="10">
                        <c:v>1.335</c:v>
                      </c:pt>
                      <c:pt idx="11">
                        <c:v>1.3360000000000001</c:v>
                      </c:pt>
                      <c:pt idx="12">
                        <c:v>1.341</c:v>
                      </c:pt>
                      <c:pt idx="13">
                        <c:v>1.3520000000000001</c:v>
                      </c:pt>
                      <c:pt idx="14">
                        <c:v>1.355</c:v>
                      </c:pt>
                      <c:pt idx="15">
                        <c:v>1.3580000000000001</c:v>
                      </c:pt>
                      <c:pt idx="16">
                        <c:v>1.355</c:v>
                      </c:pt>
                      <c:pt idx="17">
                        <c:v>1.3480000000000001</c:v>
                      </c:pt>
                      <c:pt idx="18">
                        <c:v>1.3380000000000001</c:v>
                      </c:pt>
                      <c:pt idx="19">
                        <c:v>1.3460000000000001</c:v>
                      </c:pt>
                      <c:pt idx="20">
                        <c:v>1.353</c:v>
                      </c:pt>
                      <c:pt idx="21">
                        <c:v>1.3560000000000001</c:v>
                      </c:pt>
                      <c:pt idx="22">
                        <c:v>1.3640000000000001</c:v>
                      </c:pt>
                      <c:pt idx="23">
                        <c:v>1.3660000000000001</c:v>
                      </c:pt>
                      <c:pt idx="24">
                        <c:v>1.3740000000000001</c:v>
                      </c:pt>
                      <c:pt idx="25">
                        <c:v>1.389</c:v>
                      </c:pt>
                    </c:numCache>
                  </c:numRef>
                </c:yVal>
                <c:smooth val="0"/>
                <c:extLst xmlns:c15="http://schemas.microsoft.com/office/drawing/2012/chart">
                  <c:ext xmlns:c16="http://schemas.microsoft.com/office/drawing/2014/chart" uri="{C3380CC4-5D6E-409C-BE32-E72D297353CC}">
                    <c16:uniqueId val="{00000014-C13E-4E24-B62A-A60F45716F48}"/>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Tabelle'!$C$14:$AB$14</c15:sqref>
                        </c15:formulaRef>
                      </c:ext>
                    </c:extLst>
                    <c:numCache>
                      <c:formatCode>General</c:formatCode>
                      <c:ptCount val="26"/>
                      <c:pt idx="0">
                        <c:v>1.329</c:v>
                      </c:pt>
                      <c:pt idx="1">
                        <c:v>1.32</c:v>
                      </c:pt>
                      <c:pt idx="2">
                        <c:v>1.323</c:v>
                      </c:pt>
                      <c:pt idx="3">
                        <c:v>1.3260000000000001</c:v>
                      </c:pt>
                      <c:pt idx="4">
                        <c:v>1.3280000000000001</c:v>
                      </c:pt>
                      <c:pt idx="5">
                        <c:v>1.329</c:v>
                      </c:pt>
                      <c:pt idx="6">
                        <c:v>1.329</c:v>
                      </c:pt>
                      <c:pt idx="7">
                        <c:v>1.33</c:v>
                      </c:pt>
                      <c:pt idx="8">
                        <c:v>1.331</c:v>
                      </c:pt>
                      <c:pt idx="9">
                        <c:v>1.3320000000000001</c:v>
                      </c:pt>
                      <c:pt idx="10">
                        <c:v>1.3340000000000001</c:v>
                      </c:pt>
                      <c:pt idx="11">
                        <c:v>1.335</c:v>
                      </c:pt>
                      <c:pt idx="12">
                        <c:v>1.335</c:v>
                      </c:pt>
                      <c:pt idx="13">
                        <c:v>1.3380000000000001</c:v>
                      </c:pt>
                      <c:pt idx="14">
                        <c:v>1.3380000000000001</c:v>
                      </c:pt>
                      <c:pt idx="15">
                        <c:v>1.3420000000000001</c:v>
                      </c:pt>
                      <c:pt idx="16">
                        <c:v>1.3480000000000001</c:v>
                      </c:pt>
                      <c:pt idx="17">
                        <c:v>1.3660000000000001</c:v>
                      </c:pt>
                      <c:pt idx="18">
                        <c:v>1.393</c:v>
                      </c:pt>
                      <c:pt idx="19">
                        <c:v>1.381</c:v>
                      </c:pt>
                      <c:pt idx="20">
                        <c:v>1.37</c:v>
                      </c:pt>
                      <c:pt idx="21">
                        <c:v>1.3660000000000001</c:v>
                      </c:pt>
                      <c:pt idx="22">
                        <c:v>1.3560000000000001</c:v>
                      </c:pt>
                      <c:pt idx="23">
                        <c:v>1.351</c:v>
                      </c:pt>
                      <c:pt idx="24">
                        <c:v>1.341</c:v>
                      </c:pt>
                      <c:pt idx="25">
                        <c:v>1.3180000000000001</c:v>
                      </c:pt>
                    </c:numCache>
                  </c:numRef>
                </c:yVal>
                <c:smooth val="0"/>
                <c:extLst xmlns:c15="http://schemas.microsoft.com/office/drawing/2012/chart">
                  <c:ext xmlns:c16="http://schemas.microsoft.com/office/drawing/2014/chart" uri="{C3380CC4-5D6E-409C-BE32-E72D297353CC}">
                    <c16:uniqueId val="{00000015-C13E-4E24-B62A-A60F45716F48}"/>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Tabelle'!$C$15:$AB$15</c15:sqref>
                        </c15:formulaRef>
                      </c:ext>
                    </c:extLst>
                    <c:numCache>
                      <c:formatCode>General</c:formatCode>
                      <c:ptCount val="26"/>
                      <c:pt idx="0">
                        <c:v>1.3180000000000001</c:v>
                      </c:pt>
                      <c:pt idx="1">
                        <c:v>1.3220000000000001</c:v>
                      </c:pt>
                      <c:pt idx="2">
                        <c:v>1.3129999999999999</c:v>
                      </c:pt>
                      <c:pt idx="3">
                        <c:v>1.3049999999999999</c:v>
                      </c:pt>
                      <c:pt idx="4">
                        <c:v>1.3</c:v>
                      </c:pt>
                      <c:pt idx="5">
                        <c:v>1.298</c:v>
                      </c:pt>
                      <c:pt idx="6">
                        <c:v>1.296</c:v>
                      </c:pt>
                      <c:pt idx="7">
                        <c:v>1.294</c:v>
                      </c:pt>
                      <c:pt idx="8">
                        <c:v>1.292</c:v>
                      </c:pt>
                      <c:pt idx="9">
                        <c:v>1.29</c:v>
                      </c:pt>
                      <c:pt idx="10">
                        <c:v>1.284</c:v>
                      </c:pt>
                      <c:pt idx="11">
                        <c:v>1.2829999999999999</c:v>
                      </c:pt>
                      <c:pt idx="12">
                        <c:v>1.2809999999999999</c:v>
                      </c:pt>
                      <c:pt idx="13">
                        <c:v>1.2749999999999999</c:v>
                      </c:pt>
                      <c:pt idx="14">
                        <c:v>1.2729999999999999</c:v>
                      </c:pt>
                      <c:pt idx="15">
                        <c:v>1.2769999999999999</c:v>
                      </c:pt>
                      <c:pt idx="16">
                        <c:v>1.296</c:v>
                      </c:pt>
                      <c:pt idx="17">
                        <c:v>1.345</c:v>
                      </c:pt>
                      <c:pt idx="18">
                        <c:v>1.4179999999999999</c:v>
                      </c:pt>
                      <c:pt idx="19">
                        <c:v>1.407</c:v>
                      </c:pt>
                      <c:pt idx="20">
                        <c:v>1.3959999999999999</c:v>
                      </c:pt>
                      <c:pt idx="21">
                        <c:v>1.3919999999999999</c:v>
                      </c:pt>
                      <c:pt idx="22">
                        <c:v>1.3819999999999999</c:v>
                      </c:pt>
                      <c:pt idx="23">
                        <c:v>1.3779999999999999</c:v>
                      </c:pt>
                      <c:pt idx="24">
                        <c:v>1.367</c:v>
                      </c:pt>
                      <c:pt idx="25">
                        <c:v>1.345</c:v>
                      </c:pt>
                    </c:numCache>
                  </c:numRef>
                </c:yVal>
                <c:smooth val="0"/>
                <c:extLst xmlns:c15="http://schemas.microsoft.com/office/drawing/2012/chart">
                  <c:ext xmlns:c16="http://schemas.microsoft.com/office/drawing/2014/chart" uri="{C3380CC4-5D6E-409C-BE32-E72D297353CC}">
                    <c16:uniqueId val="{00000016-C13E-4E24-B62A-A60F45716F48}"/>
                  </c:ext>
                </c:extLst>
              </c15:ser>
            </c15:filteredScatterSeries>
            <c15:filteredScatterSeries>
              <c15:ser>
                <c:idx val="20"/>
                <c:order val="20"/>
                <c:tx>
                  <c:strRef>
                    <c:extLs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c:ext xmlns:c15="http://schemas.microsoft.com/office/drawing/2012/chart" uri="{02D57815-91ED-43cb-92C2-25804820EDAC}">
                        <c15:formulaRef>
                          <c15:sqref>'FIR Iron'!$C$11:$AC$11</c15:sqref>
                        </c15:formulaRef>
                      </c:ext>
                    </c:extLst>
                    <c:numCache>
                      <c:formatCode>General</c:formatCode>
                      <c:ptCount val="27"/>
                      <c:pt idx="0">
                        <c:v>1.21</c:v>
                      </c:pt>
                      <c:pt idx="1">
                        <c:v>1.22</c:v>
                      </c:pt>
                      <c:pt idx="2">
                        <c:v>1.23</c:v>
                      </c:pt>
                      <c:pt idx="4">
                        <c:v>1.23</c:v>
                      </c:pt>
                      <c:pt idx="6">
                        <c:v>1.23</c:v>
                      </c:pt>
                      <c:pt idx="7">
                        <c:v>1.24</c:v>
                      </c:pt>
                      <c:pt idx="8">
                        <c:v>1.24</c:v>
                      </c:pt>
                      <c:pt idx="9">
                        <c:v>1.24</c:v>
                      </c:pt>
                      <c:pt idx="10">
                        <c:v>1.24</c:v>
                      </c:pt>
                      <c:pt idx="11">
                        <c:v>1.25</c:v>
                      </c:pt>
                      <c:pt idx="12">
                        <c:v>1.25</c:v>
                      </c:pt>
                      <c:pt idx="13">
                        <c:v>1.26</c:v>
                      </c:pt>
                      <c:pt idx="14">
                        <c:v>1.26</c:v>
                      </c:pt>
                      <c:pt idx="15">
                        <c:v>1.27</c:v>
                      </c:pt>
                      <c:pt idx="16">
                        <c:v>1.27</c:v>
                      </c:pt>
                      <c:pt idx="18">
                        <c:v>1.28</c:v>
                      </c:pt>
                      <c:pt idx="19">
                        <c:v>1.28</c:v>
                      </c:pt>
                      <c:pt idx="20">
                        <c:v>1.3</c:v>
                      </c:pt>
                      <c:pt idx="21">
                        <c:v>1.32</c:v>
                      </c:pt>
                      <c:pt idx="22">
                        <c:v>1.33</c:v>
                      </c:pt>
                      <c:pt idx="23">
                        <c:v>1.34</c:v>
                      </c:pt>
                      <c:pt idx="24">
                        <c:v>1.34</c:v>
                      </c:pt>
                      <c:pt idx="25">
                        <c:v>1.34</c:v>
                      </c:pt>
                      <c:pt idx="26">
                        <c:v>1.3</c:v>
                      </c:pt>
                    </c:numCache>
                  </c:numRef>
                </c:yVal>
                <c:smooth val="0"/>
                <c:extLst>
                  <c:ext xmlns:c16="http://schemas.microsoft.com/office/drawing/2014/chart" uri="{C3380CC4-5D6E-409C-BE32-E72D297353CC}">
                    <c16:uniqueId val="{00000004-C13E-4E24-B62A-A60F45716F48}"/>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Iron'!$C$13:$AC$13</c15:sqref>
                        </c15:formulaRef>
                      </c:ext>
                    </c:extLst>
                    <c:numCache>
                      <c:formatCode>General</c:formatCode>
                      <c:ptCount val="27"/>
                      <c:pt idx="0">
                        <c:v>1.22</c:v>
                      </c:pt>
                      <c:pt idx="1">
                        <c:v>1.23</c:v>
                      </c:pt>
                      <c:pt idx="2">
                        <c:v>1.24</c:v>
                      </c:pt>
                      <c:pt idx="3">
                        <c:v>1.24</c:v>
                      </c:pt>
                      <c:pt idx="4">
                        <c:v>1.25</c:v>
                      </c:pt>
                      <c:pt idx="5">
                        <c:v>1.25</c:v>
                      </c:pt>
                      <c:pt idx="6">
                        <c:v>1.26</c:v>
                      </c:pt>
                      <c:pt idx="7">
                        <c:v>1.26</c:v>
                      </c:pt>
                      <c:pt idx="8">
                        <c:v>1.27</c:v>
                      </c:pt>
                      <c:pt idx="9">
                        <c:v>1.27</c:v>
                      </c:pt>
                      <c:pt idx="10">
                        <c:v>1.28</c:v>
                      </c:pt>
                      <c:pt idx="11">
                        <c:v>1.29</c:v>
                      </c:pt>
                      <c:pt idx="12">
                        <c:v>1.28</c:v>
                      </c:pt>
                      <c:pt idx="13">
                        <c:v>1.31</c:v>
                      </c:pt>
                      <c:pt idx="14">
                        <c:v>1.31</c:v>
                      </c:pt>
                      <c:pt idx="15">
                        <c:v>1.32</c:v>
                      </c:pt>
                      <c:pt idx="16">
                        <c:v>1.32</c:v>
                      </c:pt>
                      <c:pt idx="17">
                        <c:v>1.33</c:v>
                      </c:pt>
                      <c:pt idx="18">
                        <c:v>1.33</c:v>
                      </c:pt>
                      <c:pt idx="19">
                        <c:v>1.34</c:v>
                      </c:pt>
                      <c:pt idx="20">
                        <c:v>1.35</c:v>
                      </c:pt>
                      <c:pt idx="21">
                        <c:v>1.35</c:v>
                      </c:pt>
                      <c:pt idx="22">
                        <c:v>1.35</c:v>
                      </c:pt>
                      <c:pt idx="23">
                        <c:v>1.35</c:v>
                      </c:pt>
                      <c:pt idx="24">
                        <c:v>1.34</c:v>
                      </c:pt>
                      <c:pt idx="25">
                        <c:v>1.3</c:v>
                      </c:pt>
                      <c:pt idx="26">
                        <c:v>1.32</c:v>
                      </c:pt>
                    </c:numCache>
                  </c:numRef>
                </c:yVal>
                <c:smooth val="0"/>
                <c:extLst xmlns:c15="http://schemas.microsoft.com/office/drawing/2012/chart">
                  <c:ext xmlns:c16="http://schemas.microsoft.com/office/drawing/2014/chart" uri="{C3380CC4-5D6E-409C-BE32-E72D297353CC}">
                    <c16:uniqueId val="{00000018-C13E-4E24-B62A-A60F45716F48}"/>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Iron'!$C$14:$AC$14</c15:sqref>
                        </c15:formulaRef>
                      </c:ext>
                    </c:extLst>
                    <c:numCache>
                      <c:formatCode>General</c:formatCode>
                      <c:ptCount val="27"/>
                      <c:pt idx="0">
                        <c:v>1.24</c:v>
                      </c:pt>
                      <c:pt idx="1">
                        <c:v>1.24</c:v>
                      </c:pt>
                      <c:pt idx="2">
                        <c:v>1.25</c:v>
                      </c:pt>
                      <c:pt idx="3">
                        <c:v>1.25</c:v>
                      </c:pt>
                      <c:pt idx="4">
                        <c:v>1.26</c:v>
                      </c:pt>
                      <c:pt idx="6">
                        <c:v>1.26</c:v>
                      </c:pt>
                      <c:pt idx="7">
                        <c:v>1.27</c:v>
                      </c:pt>
                      <c:pt idx="8">
                        <c:v>1.28</c:v>
                      </c:pt>
                      <c:pt idx="9">
                        <c:v>1.28</c:v>
                      </c:pt>
                      <c:pt idx="10">
                        <c:v>1.28</c:v>
                      </c:pt>
                      <c:pt idx="11">
                        <c:v>1.29</c:v>
                      </c:pt>
                      <c:pt idx="12">
                        <c:v>1.28</c:v>
                      </c:pt>
                      <c:pt idx="13">
                        <c:v>1.31</c:v>
                      </c:pt>
                      <c:pt idx="14">
                        <c:v>1.31</c:v>
                      </c:pt>
                      <c:pt idx="16">
                        <c:v>1.32</c:v>
                      </c:pt>
                      <c:pt idx="17">
                        <c:v>1.33</c:v>
                      </c:pt>
                      <c:pt idx="18">
                        <c:v>1.33</c:v>
                      </c:pt>
                      <c:pt idx="19">
                        <c:v>1.34</c:v>
                      </c:pt>
                      <c:pt idx="20">
                        <c:v>1.35</c:v>
                      </c:pt>
                      <c:pt idx="21">
                        <c:v>1.35</c:v>
                      </c:pt>
                      <c:pt idx="22">
                        <c:v>1.35</c:v>
                      </c:pt>
                      <c:pt idx="23">
                        <c:v>1.34</c:v>
                      </c:pt>
                      <c:pt idx="24">
                        <c:v>1.33</c:v>
                      </c:pt>
                      <c:pt idx="25">
                        <c:v>1.31</c:v>
                      </c:pt>
                      <c:pt idx="26">
                        <c:v>1.3</c:v>
                      </c:pt>
                    </c:numCache>
                  </c:numRef>
                </c:yVal>
                <c:smooth val="0"/>
                <c:extLst xmlns:c15="http://schemas.microsoft.com/office/drawing/2012/chart">
                  <c:ext xmlns:c16="http://schemas.microsoft.com/office/drawing/2014/chart" uri="{C3380CC4-5D6E-409C-BE32-E72D297353CC}">
                    <c16:uniqueId val="{00000019-C13E-4E24-B62A-A60F45716F48}"/>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Iron'!$C$15:$AC$15</c15:sqref>
                        </c15:formulaRef>
                      </c:ext>
                    </c:extLst>
                    <c:numCache>
                      <c:formatCode>General</c:formatCode>
                      <c:ptCount val="27"/>
                      <c:pt idx="0">
                        <c:v>1.24</c:v>
                      </c:pt>
                      <c:pt idx="1">
                        <c:v>1.25</c:v>
                      </c:pt>
                      <c:pt idx="2">
                        <c:v>1.26</c:v>
                      </c:pt>
                      <c:pt idx="3">
                        <c:v>1.26</c:v>
                      </c:pt>
                      <c:pt idx="4">
                        <c:v>1.26</c:v>
                      </c:pt>
                      <c:pt idx="5">
                        <c:v>1.27</c:v>
                      </c:pt>
                      <c:pt idx="6">
                        <c:v>1.27</c:v>
                      </c:pt>
                      <c:pt idx="7">
                        <c:v>1.28</c:v>
                      </c:pt>
                      <c:pt idx="8">
                        <c:v>1.28</c:v>
                      </c:pt>
                      <c:pt idx="9">
                        <c:v>1.28</c:v>
                      </c:pt>
                      <c:pt idx="10">
                        <c:v>1.29</c:v>
                      </c:pt>
                      <c:pt idx="11">
                        <c:v>1.29</c:v>
                      </c:pt>
                      <c:pt idx="12">
                        <c:v>1.3</c:v>
                      </c:pt>
                      <c:pt idx="13">
                        <c:v>1.31</c:v>
                      </c:pt>
                      <c:pt idx="14">
                        <c:v>1.31</c:v>
                      </c:pt>
                      <c:pt idx="15">
                        <c:v>1.32</c:v>
                      </c:pt>
                      <c:pt idx="16">
                        <c:v>1.32</c:v>
                      </c:pt>
                      <c:pt idx="17">
                        <c:v>1.32</c:v>
                      </c:pt>
                      <c:pt idx="18">
                        <c:v>1.33</c:v>
                      </c:pt>
                      <c:pt idx="19">
                        <c:v>1.33</c:v>
                      </c:pt>
                      <c:pt idx="20">
                        <c:v>1.34</c:v>
                      </c:pt>
                      <c:pt idx="21">
                        <c:v>1.35</c:v>
                      </c:pt>
                      <c:pt idx="22">
                        <c:v>1.34</c:v>
                      </c:pt>
                      <c:pt idx="23">
                        <c:v>1.34</c:v>
                      </c:pt>
                      <c:pt idx="24">
                        <c:v>1.32</c:v>
                      </c:pt>
                      <c:pt idx="25">
                        <c:v>1.3</c:v>
                      </c:pt>
                      <c:pt idx="26">
                        <c:v>1.28</c:v>
                      </c:pt>
                    </c:numCache>
                  </c:numRef>
                </c:yVal>
                <c:smooth val="0"/>
                <c:extLst xmlns:c15="http://schemas.microsoft.com/office/drawing/2012/chart">
                  <c:ext xmlns:c16="http://schemas.microsoft.com/office/drawing/2014/chart" uri="{C3380CC4-5D6E-409C-BE32-E72D297353CC}">
                    <c16:uniqueId val="{0000001A-C13E-4E24-B62A-A60F45716F48}"/>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7507740131373573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Exponent </a:t>
            </a:r>
            <a:r>
              <a:rPr lang="de-CH" baseline="0"/>
              <a:t> 4-Säule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2"/>
          <c:order val="2"/>
          <c:tx>
            <c:strRef>
              <c:f>'Arbonia Tabelle'!$Y$5</c:f>
              <c:strCache>
                <c:ptCount val="1"/>
                <c:pt idx="0">
                  <c:v>ARB 4-Säule</c:v>
                </c:pt>
              </c:strCache>
              <c:extLst xmlns:c15="http://schemas.microsoft.com/office/drawing/2012/chart"/>
            </c:strRef>
          </c:tx>
          <c:spPr>
            <a:ln w="38100" cap="rnd">
              <a:noFill/>
              <a:round/>
            </a:ln>
            <a:effectLst/>
          </c:spPr>
          <c:marker>
            <c:symbol val="circle"/>
            <c:size val="5"/>
            <c:spPr>
              <a:solidFill>
                <a:schemeClr val="accent3"/>
              </a:solidFill>
              <a:ln w="9525">
                <a:solidFill>
                  <a:schemeClr val="accent3"/>
                </a:solidFill>
              </a:ln>
              <a:effectLst/>
            </c:spPr>
          </c:marker>
          <c:xVal>
            <c:numRef>
              <c:f>'Arbonia Tabelle'!$D$2:$X$2</c:f>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extLst xmlns:c15="http://schemas.microsoft.com/office/drawing/2012/chart"/>
            </c:numRef>
          </c:xVal>
          <c:yVal>
            <c:numRef>
              <c:f>'Arbonia Tabelle'!$D$13:$X$13</c:f>
              <c:numCache>
                <c:formatCode>General</c:formatCode>
                <c:ptCount val="21"/>
                <c:pt idx="0">
                  <c:v>1.25</c:v>
                </c:pt>
                <c:pt idx="1">
                  <c:v>1.3</c:v>
                </c:pt>
                <c:pt idx="2">
                  <c:v>1.33</c:v>
                </c:pt>
                <c:pt idx="3">
                  <c:v>1.35</c:v>
                </c:pt>
                <c:pt idx="4">
                  <c:v>1.35</c:v>
                </c:pt>
                <c:pt idx="5">
                  <c:v>1.35</c:v>
                </c:pt>
                <c:pt idx="6">
                  <c:v>1.35</c:v>
                </c:pt>
                <c:pt idx="7">
                  <c:v>1.35</c:v>
                </c:pt>
                <c:pt idx="8">
                  <c:v>1.35</c:v>
                </c:pt>
                <c:pt idx="9">
                  <c:v>1.35</c:v>
                </c:pt>
                <c:pt idx="10">
                  <c:v>1.35</c:v>
                </c:pt>
                <c:pt idx="11">
                  <c:v>1.35</c:v>
                </c:pt>
                <c:pt idx="12">
                  <c:v>1.35</c:v>
                </c:pt>
                <c:pt idx="13">
                  <c:v>1.35</c:v>
                </c:pt>
                <c:pt idx="14">
                  <c:v>1.35</c:v>
                </c:pt>
                <c:pt idx="15">
                  <c:v>1.34</c:v>
                </c:pt>
                <c:pt idx="16">
                  <c:v>1.34</c:v>
                </c:pt>
                <c:pt idx="17">
                  <c:v>1.34</c:v>
                </c:pt>
                <c:pt idx="18">
                  <c:v>1.34</c:v>
                </c:pt>
                <c:pt idx="19">
                  <c:v>1.34</c:v>
                </c:pt>
                <c:pt idx="20">
                  <c:v>1.34</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8-5FD9-4CB0-A2DA-251B0B4408F8}"/>
            </c:ext>
          </c:extLst>
        </c:ser>
        <c:ser>
          <c:idx val="7"/>
          <c:order val="7"/>
          <c:tx>
            <c:strRef>
              <c:f>'Zehnder Charl. Tabelle'!$W$6</c:f>
              <c:strCache>
                <c:ptCount val="1"/>
                <c:pt idx="0">
                  <c:v>ZEHN 4-Säule</c:v>
                </c:pt>
              </c:strCache>
              <c:extLst xmlns:c15="http://schemas.microsoft.com/office/drawing/2012/chart"/>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Tabelle'!$C$15:$V$15</c:f>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C-5FD9-4CB0-A2DA-251B0B4408F8}"/>
            </c:ext>
          </c:extLst>
        </c:ser>
        <c:ser>
          <c:idx val="8"/>
          <c:order val="12"/>
          <c:tx>
            <c:strRef>
              <c:f>'IRSAP Tabelle'!$AD$5</c:f>
              <c:strCache>
                <c:ptCount val="1"/>
                <c:pt idx="0">
                  <c:v>IRSAP 4-Säule</c:v>
                </c:pt>
              </c:strCache>
              <c:extLst xmlns:c15="http://schemas.microsoft.com/office/drawing/2012/chart"/>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extLst xmlns:c15="http://schemas.microsoft.com/office/drawing/2012/chart"/>
            </c:numRef>
          </c:xVal>
          <c:yVal>
            <c:numRef>
              <c:f>'IRSAP Tabelle'!$C$13:$AC$13</c:f>
              <c:numCache>
                <c:formatCode>General</c:formatCode>
                <c:ptCount val="27"/>
                <c:pt idx="0">
                  <c:v>1.3260000000000001</c:v>
                </c:pt>
                <c:pt idx="1">
                  <c:v>1.258</c:v>
                </c:pt>
                <c:pt idx="2">
                  <c:v>1.2649999999999999</c:v>
                </c:pt>
                <c:pt idx="3">
                  <c:v>1.2669999999999999</c:v>
                </c:pt>
                <c:pt idx="4">
                  <c:v>1.272</c:v>
                </c:pt>
                <c:pt idx="5">
                  <c:v>1.2789999999999999</c:v>
                </c:pt>
                <c:pt idx="6">
                  <c:v>1.286</c:v>
                </c:pt>
                <c:pt idx="7">
                  <c:v>1.2909999999999999</c:v>
                </c:pt>
                <c:pt idx="8">
                  <c:v>1.2929999999999999</c:v>
                </c:pt>
                <c:pt idx="9">
                  <c:v>1.296</c:v>
                </c:pt>
                <c:pt idx="10">
                  <c:v>1.3</c:v>
                </c:pt>
                <c:pt idx="11">
                  <c:v>1.3069999999999999</c:v>
                </c:pt>
                <c:pt idx="12">
                  <c:v>1.31</c:v>
                </c:pt>
                <c:pt idx="13">
                  <c:v>1.3120000000000001</c:v>
                </c:pt>
                <c:pt idx="14">
                  <c:v>1.3220000000000001</c:v>
                </c:pt>
                <c:pt idx="15">
                  <c:v>1.3240000000000001</c:v>
                </c:pt>
                <c:pt idx="16">
                  <c:v>1.331</c:v>
                </c:pt>
                <c:pt idx="17">
                  <c:v>1.3380000000000001</c:v>
                </c:pt>
                <c:pt idx="18">
                  <c:v>1.341</c:v>
                </c:pt>
                <c:pt idx="19">
                  <c:v>1.343</c:v>
                </c:pt>
                <c:pt idx="20">
                  <c:v>1.34</c:v>
                </c:pt>
                <c:pt idx="21">
                  <c:v>1.335</c:v>
                </c:pt>
                <c:pt idx="22">
                  <c:v>1.3280000000000001</c:v>
                </c:pt>
                <c:pt idx="23">
                  <c:v>1.321</c:v>
                </c:pt>
                <c:pt idx="24">
                  <c:v>1.3169999999999999</c:v>
                </c:pt>
                <c:pt idx="25">
                  <c:v>1.3120000000000001</c:v>
                </c:pt>
                <c:pt idx="26">
                  <c:v>1.306</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0-5FD9-4CB0-A2DA-251B0B4408F8}"/>
            </c:ext>
          </c:extLst>
        </c:ser>
        <c:ser>
          <c:idx val="17"/>
          <c:order val="17"/>
          <c:tx>
            <c:strRef>
              <c:f>'Cordivari Tabelle'!$AC$5</c:f>
              <c:strCache>
                <c:ptCount val="1"/>
                <c:pt idx="0">
                  <c:v>Cordivari 4-Säule</c:v>
                </c:pt>
              </c:strCache>
              <c:extLst xmlns:c15="http://schemas.microsoft.com/office/drawing/2012/chart"/>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Tabelle'!$C$13:$AB$13</c:f>
              <c:numCache>
                <c:formatCode>General</c:formatCode>
                <c:ptCount val="26"/>
                <c:pt idx="0">
                  <c:v>1.3169999999999999</c:v>
                </c:pt>
                <c:pt idx="1">
                  <c:v>1.2649999999999999</c:v>
                </c:pt>
                <c:pt idx="2">
                  <c:v>1.28</c:v>
                </c:pt>
                <c:pt idx="3">
                  <c:v>1.296</c:v>
                </c:pt>
                <c:pt idx="4">
                  <c:v>1.3049999999999999</c:v>
                </c:pt>
                <c:pt idx="5">
                  <c:v>1.3089999999999999</c:v>
                </c:pt>
                <c:pt idx="6">
                  <c:v>1.3120000000000001</c:v>
                </c:pt>
                <c:pt idx="7">
                  <c:v>1.3160000000000001</c:v>
                </c:pt>
                <c:pt idx="8">
                  <c:v>1.32</c:v>
                </c:pt>
                <c:pt idx="9">
                  <c:v>1.3240000000000001</c:v>
                </c:pt>
                <c:pt idx="10">
                  <c:v>1.335</c:v>
                </c:pt>
                <c:pt idx="11">
                  <c:v>1.3360000000000001</c:v>
                </c:pt>
                <c:pt idx="12">
                  <c:v>1.341</c:v>
                </c:pt>
                <c:pt idx="13">
                  <c:v>1.3520000000000001</c:v>
                </c:pt>
                <c:pt idx="14">
                  <c:v>1.355</c:v>
                </c:pt>
                <c:pt idx="15">
                  <c:v>1.3580000000000001</c:v>
                </c:pt>
                <c:pt idx="16">
                  <c:v>1.355</c:v>
                </c:pt>
                <c:pt idx="17">
                  <c:v>1.3480000000000001</c:v>
                </c:pt>
                <c:pt idx="18">
                  <c:v>1.3380000000000001</c:v>
                </c:pt>
                <c:pt idx="19">
                  <c:v>1.3460000000000001</c:v>
                </c:pt>
                <c:pt idx="20">
                  <c:v>1.353</c:v>
                </c:pt>
                <c:pt idx="21">
                  <c:v>1.3560000000000001</c:v>
                </c:pt>
                <c:pt idx="22">
                  <c:v>1.3640000000000001</c:v>
                </c:pt>
                <c:pt idx="23">
                  <c:v>1.3660000000000001</c:v>
                </c:pt>
                <c:pt idx="24">
                  <c:v>1.3740000000000001</c:v>
                </c:pt>
                <c:pt idx="25">
                  <c:v>1.389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4-5FD9-4CB0-A2DA-251B0B4408F8}"/>
            </c:ext>
          </c:extLst>
        </c:ser>
        <c:ser>
          <c:idx val="22"/>
          <c:order val="22"/>
          <c:tx>
            <c:strRef>
              <c:f>'FIR Iron'!$AD$5</c:f>
              <c:strCache>
                <c:ptCount val="1"/>
                <c:pt idx="0">
                  <c:v>FIR Iron 4-Säule</c:v>
                </c:pt>
              </c:strCache>
              <c:extLst xmlns:c15="http://schemas.microsoft.com/office/drawing/2012/chart"/>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Iron'!$C$13:$AC$13</c:f>
              <c:numCache>
                <c:formatCode>General</c:formatCode>
                <c:ptCount val="27"/>
                <c:pt idx="0">
                  <c:v>1.22</c:v>
                </c:pt>
                <c:pt idx="1">
                  <c:v>1.23</c:v>
                </c:pt>
                <c:pt idx="2">
                  <c:v>1.24</c:v>
                </c:pt>
                <c:pt idx="3">
                  <c:v>1.24</c:v>
                </c:pt>
                <c:pt idx="4">
                  <c:v>1.25</c:v>
                </c:pt>
                <c:pt idx="5">
                  <c:v>1.25</c:v>
                </c:pt>
                <c:pt idx="6">
                  <c:v>1.26</c:v>
                </c:pt>
                <c:pt idx="7">
                  <c:v>1.26</c:v>
                </c:pt>
                <c:pt idx="8">
                  <c:v>1.27</c:v>
                </c:pt>
                <c:pt idx="9">
                  <c:v>1.27</c:v>
                </c:pt>
                <c:pt idx="10">
                  <c:v>1.28</c:v>
                </c:pt>
                <c:pt idx="11">
                  <c:v>1.29</c:v>
                </c:pt>
                <c:pt idx="12">
                  <c:v>1.28</c:v>
                </c:pt>
                <c:pt idx="13">
                  <c:v>1.31</c:v>
                </c:pt>
                <c:pt idx="14">
                  <c:v>1.31</c:v>
                </c:pt>
                <c:pt idx="15">
                  <c:v>1.32</c:v>
                </c:pt>
                <c:pt idx="16">
                  <c:v>1.32</c:v>
                </c:pt>
                <c:pt idx="17">
                  <c:v>1.33</c:v>
                </c:pt>
                <c:pt idx="18">
                  <c:v>1.33</c:v>
                </c:pt>
                <c:pt idx="19">
                  <c:v>1.34</c:v>
                </c:pt>
                <c:pt idx="20">
                  <c:v>1.35</c:v>
                </c:pt>
                <c:pt idx="21">
                  <c:v>1.35</c:v>
                </c:pt>
                <c:pt idx="22">
                  <c:v>1.35</c:v>
                </c:pt>
                <c:pt idx="23">
                  <c:v>1.35</c:v>
                </c:pt>
                <c:pt idx="24">
                  <c:v>1.34</c:v>
                </c:pt>
                <c:pt idx="25">
                  <c:v>1.3</c:v>
                </c:pt>
                <c:pt idx="26">
                  <c:v>1.32</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8-5FD9-4CB0-A2DA-251B0B4408F8}"/>
            </c:ext>
          </c:extLst>
        </c:ser>
        <c:ser>
          <c:idx val="25"/>
          <c:order val="25"/>
          <c:tx>
            <c:strRef>
              <c:f>'Exponent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trendline>
            <c:spPr>
              <a:ln w="19050" cap="rnd">
                <a:solidFill>
                  <a:schemeClr val="accent2">
                    <a:lumMod val="60000"/>
                    <a:lumOff val="40000"/>
                  </a:schemeClr>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'Exponent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'Exponent alle'!$B$87:$U$87</c:f>
              <c:numCache>
                <c:formatCode>0.00</c:formatCode>
                <c:ptCount val="20"/>
                <c:pt idx="0">
                  <c:v>1.29</c:v>
                </c:pt>
                <c:pt idx="1">
                  <c:v>1.2726</c:v>
                </c:pt>
                <c:pt idx="2">
                  <c:v>1.2837499999999999</c:v>
                </c:pt>
                <c:pt idx="3">
                  <c:v>1.2864</c:v>
                </c:pt>
                <c:pt idx="4">
                  <c:v>1.28975</c:v>
                </c:pt>
                <c:pt idx="5">
                  <c:v>1.2924</c:v>
                </c:pt>
                <c:pt idx="6">
                  <c:v>1.2975999999999999</c:v>
                </c:pt>
                <c:pt idx="7">
                  <c:v>1.3024</c:v>
                </c:pt>
                <c:pt idx="8">
                  <c:v>1.3094000000000001</c:v>
                </c:pt>
                <c:pt idx="9">
                  <c:v>1.31325</c:v>
                </c:pt>
                <c:pt idx="10">
                  <c:v>1.323</c:v>
                </c:pt>
                <c:pt idx="11">
                  <c:v>1.31</c:v>
                </c:pt>
                <c:pt idx="12">
                  <c:v>1.3366</c:v>
                </c:pt>
                <c:pt idx="13">
                  <c:v>1.3351999999999999</c:v>
                </c:pt>
                <c:pt idx="14">
                  <c:v>1.3367999999999998</c:v>
                </c:pt>
                <c:pt idx="15">
                  <c:v>1.3382000000000001</c:v>
                </c:pt>
                <c:pt idx="16">
                  <c:v>1.3391999999999999</c:v>
                </c:pt>
                <c:pt idx="17">
                  <c:v>1.339</c:v>
                </c:pt>
                <c:pt idx="18">
                  <c:v>1.3233333333333333</c:v>
                </c:pt>
                <c:pt idx="19">
                  <c:v>1.33</c:v>
                </c:pt>
              </c:numCache>
            </c:numRef>
          </c:yVal>
          <c:smooth val="0"/>
          <c:extLst>
            <c:ext xmlns:c16="http://schemas.microsoft.com/office/drawing/2014/chart" uri="{C3380CC4-5D6E-409C-BE32-E72D297353CC}">
              <c16:uniqueId val="{00000006-5FD9-4CB0-A2DA-251B0B4408F8}"/>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Tabelle'!$D$11:$X$11</c15:sqref>
                        </c15:formulaRef>
                      </c:ext>
                    </c:extLst>
                    <c:numCache>
                      <c:formatCode>General</c:formatCode>
                      <c:ptCount val="21"/>
                      <c:pt idx="0">
                        <c:v>1.23</c:v>
                      </c:pt>
                      <c:pt idx="1">
                        <c:v>1.25</c:v>
                      </c:pt>
                      <c:pt idx="2">
                        <c:v>1.26</c:v>
                      </c:pt>
                      <c:pt idx="3">
                        <c:v>1.31</c:v>
                      </c:pt>
                      <c:pt idx="4">
                        <c:v>1.31</c:v>
                      </c:pt>
                      <c:pt idx="5">
                        <c:v>1.31</c:v>
                      </c:pt>
                      <c:pt idx="6">
                        <c:v>1.31</c:v>
                      </c:pt>
                      <c:pt idx="7">
                        <c:v>1.31</c:v>
                      </c:pt>
                      <c:pt idx="8">
                        <c:v>1.31</c:v>
                      </c:pt>
                      <c:pt idx="9">
                        <c:v>1.31</c:v>
                      </c:pt>
                      <c:pt idx="10">
                        <c:v>1.31</c:v>
                      </c:pt>
                      <c:pt idx="11">
                        <c:v>1.32</c:v>
                      </c:pt>
                      <c:pt idx="12">
                        <c:v>1.32</c:v>
                      </c:pt>
                      <c:pt idx="13">
                        <c:v>1.32</c:v>
                      </c:pt>
                      <c:pt idx="14">
                        <c:v>1.32</c:v>
                      </c:pt>
                      <c:pt idx="15">
                        <c:v>1.32</c:v>
                      </c:pt>
                      <c:pt idx="16">
                        <c:v>1.32</c:v>
                      </c:pt>
                      <c:pt idx="17">
                        <c:v>1.32</c:v>
                      </c:pt>
                      <c:pt idx="18">
                        <c:v>1.32</c:v>
                      </c:pt>
                      <c:pt idx="19">
                        <c:v>1.33</c:v>
                      </c:pt>
                      <c:pt idx="20">
                        <c:v>1.33</c:v>
                      </c:pt>
                    </c:numCache>
                  </c:numRef>
                </c:yVal>
                <c:smooth val="0"/>
                <c:extLst>
                  <c:ext xmlns:c16="http://schemas.microsoft.com/office/drawing/2014/chart" uri="{C3380CC4-5D6E-409C-BE32-E72D297353CC}">
                    <c16:uniqueId val="{00000000-5FD9-4CB0-A2DA-251B0B4408F8}"/>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Tabelle'!$D$12:$X$12</c15:sqref>
                        </c15:formulaRef>
                      </c:ext>
                    </c:extLst>
                    <c:numCache>
                      <c:formatCode>General</c:formatCode>
                      <c:ptCount val="21"/>
                      <c:pt idx="0">
                        <c:v>1.27</c:v>
                      </c:pt>
                      <c:pt idx="1">
                        <c:v>1.31</c:v>
                      </c:pt>
                      <c:pt idx="2">
                        <c:v>1.33</c:v>
                      </c:pt>
                      <c:pt idx="3">
                        <c:v>1.36</c:v>
                      </c:pt>
                      <c:pt idx="4">
                        <c:v>1.36</c:v>
                      </c:pt>
                      <c:pt idx="5">
                        <c:v>1.36</c:v>
                      </c:pt>
                      <c:pt idx="6">
                        <c:v>1.36</c:v>
                      </c:pt>
                      <c:pt idx="7">
                        <c:v>1.36</c:v>
                      </c:pt>
                      <c:pt idx="8">
                        <c:v>1.36</c:v>
                      </c:pt>
                      <c:pt idx="9">
                        <c:v>1.36</c:v>
                      </c:pt>
                      <c:pt idx="10">
                        <c:v>1.36</c:v>
                      </c:pt>
                      <c:pt idx="11">
                        <c:v>1.36</c:v>
                      </c:pt>
                      <c:pt idx="12">
                        <c:v>1.35</c:v>
                      </c:pt>
                      <c:pt idx="13">
                        <c:v>1.35</c:v>
                      </c:pt>
                      <c:pt idx="14">
                        <c:v>1.35</c:v>
                      </c:pt>
                      <c:pt idx="15">
                        <c:v>1.35</c:v>
                      </c:pt>
                      <c:pt idx="16">
                        <c:v>1.34</c:v>
                      </c:pt>
                      <c:pt idx="17">
                        <c:v>1.34</c:v>
                      </c:pt>
                      <c:pt idx="18">
                        <c:v>1.34</c:v>
                      </c:pt>
                      <c:pt idx="19">
                        <c:v>1.34</c:v>
                      </c:pt>
                      <c:pt idx="20">
                        <c:v>1.33</c:v>
                      </c:pt>
                    </c:numCache>
                  </c:numRef>
                </c:yVal>
                <c:smooth val="0"/>
                <c:extLst xmlns:c15="http://schemas.microsoft.com/office/drawing/2012/chart">
                  <c:ext xmlns:c16="http://schemas.microsoft.com/office/drawing/2014/chart" uri="{C3380CC4-5D6E-409C-BE32-E72D297353CC}">
                    <c16:uniqueId val="{00000007-5FD9-4CB0-A2DA-251B0B4408F8}"/>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Tabelle'!$D$14:$X$14</c15:sqref>
                        </c15:formulaRef>
                      </c:ext>
                    </c:extLst>
                    <c:numCache>
                      <c:formatCode>General</c:formatCode>
                      <c:ptCount val="21"/>
                      <c:pt idx="0">
                        <c:v>0</c:v>
                      </c:pt>
                      <c:pt idx="1">
                        <c:v>1.33</c:v>
                      </c:pt>
                      <c:pt idx="2">
                        <c:v>1.36</c:v>
                      </c:pt>
                      <c:pt idx="3">
                        <c:v>1.39</c:v>
                      </c:pt>
                      <c:pt idx="4">
                        <c:v>1.39</c:v>
                      </c:pt>
                      <c:pt idx="5">
                        <c:v>1.39</c:v>
                      </c:pt>
                      <c:pt idx="6">
                        <c:v>1.39</c:v>
                      </c:pt>
                      <c:pt idx="7">
                        <c:v>1.39</c:v>
                      </c:pt>
                      <c:pt idx="8">
                        <c:v>1.39</c:v>
                      </c:pt>
                      <c:pt idx="9">
                        <c:v>1.39</c:v>
                      </c:pt>
                      <c:pt idx="10">
                        <c:v>1.39</c:v>
                      </c:pt>
                      <c:pt idx="11">
                        <c:v>1.38</c:v>
                      </c:pt>
                      <c:pt idx="12">
                        <c:v>1.38</c:v>
                      </c:pt>
                      <c:pt idx="13">
                        <c:v>1.38</c:v>
                      </c:pt>
                      <c:pt idx="14">
                        <c:v>1.37</c:v>
                      </c:pt>
                      <c:pt idx="15">
                        <c:v>1.37</c:v>
                      </c:pt>
                      <c:pt idx="16">
                        <c:v>1.37</c:v>
                      </c:pt>
                      <c:pt idx="17">
                        <c:v>1.36</c:v>
                      </c:pt>
                      <c:pt idx="18">
                        <c:v>1.36</c:v>
                      </c:pt>
                      <c:pt idx="19">
                        <c:v>1.35</c:v>
                      </c:pt>
                      <c:pt idx="20">
                        <c:v>1.35</c:v>
                      </c:pt>
                    </c:numCache>
                  </c:numRef>
                </c:yVal>
                <c:smooth val="0"/>
                <c:extLst xmlns:c15="http://schemas.microsoft.com/office/drawing/2012/chart">
                  <c:ext xmlns:c16="http://schemas.microsoft.com/office/drawing/2014/chart" uri="{C3380CC4-5D6E-409C-BE32-E72D297353CC}">
                    <c16:uniqueId val="{00000009-5FD9-4CB0-A2DA-251B0B4408F8}"/>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Tabelle'!$D$15:$X$15</c15:sqref>
                        </c15:formulaRef>
                      </c:ext>
                    </c:extLst>
                    <c:numCache>
                      <c:formatCode>General</c:formatCode>
                      <c:ptCount val="21"/>
                      <c:pt idx="0">
                        <c:v>0</c:v>
                      </c:pt>
                      <c:pt idx="1">
                        <c:v>1.36</c:v>
                      </c:pt>
                      <c:pt idx="2">
                        <c:v>1.39</c:v>
                      </c:pt>
                      <c:pt idx="3">
                        <c:v>1.41</c:v>
                      </c:pt>
                      <c:pt idx="4">
                        <c:v>1.41</c:v>
                      </c:pt>
                      <c:pt idx="5">
                        <c:v>1.41</c:v>
                      </c:pt>
                      <c:pt idx="6">
                        <c:v>1.41</c:v>
                      </c:pt>
                      <c:pt idx="7">
                        <c:v>1.41</c:v>
                      </c:pt>
                      <c:pt idx="8">
                        <c:v>1.41</c:v>
                      </c:pt>
                      <c:pt idx="9">
                        <c:v>1.4</c:v>
                      </c:pt>
                      <c:pt idx="10">
                        <c:v>1.4</c:v>
                      </c:pt>
                      <c:pt idx="11">
                        <c:v>1.4</c:v>
                      </c:pt>
                      <c:pt idx="12">
                        <c:v>1.4</c:v>
                      </c:pt>
                      <c:pt idx="13">
                        <c:v>1.4</c:v>
                      </c:pt>
                      <c:pt idx="14">
                        <c:v>1.4</c:v>
                      </c:pt>
                      <c:pt idx="15">
                        <c:v>1.39</c:v>
                      </c:pt>
                      <c:pt idx="16">
                        <c:v>1.39</c:v>
                      </c:pt>
                      <c:pt idx="17">
                        <c:v>1.39</c:v>
                      </c:pt>
                      <c:pt idx="18">
                        <c:v>1.39</c:v>
                      </c:pt>
                      <c:pt idx="19">
                        <c:v>1.38</c:v>
                      </c:pt>
                      <c:pt idx="20">
                        <c:v>1.38</c:v>
                      </c:pt>
                    </c:numCache>
                  </c:numRef>
                </c:yVal>
                <c:smooth val="0"/>
                <c:extLst xmlns:c15="http://schemas.microsoft.com/office/drawing/2012/chart">
                  <c:ext xmlns:c16="http://schemas.microsoft.com/office/drawing/2014/chart" uri="{C3380CC4-5D6E-409C-BE32-E72D297353CC}">
                    <c16:uniqueId val="{0000000A-5FD9-4CB0-A2DA-251B0B4408F8}"/>
                  </c:ext>
                </c:extLst>
              </c15:ser>
            </c15:filteredScatterSeries>
            <c15:filteredScatterSeries>
              <c15:ser>
                <c:idx val="5"/>
                <c:order val="5"/>
                <c:tx>
                  <c:strRef>
                    <c:extLs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c:ext xmlns:c15="http://schemas.microsoft.com/office/drawing/2012/chart" uri="{02D57815-91ED-43cb-92C2-25804820EDAC}">
                        <c15:formulaRef>
                          <c15:sqref>'Zehnder Charl. Tabelle'!$C$13:$V$13</c15:sqref>
                        </c15:formulaRef>
                      </c:ext>
                    </c:extLst>
                    <c:numCache>
                      <c:formatCode>General</c:formatCode>
                      <c:ptCount val="20"/>
                      <c:pt idx="0">
                        <c:v>1.27</c:v>
                      </c:pt>
                      <c:pt idx="1">
                        <c:v>1.27</c:v>
                      </c:pt>
                      <c:pt idx="2">
                        <c:v>1.26</c:v>
                      </c:pt>
                      <c:pt idx="3">
                        <c:v>1.26</c:v>
                      </c:pt>
                      <c:pt idx="4">
                        <c:v>1.26</c:v>
                      </c:pt>
                      <c:pt idx="5">
                        <c:v>1.25</c:v>
                      </c:pt>
                      <c:pt idx="6">
                        <c:v>1.25</c:v>
                      </c:pt>
                      <c:pt idx="7">
                        <c:v>1.25</c:v>
                      </c:pt>
                      <c:pt idx="8">
                        <c:v>1.24</c:v>
                      </c:pt>
                      <c:pt idx="9">
                        <c:v>1.23</c:v>
                      </c:pt>
                      <c:pt idx="10">
                        <c:v>1.22</c:v>
                      </c:pt>
                      <c:pt idx="11">
                        <c:v>1.21</c:v>
                      </c:pt>
                      <c:pt idx="12">
                        <c:v>1.3</c:v>
                      </c:pt>
                      <c:pt idx="13">
                        <c:v>1.29</c:v>
                      </c:pt>
                      <c:pt idx="14">
                        <c:v>1.29</c:v>
                      </c:pt>
                      <c:pt idx="15">
                        <c:v>1.28</c:v>
                      </c:pt>
                      <c:pt idx="16">
                        <c:v>1.28</c:v>
                      </c:pt>
                      <c:pt idx="17">
                        <c:v>1.28</c:v>
                      </c:pt>
                      <c:pt idx="18">
                        <c:v>1.27</c:v>
                      </c:pt>
                      <c:pt idx="19">
                        <c:v>1.27</c:v>
                      </c:pt>
                    </c:numCache>
                  </c:numRef>
                </c:yVal>
                <c:smooth val="0"/>
                <c:extLst>
                  <c:ext xmlns:c16="http://schemas.microsoft.com/office/drawing/2014/chart" uri="{C3380CC4-5D6E-409C-BE32-E72D297353CC}">
                    <c16:uniqueId val="{00000001-5FD9-4CB0-A2DA-251B0B4408F8}"/>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Tabelle'!$C$14:$V$14</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B-5FD9-4CB0-A2DA-251B0B4408F8}"/>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Tabelle'!$C$16:$V$16</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D-5FD9-4CB0-A2DA-251B0B4408F8}"/>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Tabelle'!$C$17:$V$17</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1.25</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E-5FD9-4CB0-A2DA-251B0B4408F8}"/>
                  </c:ext>
                </c:extLst>
              </c15:ser>
            </c15:filteredScatterSeries>
            <c15:filteredScatterSeries>
              <c15:ser>
                <c:idx val="3"/>
                <c:order val="10"/>
                <c:tx>
                  <c:strRef>
                    <c:extLs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c:ext xmlns:c15="http://schemas.microsoft.com/office/drawing/2012/chart" uri="{02D57815-91ED-43cb-92C2-25804820EDAC}">
                        <c15:formulaRef>
                          <c15:sqref>'IRSAP Tabelle'!$C$11:$AC$11</c15:sqref>
                        </c15:formulaRef>
                      </c:ext>
                    </c:extLst>
                    <c:numCache>
                      <c:formatCode>General</c:formatCode>
                      <c:ptCount val="27"/>
                      <c:pt idx="0">
                        <c:v>1.25</c:v>
                      </c:pt>
                      <c:pt idx="1">
                        <c:v>1.24</c:v>
                      </c:pt>
                      <c:pt idx="2">
                        <c:v>1.24</c:v>
                      </c:pt>
                      <c:pt idx="3">
                        <c:v>1.24</c:v>
                      </c:pt>
                      <c:pt idx="4">
                        <c:v>1.25</c:v>
                      </c:pt>
                      <c:pt idx="5">
                        <c:v>1.25</c:v>
                      </c:pt>
                      <c:pt idx="6">
                        <c:v>1.25</c:v>
                      </c:pt>
                      <c:pt idx="7">
                        <c:v>1.26</c:v>
                      </c:pt>
                      <c:pt idx="8">
                        <c:v>1.26</c:v>
                      </c:pt>
                      <c:pt idx="9">
                        <c:v>1.26</c:v>
                      </c:pt>
                      <c:pt idx="10">
                        <c:v>1.26</c:v>
                      </c:pt>
                      <c:pt idx="11">
                        <c:v>1.27</c:v>
                      </c:pt>
                      <c:pt idx="12">
                        <c:v>1.27</c:v>
                      </c:pt>
                      <c:pt idx="13">
                        <c:v>1.27</c:v>
                      </c:pt>
                      <c:pt idx="14">
                        <c:v>1.27</c:v>
                      </c:pt>
                      <c:pt idx="15">
                        <c:v>1.28</c:v>
                      </c:pt>
                      <c:pt idx="16">
                        <c:v>1.28</c:v>
                      </c:pt>
                      <c:pt idx="17">
                        <c:v>1.28</c:v>
                      </c:pt>
                      <c:pt idx="18">
                        <c:v>1.29</c:v>
                      </c:pt>
                      <c:pt idx="19">
                        <c:v>1.29</c:v>
                      </c:pt>
                      <c:pt idx="20">
                        <c:v>1.29</c:v>
                      </c:pt>
                      <c:pt idx="21">
                        <c:v>1.31</c:v>
                      </c:pt>
                      <c:pt idx="22">
                        <c:v>1.33</c:v>
                      </c:pt>
                      <c:pt idx="23">
                        <c:v>1.33</c:v>
                      </c:pt>
                      <c:pt idx="24">
                        <c:v>1.32</c:v>
                      </c:pt>
                      <c:pt idx="25">
                        <c:v>1.31</c:v>
                      </c:pt>
                      <c:pt idx="26">
                        <c:v>1.29</c:v>
                      </c:pt>
                    </c:numCache>
                  </c:numRef>
                </c:yVal>
                <c:smooth val="0"/>
                <c:extLst>
                  <c:ext xmlns:c16="http://schemas.microsoft.com/office/drawing/2014/chart" uri="{C3380CC4-5D6E-409C-BE32-E72D297353CC}">
                    <c16:uniqueId val="{00000002-5FD9-4CB0-A2DA-251B0B4408F8}"/>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Tabelle'!$C$12:$AC$12</c15:sqref>
                        </c15:formulaRef>
                      </c:ext>
                    </c:extLst>
                    <c:numCache>
                      <c:formatCode>General</c:formatCode>
                      <c:ptCount val="27"/>
                      <c:pt idx="0">
                        <c:v>1.29</c:v>
                      </c:pt>
                      <c:pt idx="1">
                        <c:v>1.25</c:v>
                      </c:pt>
                      <c:pt idx="2">
                        <c:v>1.25</c:v>
                      </c:pt>
                      <c:pt idx="3">
                        <c:v>1.26</c:v>
                      </c:pt>
                      <c:pt idx="4">
                        <c:v>1.26</c:v>
                      </c:pt>
                      <c:pt idx="5">
                        <c:v>1.26</c:v>
                      </c:pt>
                      <c:pt idx="6">
                        <c:v>1.27</c:v>
                      </c:pt>
                      <c:pt idx="7">
                        <c:v>1.27</c:v>
                      </c:pt>
                      <c:pt idx="8">
                        <c:v>1.28</c:v>
                      </c:pt>
                      <c:pt idx="9">
                        <c:v>1.28</c:v>
                      </c:pt>
                      <c:pt idx="10">
                        <c:v>1.28</c:v>
                      </c:pt>
                      <c:pt idx="11">
                        <c:v>1.29</c:v>
                      </c:pt>
                      <c:pt idx="12">
                        <c:v>1.29</c:v>
                      </c:pt>
                      <c:pt idx="13">
                        <c:v>1.29</c:v>
                      </c:pt>
                      <c:pt idx="14">
                        <c:v>1.3</c:v>
                      </c:pt>
                      <c:pt idx="15">
                        <c:v>1.3</c:v>
                      </c:pt>
                      <c:pt idx="16">
                        <c:v>1.3</c:v>
                      </c:pt>
                      <c:pt idx="17">
                        <c:v>1.31</c:v>
                      </c:pt>
                      <c:pt idx="18">
                        <c:v>1.31</c:v>
                      </c:pt>
                      <c:pt idx="19">
                        <c:v>1.31</c:v>
                      </c:pt>
                      <c:pt idx="20">
                        <c:v>1.32</c:v>
                      </c:pt>
                      <c:pt idx="21">
                        <c:v>1.32</c:v>
                      </c:pt>
                      <c:pt idx="22">
                        <c:v>1.33</c:v>
                      </c:pt>
                      <c:pt idx="23">
                        <c:v>1.33</c:v>
                      </c:pt>
                      <c:pt idx="24">
                        <c:v>1.3180000000000001</c:v>
                      </c:pt>
                      <c:pt idx="25">
                        <c:v>1.31</c:v>
                      </c:pt>
                      <c:pt idx="26">
                        <c:v>1.2989999999999999</c:v>
                      </c:pt>
                    </c:numCache>
                  </c:numRef>
                </c:yVal>
                <c:smooth val="0"/>
                <c:extLst xmlns:c15="http://schemas.microsoft.com/office/drawing/2012/chart">
                  <c:ext xmlns:c16="http://schemas.microsoft.com/office/drawing/2014/chart" uri="{C3380CC4-5D6E-409C-BE32-E72D297353CC}">
                    <c16:uniqueId val="{0000000F-5FD9-4CB0-A2DA-251B0B4408F8}"/>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Tabelle'!$C$14:$AC$14</c15:sqref>
                        </c15:formulaRef>
                      </c:ext>
                    </c:extLst>
                    <c:numCache>
                      <c:formatCode>General</c:formatCode>
                      <c:ptCount val="27"/>
                      <c:pt idx="0">
                        <c:v>1.35</c:v>
                      </c:pt>
                      <c:pt idx="1">
                        <c:v>1.276</c:v>
                      </c:pt>
                      <c:pt idx="2">
                        <c:v>1.2829999999999999</c:v>
                      </c:pt>
                      <c:pt idx="3">
                        <c:v>1.286</c:v>
                      </c:pt>
                      <c:pt idx="4">
                        <c:v>1.2909999999999999</c:v>
                      </c:pt>
                      <c:pt idx="5">
                        <c:v>1.2989999999999999</c:v>
                      </c:pt>
                      <c:pt idx="6">
                        <c:v>1.3069999999999999</c:v>
                      </c:pt>
                      <c:pt idx="7">
                        <c:v>1.3120000000000001</c:v>
                      </c:pt>
                      <c:pt idx="8">
                        <c:v>1.3149999999999999</c:v>
                      </c:pt>
                      <c:pt idx="9">
                        <c:v>1.3169999999999999</c:v>
                      </c:pt>
                      <c:pt idx="10">
                        <c:v>1.3220000000000001</c:v>
                      </c:pt>
                      <c:pt idx="11">
                        <c:v>1.33</c:v>
                      </c:pt>
                      <c:pt idx="12">
                        <c:v>1.333</c:v>
                      </c:pt>
                      <c:pt idx="13">
                        <c:v>1.3360000000000001</c:v>
                      </c:pt>
                      <c:pt idx="14">
                        <c:v>1.3460000000000001</c:v>
                      </c:pt>
                      <c:pt idx="15">
                        <c:v>1.3480000000000001</c:v>
                      </c:pt>
                      <c:pt idx="16">
                        <c:v>1.3560000000000001</c:v>
                      </c:pt>
                      <c:pt idx="17">
                        <c:v>1.3640000000000001</c:v>
                      </c:pt>
                      <c:pt idx="18">
                        <c:v>1.367</c:v>
                      </c:pt>
                      <c:pt idx="19">
                        <c:v>1.369</c:v>
                      </c:pt>
                      <c:pt idx="20">
                        <c:v>1.3640000000000001</c:v>
                      </c:pt>
                      <c:pt idx="21">
                        <c:v>1.353</c:v>
                      </c:pt>
                      <c:pt idx="22">
                        <c:v>1.337</c:v>
                      </c:pt>
                      <c:pt idx="23">
                        <c:v>1.327</c:v>
                      </c:pt>
                      <c:pt idx="24">
                        <c:v>1.323</c:v>
                      </c:pt>
                      <c:pt idx="25">
                        <c:v>1.32</c:v>
                      </c:pt>
                      <c:pt idx="26">
                        <c:v>1.3140000000000001</c:v>
                      </c:pt>
                    </c:numCache>
                  </c:numRef>
                </c:yVal>
                <c:smooth val="0"/>
                <c:extLst xmlns:c15="http://schemas.microsoft.com/office/drawing/2012/chart">
                  <c:ext xmlns:c16="http://schemas.microsoft.com/office/drawing/2014/chart" uri="{C3380CC4-5D6E-409C-BE32-E72D297353CC}">
                    <c16:uniqueId val="{00000011-5FD9-4CB0-A2DA-251B0B4408F8}"/>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Tabelle'!$C$15:$AC$15</c15:sqref>
                        </c15:formulaRef>
                      </c:ext>
                    </c:extLst>
                    <c:numCache>
                      <c:formatCode>General</c:formatCode>
                      <c:ptCount val="27"/>
                      <c:pt idx="0">
                        <c:v>1.3740000000000001</c:v>
                      </c:pt>
                      <c:pt idx="1">
                        <c:v>1.2929999999999999</c:v>
                      </c:pt>
                      <c:pt idx="2">
                        <c:v>1.302</c:v>
                      </c:pt>
                      <c:pt idx="3">
                        <c:v>1.304</c:v>
                      </c:pt>
                      <c:pt idx="4">
                        <c:v>1.31</c:v>
                      </c:pt>
                      <c:pt idx="5">
                        <c:v>1.319</c:v>
                      </c:pt>
                      <c:pt idx="6">
                        <c:v>1.327</c:v>
                      </c:pt>
                      <c:pt idx="7">
                        <c:v>1.333</c:v>
                      </c:pt>
                      <c:pt idx="8">
                        <c:v>1.3360000000000001</c:v>
                      </c:pt>
                      <c:pt idx="9">
                        <c:v>1.339</c:v>
                      </c:pt>
                      <c:pt idx="10">
                        <c:v>1.345</c:v>
                      </c:pt>
                      <c:pt idx="11">
                        <c:v>1.353</c:v>
                      </c:pt>
                      <c:pt idx="12">
                        <c:v>1.3560000000000001</c:v>
                      </c:pt>
                      <c:pt idx="13">
                        <c:v>1.359</c:v>
                      </c:pt>
                      <c:pt idx="14">
                        <c:v>1.37</c:v>
                      </c:pt>
                      <c:pt idx="15">
                        <c:v>1.373</c:v>
                      </c:pt>
                      <c:pt idx="16">
                        <c:v>1.381</c:v>
                      </c:pt>
                      <c:pt idx="17">
                        <c:v>1.39</c:v>
                      </c:pt>
                      <c:pt idx="18">
                        <c:v>1.3939999999999999</c:v>
                      </c:pt>
                      <c:pt idx="19">
                        <c:v>1.3959999999999999</c:v>
                      </c:pt>
                      <c:pt idx="20">
                        <c:v>1.3879999999999999</c:v>
                      </c:pt>
                      <c:pt idx="21">
                        <c:v>1.371</c:v>
                      </c:pt>
                      <c:pt idx="22">
                        <c:v>1.3460000000000001</c:v>
                      </c:pt>
                      <c:pt idx="23">
                        <c:v>1.3340000000000001</c:v>
                      </c:pt>
                      <c:pt idx="24">
                        <c:v>1.33</c:v>
                      </c:pt>
                      <c:pt idx="25">
                        <c:v>1.327</c:v>
                      </c:pt>
                      <c:pt idx="26">
                        <c:v>1.3220000000000001</c:v>
                      </c:pt>
                    </c:numCache>
                  </c:numRef>
                </c:yVal>
                <c:smooth val="0"/>
                <c:extLst xmlns:c15="http://schemas.microsoft.com/office/drawing/2012/chart">
                  <c:ext xmlns:c16="http://schemas.microsoft.com/office/drawing/2014/chart" uri="{C3380CC4-5D6E-409C-BE32-E72D297353CC}">
                    <c16:uniqueId val="{00000012-5FD9-4CB0-A2DA-251B0B4408F8}"/>
                  </c:ext>
                </c:extLst>
              </c15:ser>
            </c15:filteredScatterSeries>
            <c15:filteredScatterSeries>
              <c15:ser>
                <c:idx val="15"/>
                <c:order val="15"/>
                <c:tx>
                  <c:strRef>
                    <c:extLs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c:ext xmlns:c15="http://schemas.microsoft.com/office/drawing/2012/chart" uri="{02D57815-91ED-43cb-92C2-25804820EDAC}">
                        <c15:formulaRef>
                          <c15:sqref>'Cordivari Tabelle'!$C$11:$AB$11</c15:sqref>
                        </c15:formulaRef>
                      </c:ext>
                    </c:extLst>
                    <c:numCache>
                      <c:formatCode>General</c:formatCode>
                      <c:ptCount val="26"/>
                      <c:pt idx="0">
                        <c:v>1.3029999999999999</c:v>
                      </c:pt>
                      <c:pt idx="1">
                        <c:v>1.2470000000000001</c:v>
                      </c:pt>
                      <c:pt idx="2">
                        <c:v>1.2609999999999999</c:v>
                      </c:pt>
                      <c:pt idx="3">
                        <c:v>1.2749999999999999</c:v>
                      </c:pt>
                      <c:pt idx="4">
                        <c:v>1.2829999999999999</c:v>
                      </c:pt>
                      <c:pt idx="5">
                        <c:v>1.2869999999999999</c:v>
                      </c:pt>
                      <c:pt idx="6">
                        <c:v>1.2889999999999999</c:v>
                      </c:pt>
                      <c:pt idx="7">
                        <c:v>1.292</c:v>
                      </c:pt>
                      <c:pt idx="8">
                        <c:v>1.2969999999999999</c:v>
                      </c:pt>
                      <c:pt idx="9">
                        <c:v>1.2989999999999999</c:v>
                      </c:pt>
                      <c:pt idx="10">
                        <c:v>1.31</c:v>
                      </c:pt>
                      <c:pt idx="11">
                        <c:v>1.3109999999999999</c:v>
                      </c:pt>
                      <c:pt idx="12">
                        <c:v>1.3149999999999999</c:v>
                      </c:pt>
                      <c:pt idx="13">
                        <c:v>1.3240000000000001</c:v>
                      </c:pt>
                      <c:pt idx="14">
                        <c:v>1.327</c:v>
                      </c:pt>
                      <c:pt idx="15">
                        <c:v>1.3320000000000001</c:v>
                      </c:pt>
                      <c:pt idx="16">
                        <c:v>1.335</c:v>
                      </c:pt>
                      <c:pt idx="17">
                        <c:v>1.343</c:v>
                      </c:pt>
                      <c:pt idx="18">
                        <c:v>1.355</c:v>
                      </c:pt>
                      <c:pt idx="19">
                        <c:v>1.355</c:v>
                      </c:pt>
                      <c:pt idx="20">
                        <c:v>1.355</c:v>
                      </c:pt>
                      <c:pt idx="21">
                        <c:v>1.355</c:v>
                      </c:pt>
                      <c:pt idx="22">
                        <c:v>1.355</c:v>
                      </c:pt>
                      <c:pt idx="23">
                        <c:v>1.355</c:v>
                      </c:pt>
                      <c:pt idx="24">
                        <c:v>1.355</c:v>
                      </c:pt>
                      <c:pt idx="25">
                        <c:v>1.355</c:v>
                      </c:pt>
                    </c:numCache>
                  </c:numRef>
                </c:yVal>
                <c:smooth val="0"/>
                <c:extLst>
                  <c:ext xmlns:c16="http://schemas.microsoft.com/office/drawing/2014/chart" uri="{C3380CC4-5D6E-409C-BE32-E72D297353CC}">
                    <c16:uniqueId val="{00000003-5FD9-4CB0-A2DA-251B0B4408F8}"/>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Tabelle'!$C$12:$AB$12</c15:sqref>
                        </c15:formulaRef>
                      </c:ext>
                    </c:extLst>
                    <c:numCache>
                      <c:formatCode>General</c:formatCode>
                      <c:ptCount val="26"/>
                      <c:pt idx="0">
                        <c:v>1.3140000000000001</c:v>
                      </c:pt>
                      <c:pt idx="1">
                        <c:v>1.2729999999999999</c:v>
                      </c:pt>
                      <c:pt idx="2">
                        <c:v>1.284</c:v>
                      </c:pt>
                      <c:pt idx="3">
                        <c:v>1.296</c:v>
                      </c:pt>
                      <c:pt idx="4">
                        <c:v>1.302</c:v>
                      </c:pt>
                      <c:pt idx="5">
                        <c:v>1.306</c:v>
                      </c:pt>
                      <c:pt idx="6">
                        <c:v>1.3069999999999999</c:v>
                      </c:pt>
                      <c:pt idx="7">
                        <c:v>1.31</c:v>
                      </c:pt>
                      <c:pt idx="8">
                        <c:v>1.3140000000000001</c:v>
                      </c:pt>
                      <c:pt idx="9">
                        <c:v>1.3160000000000001</c:v>
                      </c:pt>
                      <c:pt idx="10">
                        <c:v>1.325</c:v>
                      </c:pt>
                      <c:pt idx="11">
                        <c:v>1.325</c:v>
                      </c:pt>
                      <c:pt idx="12">
                        <c:v>1.329</c:v>
                      </c:pt>
                      <c:pt idx="13">
                        <c:v>1.337</c:v>
                      </c:pt>
                      <c:pt idx="14">
                        <c:v>1.339</c:v>
                      </c:pt>
                      <c:pt idx="15">
                        <c:v>1.343</c:v>
                      </c:pt>
                      <c:pt idx="16">
                        <c:v>1.345</c:v>
                      </c:pt>
                      <c:pt idx="17">
                        <c:v>1.35</c:v>
                      </c:pt>
                      <c:pt idx="18">
                        <c:v>1.359</c:v>
                      </c:pt>
                      <c:pt idx="19">
                        <c:v>1.35</c:v>
                      </c:pt>
                      <c:pt idx="20">
                        <c:v>1.341</c:v>
                      </c:pt>
                      <c:pt idx="21">
                        <c:v>1.3380000000000001</c:v>
                      </c:pt>
                      <c:pt idx="22">
                        <c:v>1.33</c:v>
                      </c:pt>
                      <c:pt idx="23">
                        <c:v>1.3260000000000001</c:v>
                      </c:pt>
                      <c:pt idx="24">
                        <c:v>1.3180000000000001</c:v>
                      </c:pt>
                      <c:pt idx="25">
                        <c:v>1.3009999999999999</c:v>
                      </c:pt>
                    </c:numCache>
                  </c:numRef>
                </c:yVal>
                <c:smooth val="0"/>
                <c:extLst xmlns:c15="http://schemas.microsoft.com/office/drawing/2012/chart">
                  <c:ext xmlns:c16="http://schemas.microsoft.com/office/drawing/2014/chart" uri="{C3380CC4-5D6E-409C-BE32-E72D297353CC}">
                    <c16:uniqueId val="{00000013-5FD9-4CB0-A2DA-251B0B4408F8}"/>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Tabelle'!$C$14:$AB$14</c15:sqref>
                        </c15:formulaRef>
                      </c:ext>
                    </c:extLst>
                    <c:numCache>
                      <c:formatCode>General</c:formatCode>
                      <c:ptCount val="26"/>
                      <c:pt idx="0">
                        <c:v>1.329</c:v>
                      </c:pt>
                      <c:pt idx="1">
                        <c:v>1.32</c:v>
                      </c:pt>
                      <c:pt idx="2">
                        <c:v>1.323</c:v>
                      </c:pt>
                      <c:pt idx="3">
                        <c:v>1.3260000000000001</c:v>
                      </c:pt>
                      <c:pt idx="4">
                        <c:v>1.3280000000000001</c:v>
                      </c:pt>
                      <c:pt idx="5">
                        <c:v>1.329</c:v>
                      </c:pt>
                      <c:pt idx="6">
                        <c:v>1.329</c:v>
                      </c:pt>
                      <c:pt idx="7">
                        <c:v>1.33</c:v>
                      </c:pt>
                      <c:pt idx="8">
                        <c:v>1.331</c:v>
                      </c:pt>
                      <c:pt idx="9">
                        <c:v>1.3320000000000001</c:v>
                      </c:pt>
                      <c:pt idx="10">
                        <c:v>1.3340000000000001</c:v>
                      </c:pt>
                      <c:pt idx="11">
                        <c:v>1.335</c:v>
                      </c:pt>
                      <c:pt idx="12">
                        <c:v>1.335</c:v>
                      </c:pt>
                      <c:pt idx="13">
                        <c:v>1.3380000000000001</c:v>
                      </c:pt>
                      <c:pt idx="14">
                        <c:v>1.3380000000000001</c:v>
                      </c:pt>
                      <c:pt idx="15">
                        <c:v>1.3420000000000001</c:v>
                      </c:pt>
                      <c:pt idx="16">
                        <c:v>1.3480000000000001</c:v>
                      </c:pt>
                      <c:pt idx="17">
                        <c:v>1.3660000000000001</c:v>
                      </c:pt>
                      <c:pt idx="18">
                        <c:v>1.393</c:v>
                      </c:pt>
                      <c:pt idx="19">
                        <c:v>1.381</c:v>
                      </c:pt>
                      <c:pt idx="20">
                        <c:v>1.37</c:v>
                      </c:pt>
                      <c:pt idx="21">
                        <c:v>1.3660000000000001</c:v>
                      </c:pt>
                      <c:pt idx="22">
                        <c:v>1.3560000000000001</c:v>
                      </c:pt>
                      <c:pt idx="23">
                        <c:v>1.351</c:v>
                      </c:pt>
                      <c:pt idx="24">
                        <c:v>1.341</c:v>
                      </c:pt>
                      <c:pt idx="25">
                        <c:v>1.3180000000000001</c:v>
                      </c:pt>
                    </c:numCache>
                  </c:numRef>
                </c:yVal>
                <c:smooth val="0"/>
                <c:extLst xmlns:c15="http://schemas.microsoft.com/office/drawing/2012/chart">
                  <c:ext xmlns:c16="http://schemas.microsoft.com/office/drawing/2014/chart" uri="{C3380CC4-5D6E-409C-BE32-E72D297353CC}">
                    <c16:uniqueId val="{00000015-5FD9-4CB0-A2DA-251B0B4408F8}"/>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Tabelle'!$C$15:$AB$15</c15:sqref>
                        </c15:formulaRef>
                      </c:ext>
                    </c:extLst>
                    <c:numCache>
                      <c:formatCode>General</c:formatCode>
                      <c:ptCount val="26"/>
                      <c:pt idx="0">
                        <c:v>1.3180000000000001</c:v>
                      </c:pt>
                      <c:pt idx="1">
                        <c:v>1.3220000000000001</c:v>
                      </c:pt>
                      <c:pt idx="2">
                        <c:v>1.3129999999999999</c:v>
                      </c:pt>
                      <c:pt idx="3">
                        <c:v>1.3049999999999999</c:v>
                      </c:pt>
                      <c:pt idx="4">
                        <c:v>1.3</c:v>
                      </c:pt>
                      <c:pt idx="5">
                        <c:v>1.298</c:v>
                      </c:pt>
                      <c:pt idx="6">
                        <c:v>1.296</c:v>
                      </c:pt>
                      <c:pt idx="7">
                        <c:v>1.294</c:v>
                      </c:pt>
                      <c:pt idx="8">
                        <c:v>1.292</c:v>
                      </c:pt>
                      <c:pt idx="9">
                        <c:v>1.29</c:v>
                      </c:pt>
                      <c:pt idx="10">
                        <c:v>1.284</c:v>
                      </c:pt>
                      <c:pt idx="11">
                        <c:v>1.2829999999999999</c:v>
                      </c:pt>
                      <c:pt idx="12">
                        <c:v>1.2809999999999999</c:v>
                      </c:pt>
                      <c:pt idx="13">
                        <c:v>1.2749999999999999</c:v>
                      </c:pt>
                      <c:pt idx="14">
                        <c:v>1.2729999999999999</c:v>
                      </c:pt>
                      <c:pt idx="15">
                        <c:v>1.2769999999999999</c:v>
                      </c:pt>
                      <c:pt idx="16">
                        <c:v>1.296</c:v>
                      </c:pt>
                      <c:pt idx="17">
                        <c:v>1.345</c:v>
                      </c:pt>
                      <c:pt idx="18">
                        <c:v>1.4179999999999999</c:v>
                      </c:pt>
                      <c:pt idx="19">
                        <c:v>1.407</c:v>
                      </c:pt>
                      <c:pt idx="20">
                        <c:v>1.3959999999999999</c:v>
                      </c:pt>
                      <c:pt idx="21">
                        <c:v>1.3919999999999999</c:v>
                      </c:pt>
                      <c:pt idx="22">
                        <c:v>1.3819999999999999</c:v>
                      </c:pt>
                      <c:pt idx="23">
                        <c:v>1.3779999999999999</c:v>
                      </c:pt>
                      <c:pt idx="24">
                        <c:v>1.367</c:v>
                      </c:pt>
                      <c:pt idx="25">
                        <c:v>1.345</c:v>
                      </c:pt>
                    </c:numCache>
                  </c:numRef>
                </c:yVal>
                <c:smooth val="0"/>
                <c:extLst xmlns:c15="http://schemas.microsoft.com/office/drawing/2012/chart">
                  <c:ext xmlns:c16="http://schemas.microsoft.com/office/drawing/2014/chart" uri="{C3380CC4-5D6E-409C-BE32-E72D297353CC}">
                    <c16:uniqueId val="{00000016-5FD9-4CB0-A2DA-251B0B4408F8}"/>
                  </c:ext>
                </c:extLst>
              </c15:ser>
            </c15:filteredScatterSeries>
            <c15:filteredScatterSeries>
              <c15:ser>
                <c:idx val="20"/>
                <c:order val="20"/>
                <c:tx>
                  <c:strRef>
                    <c:extLs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c:ext xmlns:c15="http://schemas.microsoft.com/office/drawing/2012/chart" uri="{02D57815-91ED-43cb-92C2-25804820EDAC}">
                        <c15:formulaRef>
                          <c15:sqref>'FIR Iron'!$C$11:$AC$11</c15:sqref>
                        </c15:formulaRef>
                      </c:ext>
                    </c:extLst>
                    <c:numCache>
                      <c:formatCode>General</c:formatCode>
                      <c:ptCount val="27"/>
                      <c:pt idx="0">
                        <c:v>1.21</c:v>
                      </c:pt>
                      <c:pt idx="1">
                        <c:v>1.22</c:v>
                      </c:pt>
                      <c:pt idx="2">
                        <c:v>1.23</c:v>
                      </c:pt>
                      <c:pt idx="4">
                        <c:v>1.23</c:v>
                      </c:pt>
                      <c:pt idx="6">
                        <c:v>1.23</c:v>
                      </c:pt>
                      <c:pt idx="7">
                        <c:v>1.24</c:v>
                      </c:pt>
                      <c:pt idx="8">
                        <c:v>1.24</c:v>
                      </c:pt>
                      <c:pt idx="9">
                        <c:v>1.24</c:v>
                      </c:pt>
                      <c:pt idx="10">
                        <c:v>1.24</c:v>
                      </c:pt>
                      <c:pt idx="11">
                        <c:v>1.25</c:v>
                      </c:pt>
                      <c:pt idx="12">
                        <c:v>1.25</c:v>
                      </c:pt>
                      <c:pt idx="13">
                        <c:v>1.26</c:v>
                      </c:pt>
                      <c:pt idx="14">
                        <c:v>1.26</c:v>
                      </c:pt>
                      <c:pt idx="15">
                        <c:v>1.27</c:v>
                      </c:pt>
                      <c:pt idx="16">
                        <c:v>1.27</c:v>
                      </c:pt>
                      <c:pt idx="18">
                        <c:v>1.28</c:v>
                      </c:pt>
                      <c:pt idx="19">
                        <c:v>1.28</c:v>
                      </c:pt>
                      <c:pt idx="20">
                        <c:v>1.3</c:v>
                      </c:pt>
                      <c:pt idx="21">
                        <c:v>1.32</c:v>
                      </c:pt>
                      <c:pt idx="22">
                        <c:v>1.33</c:v>
                      </c:pt>
                      <c:pt idx="23">
                        <c:v>1.34</c:v>
                      </c:pt>
                      <c:pt idx="24">
                        <c:v>1.34</c:v>
                      </c:pt>
                      <c:pt idx="25">
                        <c:v>1.34</c:v>
                      </c:pt>
                      <c:pt idx="26">
                        <c:v>1.3</c:v>
                      </c:pt>
                    </c:numCache>
                  </c:numRef>
                </c:yVal>
                <c:smooth val="0"/>
                <c:extLst>
                  <c:ext xmlns:c16="http://schemas.microsoft.com/office/drawing/2014/chart" uri="{C3380CC4-5D6E-409C-BE32-E72D297353CC}">
                    <c16:uniqueId val="{00000004-5FD9-4CB0-A2DA-251B0B4408F8}"/>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Iron'!$C$12:$AC$12</c15:sqref>
                        </c15:formulaRef>
                      </c:ext>
                    </c:extLst>
                    <c:numCache>
                      <c:formatCode>General</c:formatCode>
                      <c:ptCount val="27"/>
                      <c:pt idx="0">
                        <c:v>1.22</c:v>
                      </c:pt>
                      <c:pt idx="1">
                        <c:v>1.23</c:v>
                      </c:pt>
                      <c:pt idx="2">
                        <c:v>1.23</c:v>
                      </c:pt>
                      <c:pt idx="3">
                        <c:v>1.23</c:v>
                      </c:pt>
                      <c:pt idx="4">
                        <c:v>1.24</c:v>
                      </c:pt>
                      <c:pt idx="5">
                        <c:v>1.24</c:v>
                      </c:pt>
                      <c:pt idx="6">
                        <c:v>1.24</c:v>
                      </c:pt>
                      <c:pt idx="7">
                        <c:v>1.25</c:v>
                      </c:pt>
                      <c:pt idx="8">
                        <c:v>1.26</c:v>
                      </c:pt>
                      <c:pt idx="9">
                        <c:v>1.26</c:v>
                      </c:pt>
                      <c:pt idx="10">
                        <c:v>1.26</c:v>
                      </c:pt>
                      <c:pt idx="11">
                        <c:v>1.27</c:v>
                      </c:pt>
                      <c:pt idx="12">
                        <c:v>1.28</c:v>
                      </c:pt>
                      <c:pt idx="13">
                        <c:v>1.29</c:v>
                      </c:pt>
                      <c:pt idx="14">
                        <c:v>1.29</c:v>
                      </c:pt>
                      <c:pt idx="15">
                        <c:v>1.29</c:v>
                      </c:pt>
                      <c:pt idx="16">
                        <c:v>1.3</c:v>
                      </c:pt>
                      <c:pt idx="17">
                        <c:v>1.3</c:v>
                      </c:pt>
                      <c:pt idx="18">
                        <c:v>1.3</c:v>
                      </c:pt>
                      <c:pt idx="19">
                        <c:v>1.31</c:v>
                      </c:pt>
                      <c:pt idx="20">
                        <c:v>1.33</c:v>
                      </c:pt>
                      <c:pt idx="21">
                        <c:v>1.34</c:v>
                      </c:pt>
                      <c:pt idx="22">
                        <c:v>1.34</c:v>
                      </c:pt>
                      <c:pt idx="23">
                        <c:v>1.34</c:v>
                      </c:pt>
                      <c:pt idx="24">
                        <c:v>1.34</c:v>
                      </c:pt>
                      <c:pt idx="25">
                        <c:v>1.33</c:v>
                      </c:pt>
                      <c:pt idx="26">
                        <c:v>1.32</c:v>
                      </c:pt>
                    </c:numCache>
                  </c:numRef>
                </c:yVal>
                <c:smooth val="0"/>
                <c:extLst xmlns:c15="http://schemas.microsoft.com/office/drawing/2012/chart">
                  <c:ext xmlns:c16="http://schemas.microsoft.com/office/drawing/2014/chart" uri="{C3380CC4-5D6E-409C-BE32-E72D297353CC}">
                    <c16:uniqueId val="{00000017-5FD9-4CB0-A2DA-251B0B4408F8}"/>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Iron'!$C$14:$AC$14</c15:sqref>
                        </c15:formulaRef>
                      </c:ext>
                    </c:extLst>
                    <c:numCache>
                      <c:formatCode>General</c:formatCode>
                      <c:ptCount val="27"/>
                      <c:pt idx="0">
                        <c:v>1.24</c:v>
                      </c:pt>
                      <c:pt idx="1">
                        <c:v>1.24</c:v>
                      </c:pt>
                      <c:pt idx="2">
                        <c:v>1.25</c:v>
                      </c:pt>
                      <c:pt idx="3">
                        <c:v>1.25</c:v>
                      </c:pt>
                      <c:pt idx="4">
                        <c:v>1.26</c:v>
                      </c:pt>
                      <c:pt idx="6">
                        <c:v>1.26</c:v>
                      </c:pt>
                      <c:pt idx="7">
                        <c:v>1.27</c:v>
                      </c:pt>
                      <c:pt idx="8">
                        <c:v>1.28</c:v>
                      </c:pt>
                      <c:pt idx="9">
                        <c:v>1.28</c:v>
                      </c:pt>
                      <c:pt idx="10">
                        <c:v>1.28</c:v>
                      </c:pt>
                      <c:pt idx="11">
                        <c:v>1.29</c:v>
                      </c:pt>
                      <c:pt idx="12">
                        <c:v>1.28</c:v>
                      </c:pt>
                      <c:pt idx="13">
                        <c:v>1.31</c:v>
                      </c:pt>
                      <c:pt idx="14">
                        <c:v>1.31</c:v>
                      </c:pt>
                      <c:pt idx="16">
                        <c:v>1.32</c:v>
                      </c:pt>
                      <c:pt idx="17">
                        <c:v>1.33</c:v>
                      </c:pt>
                      <c:pt idx="18">
                        <c:v>1.33</c:v>
                      </c:pt>
                      <c:pt idx="19">
                        <c:v>1.34</c:v>
                      </c:pt>
                      <c:pt idx="20">
                        <c:v>1.35</c:v>
                      </c:pt>
                      <c:pt idx="21">
                        <c:v>1.35</c:v>
                      </c:pt>
                      <c:pt idx="22">
                        <c:v>1.35</c:v>
                      </c:pt>
                      <c:pt idx="23">
                        <c:v>1.34</c:v>
                      </c:pt>
                      <c:pt idx="24">
                        <c:v>1.33</c:v>
                      </c:pt>
                      <c:pt idx="25">
                        <c:v>1.31</c:v>
                      </c:pt>
                      <c:pt idx="26">
                        <c:v>1.3</c:v>
                      </c:pt>
                    </c:numCache>
                  </c:numRef>
                </c:yVal>
                <c:smooth val="0"/>
                <c:extLst xmlns:c15="http://schemas.microsoft.com/office/drawing/2012/chart">
                  <c:ext xmlns:c16="http://schemas.microsoft.com/office/drawing/2014/chart" uri="{C3380CC4-5D6E-409C-BE32-E72D297353CC}">
                    <c16:uniqueId val="{00000019-5FD9-4CB0-A2DA-251B0B4408F8}"/>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Iron'!$C$15:$AC$15</c15:sqref>
                        </c15:formulaRef>
                      </c:ext>
                    </c:extLst>
                    <c:numCache>
                      <c:formatCode>General</c:formatCode>
                      <c:ptCount val="27"/>
                      <c:pt idx="0">
                        <c:v>1.24</c:v>
                      </c:pt>
                      <c:pt idx="1">
                        <c:v>1.25</c:v>
                      </c:pt>
                      <c:pt idx="2">
                        <c:v>1.26</c:v>
                      </c:pt>
                      <c:pt idx="3">
                        <c:v>1.26</c:v>
                      </c:pt>
                      <c:pt idx="4">
                        <c:v>1.26</c:v>
                      </c:pt>
                      <c:pt idx="5">
                        <c:v>1.27</c:v>
                      </c:pt>
                      <c:pt idx="6">
                        <c:v>1.27</c:v>
                      </c:pt>
                      <c:pt idx="7">
                        <c:v>1.28</c:v>
                      </c:pt>
                      <c:pt idx="8">
                        <c:v>1.28</c:v>
                      </c:pt>
                      <c:pt idx="9">
                        <c:v>1.28</c:v>
                      </c:pt>
                      <c:pt idx="10">
                        <c:v>1.29</c:v>
                      </c:pt>
                      <c:pt idx="11">
                        <c:v>1.29</c:v>
                      </c:pt>
                      <c:pt idx="12">
                        <c:v>1.3</c:v>
                      </c:pt>
                      <c:pt idx="13">
                        <c:v>1.31</c:v>
                      </c:pt>
                      <c:pt idx="14">
                        <c:v>1.31</c:v>
                      </c:pt>
                      <c:pt idx="15">
                        <c:v>1.32</c:v>
                      </c:pt>
                      <c:pt idx="16">
                        <c:v>1.32</c:v>
                      </c:pt>
                      <c:pt idx="17">
                        <c:v>1.32</c:v>
                      </c:pt>
                      <c:pt idx="18">
                        <c:v>1.33</c:v>
                      </c:pt>
                      <c:pt idx="19">
                        <c:v>1.33</c:v>
                      </c:pt>
                      <c:pt idx="20">
                        <c:v>1.34</c:v>
                      </c:pt>
                      <c:pt idx="21">
                        <c:v>1.35</c:v>
                      </c:pt>
                      <c:pt idx="22">
                        <c:v>1.34</c:v>
                      </c:pt>
                      <c:pt idx="23">
                        <c:v>1.34</c:v>
                      </c:pt>
                      <c:pt idx="24">
                        <c:v>1.32</c:v>
                      </c:pt>
                      <c:pt idx="25">
                        <c:v>1.3</c:v>
                      </c:pt>
                      <c:pt idx="26">
                        <c:v>1.28</c:v>
                      </c:pt>
                    </c:numCache>
                  </c:numRef>
                </c:yVal>
                <c:smooth val="0"/>
                <c:extLst xmlns:c15="http://schemas.microsoft.com/office/drawing/2012/chart">
                  <c:ext xmlns:c16="http://schemas.microsoft.com/office/drawing/2014/chart" uri="{C3380CC4-5D6E-409C-BE32-E72D297353CC}">
                    <c16:uniqueId val="{0000001A-5FD9-4CB0-A2DA-251B0B4408F8}"/>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7507740131373573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Exponent </a:t>
            </a:r>
            <a:r>
              <a:rPr lang="de-CH" baseline="0"/>
              <a:t> 5-Säule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9"/>
          <c:order val="3"/>
          <c:tx>
            <c:strRef>
              <c:f>'Arbonia Tabelle'!$Y$6</c:f>
              <c:strCache>
                <c:ptCount val="1"/>
                <c:pt idx="0">
                  <c:v>ARB 5-Säule</c:v>
                </c:pt>
              </c:strCache>
              <c:extLst xmlns:c15="http://schemas.microsoft.com/office/drawing/2012/chart"/>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'Arbonia Tabelle'!$E$2:$X$2</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'Arbonia Tabelle'!$E$14:$X$14</c:f>
              <c:numCache>
                <c:formatCode>General</c:formatCode>
                <c:ptCount val="20"/>
                <c:pt idx="0">
                  <c:v>1.33</c:v>
                </c:pt>
                <c:pt idx="1">
                  <c:v>1.36</c:v>
                </c:pt>
                <c:pt idx="2">
                  <c:v>1.39</c:v>
                </c:pt>
                <c:pt idx="3">
                  <c:v>1.39</c:v>
                </c:pt>
                <c:pt idx="4">
                  <c:v>1.39</c:v>
                </c:pt>
                <c:pt idx="5">
                  <c:v>1.39</c:v>
                </c:pt>
                <c:pt idx="6">
                  <c:v>1.39</c:v>
                </c:pt>
                <c:pt idx="7">
                  <c:v>1.39</c:v>
                </c:pt>
                <c:pt idx="8">
                  <c:v>1.39</c:v>
                </c:pt>
                <c:pt idx="9">
                  <c:v>1.39</c:v>
                </c:pt>
                <c:pt idx="10">
                  <c:v>1.38</c:v>
                </c:pt>
                <c:pt idx="11">
                  <c:v>1.38</c:v>
                </c:pt>
                <c:pt idx="12">
                  <c:v>1.38</c:v>
                </c:pt>
                <c:pt idx="13">
                  <c:v>1.37</c:v>
                </c:pt>
                <c:pt idx="14">
                  <c:v>1.37</c:v>
                </c:pt>
                <c:pt idx="15">
                  <c:v>1.37</c:v>
                </c:pt>
                <c:pt idx="16">
                  <c:v>1.36</c:v>
                </c:pt>
                <c:pt idx="17">
                  <c:v>1.36</c:v>
                </c:pt>
                <c:pt idx="18">
                  <c:v>1.35</c:v>
                </c:pt>
                <c:pt idx="19">
                  <c:v>1.35</c:v>
                </c:pt>
              </c:numCache>
            </c:numRef>
          </c:yVal>
          <c:smooth val="0"/>
          <c:extLst xmlns:c15="http://schemas.microsoft.com/office/drawing/2012/chart">
            <c:ext xmlns:c16="http://schemas.microsoft.com/office/drawing/2014/chart" uri="{C3380CC4-5D6E-409C-BE32-E72D297353CC}">
              <c16:uniqueId val="{00000009-1811-4EBA-9BB5-4E855CF4F48F}"/>
            </c:ext>
          </c:extLst>
        </c:ser>
        <c:ser>
          <c:idx val="11"/>
          <c:order val="8"/>
          <c:tx>
            <c:strRef>
              <c:f>'Zehnder Charl. Tabelle'!$W$7</c:f>
              <c:strCache>
                <c:ptCount val="1"/>
                <c:pt idx="0">
                  <c:v>ZEHN 5-Säule</c:v>
                </c:pt>
              </c:strCache>
              <c:extLst xmlns:c15="http://schemas.microsoft.com/office/drawing/2012/chart"/>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Tabelle'!$C$16:$V$16</c:f>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D-1811-4EBA-9BB5-4E855CF4F48F}"/>
            </c:ext>
          </c:extLst>
        </c:ser>
        <c:ser>
          <c:idx val="13"/>
          <c:order val="13"/>
          <c:tx>
            <c:strRef>
              <c:f>'IRSAP Tabelle'!$AD$6</c:f>
              <c:strCache>
                <c:ptCount val="1"/>
                <c:pt idx="0">
                  <c:v>IRSAP 5-Säule</c:v>
                </c:pt>
              </c:strCache>
              <c:extLst xmlns:c15="http://schemas.microsoft.com/office/drawing/2012/chart"/>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extLst xmlns:c15="http://schemas.microsoft.com/office/drawing/2012/chart"/>
            </c:numRef>
          </c:xVal>
          <c:yVal>
            <c:numRef>
              <c:f>'IRSAP Tabelle'!$C$14:$AC$14</c:f>
              <c:numCache>
                <c:formatCode>General</c:formatCode>
                <c:ptCount val="27"/>
                <c:pt idx="0">
                  <c:v>1.35</c:v>
                </c:pt>
                <c:pt idx="1">
                  <c:v>1.276</c:v>
                </c:pt>
                <c:pt idx="2">
                  <c:v>1.2829999999999999</c:v>
                </c:pt>
                <c:pt idx="3">
                  <c:v>1.286</c:v>
                </c:pt>
                <c:pt idx="4">
                  <c:v>1.2909999999999999</c:v>
                </c:pt>
                <c:pt idx="5">
                  <c:v>1.2989999999999999</c:v>
                </c:pt>
                <c:pt idx="6">
                  <c:v>1.3069999999999999</c:v>
                </c:pt>
                <c:pt idx="7">
                  <c:v>1.3120000000000001</c:v>
                </c:pt>
                <c:pt idx="8">
                  <c:v>1.3149999999999999</c:v>
                </c:pt>
                <c:pt idx="9">
                  <c:v>1.3169999999999999</c:v>
                </c:pt>
                <c:pt idx="10">
                  <c:v>1.3220000000000001</c:v>
                </c:pt>
                <c:pt idx="11">
                  <c:v>1.33</c:v>
                </c:pt>
                <c:pt idx="12">
                  <c:v>1.333</c:v>
                </c:pt>
                <c:pt idx="13">
                  <c:v>1.3360000000000001</c:v>
                </c:pt>
                <c:pt idx="14">
                  <c:v>1.3460000000000001</c:v>
                </c:pt>
                <c:pt idx="15">
                  <c:v>1.3480000000000001</c:v>
                </c:pt>
                <c:pt idx="16">
                  <c:v>1.3560000000000001</c:v>
                </c:pt>
                <c:pt idx="17">
                  <c:v>1.3640000000000001</c:v>
                </c:pt>
                <c:pt idx="18">
                  <c:v>1.367</c:v>
                </c:pt>
                <c:pt idx="19">
                  <c:v>1.369</c:v>
                </c:pt>
                <c:pt idx="20">
                  <c:v>1.3640000000000001</c:v>
                </c:pt>
                <c:pt idx="21">
                  <c:v>1.353</c:v>
                </c:pt>
                <c:pt idx="22">
                  <c:v>1.337</c:v>
                </c:pt>
                <c:pt idx="23">
                  <c:v>1.327</c:v>
                </c:pt>
                <c:pt idx="24">
                  <c:v>1.323</c:v>
                </c:pt>
                <c:pt idx="25">
                  <c:v>1.32</c:v>
                </c:pt>
                <c:pt idx="26">
                  <c:v>1.3140000000000001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1-1811-4EBA-9BB5-4E855CF4F48F}"/>
            </c:ext>
          </c:extLst>
        </c:ser>
        <c:ser>
          <c:idx val="18"/>
          <c:order val="18"/>
          <c:tx>
            <c:strRef>
              <c:f>'Cordivari Tabelle'!$AC$6</c:f>
              <c:strCache>
                <c:ptCount val="1"/>
                <c:pt idx="0">
                  <c:v>Cordivari 5-Säule</c:v>
                </c:pt>
              </c:strCache>
              <c:extLst xmlns:c15="http://schemas.microsoft.com/office/drawing/2012/chart"/>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Tabelle'!$C$14:$AB$14</c:f>
              <c:numCache>
                <c:formatCode>General</c:formatCode>
                <c:ptCount val="26"/>
                <c:pt idx="0">
                  <c:v>1.329</c:v>
                </c:pt>
                <c:pt idx="1">
                  <c:v>1.32</c:v>
                </c:pt>
                <c:pt idx="2">
                  <c:v>1.323</c:v>
                </c:pt>
                <c:pt idx="3">
                  <c:v>1.3260000000000001</c:v>
                </c:pt>
                <c:pt idx="4">
                  <c:v>1.3280000000000001</c:v>
                </c:pt>
                <c:pt idx="5">
                  <c:v>1.329</c:v>
                </c:pt>
                <c:pt idx="6">
                  <c:v>1.329</c:v>
                </c:pt>
                <c:pt idx="7">
                  <c:v>1.33</c:v>
                </c:pt>
                <c:pt idx="8">
                  <c:v>1.331</c:v>
                </c:pt>
                <c:pt idx="9">
                  <c:v>1.3320000000000001</c:v>
                </c:pt>
                <c:pt idx="10">
                  <c:v>1.3340000000000001</c:v>
                </c:pt>
                <c:pt idx="11">
                  <c:v>1.335</c:v>
                </c:pt>
                <c:pt idx="12">
                  <c:v>1.335</c:v>
                </c:pt>
                <c:pt idx="13">
                  <c:v>1.3380000000000001</c:v>
                </c:pt>
                <c:pt idx="14">
                  <c:v>1.3380000000000001</c:v>
                </c:pt>
                <c:pt idx="15">
                  <c:v>1.3420000000000001</c:v>
                </c:pt>
                <c:pt idx="16">
                  <c:v>1.3480000000000001</c:v>
                </c:pt>
                <c:pt idx="17">
                  <c:v>1.3660000000000001</c:v>
                </c:pt>
                <c:pt idx="18">
                  <c:v>1.393</c:v>
                </c:pt>
                <c:pt idx="19">
                  <c:v>1.381</c:v>
                </c:pt>
                <c:pt idx="20">
                  <c:v>1.37</c:v>
                </c:pt>
                <c:pt idx="21">
                  <c:v>1.3660000000000001</c:v>
                </c:pt>
                <c:pt idx="22">
                  <c:v>1.3560000000000001</c:v>
                </c:pt>
                <c:pt idx="23">
                  <c:v>1.351</c:v>
                </c:pt>
                <c:pt idx="24">
                  <c:v>1.341</c:v>
                </c:pt>
                <c:pt idx="25">
                  <c:v>1.3180000000000001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5-1811-4EBA-9BB5-4E855CF4F48F}"/>
            </c:ext>
          </c:extLst>
        </c:ser>
        <c:ser>
          <c:idx val="23"/>
          <c:order val="23"/>
          <c:tx>
            <c:strRef>
              <c:f>'FIR Iron'!$AD$6</c:f>
              <c:strCache>
                <c:ptCount val="1"/>
                <c:pt idx="0">
                  <c:v>FIR Iron 5-Säule</c:v>
                </c:pt>
              </c:strCache>
              <c:extLst xmlns:c15="http://schemas.microsoft.com/office/drawing/2012/chart"/>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Iron'!$C$14:$AC$14</c:f>
              <c:numCache>
                <c:formatCode>General</c:formatCode>
                <c:ptCount val="27"/>
                <c:pt idx="0">
                  <c:v>1.24</c:v>
                </c:pt>
                <c:pt idx="1">
                  <c:v>1.24</c:v>
                </c:pt>
                <c:pt idx="2">
                  <c:v>1.25</c:v>
                </c:pt>
                <c:pt idx="3">
                  <c:v>1.25</c:v>
                </c:pt>
                <c:pt idx="4">
                  <c:v>1.26</c:v>
                </c:pt>
                <c:pt idx="6">
                  <c:v>1.26</c:v>
                </c:pt>
                <c:pt idx="7">
                  <c:v>1.27</c:v>
                </c:pt>
                <c:pt idx="8">
                  <c:v>1.28</c:v>
                </c:pt>
                <c:pt idx="9">
                  <c:v>1.28</c:v>
                </c:pt>
                <c:pt idx="10">
                  <c:v>1.28</c:v>
                </c:pt>
                <c:pt idx="11">
                  <c:v>1.29</c:v>
                </c:pt>
                <c:pt idx="12">
                  <c:v>1.28</c:v>
                </c:pt>
                <c:pt idx="13">
                  <c:v>1.31</c:v>
                </c:pt>
                <c:pt idx="14">
                  <c:v>1.31</c:v>
                </c:pt>
                <c:pt idx="16">
                  <c:v>1.32</c:v>
                </c:pt>
                <c:pt idx="17">
                  <c:v>1.33</c:v>
                </c:pt>
                <c:pt idx="18">
                  <c:v>1.33</c:v>
                </c:pt>
                <c:pt idx="19">
                  <c:v>1.34</c:v>
                </c:pt>
                <c:pt idx="20">
                  <c:v>1.35</c:v>
                </c:pt>
                <c:pt idx="21">
                  <c:v>1.35</c:v>
                </c:pt>
                <c:pt idx="22">
                  <c:v>1.35</c:v>
                </c:pt>
                <c:pt idx="23">
                  <c:v>1.34</c:v>
                </c:pt>
                <c:pt idx="24">
                  <c:v>1.33</c:v>
                </c:pt>
                <c:pt idx="25">
                  <c:v>1.31</c:v>
                </c:pt>
                <c:pt idx="26">
                  <c:v>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9-1811-4EBA-9BB5-4E855CF4F48F}"/>
            </c:ext>
          </c:extLst>
        </c:ser>
        <c:ser>
          <c:idx val="25"/>
          <c:order val="25"/>
          <c:tx>
            <c:strRef>
              <c:f>'Exponent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trendline>
            <c:spPr>
              <a:ln w="19050" cap="rnd">
                <a:solidFill>
                  <a:schemeClr val="accent2">
                    <a:lumMod val="60000"/>
                    <a:lumOff val="40000"/>
                  </a:schemeClr>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'Exponent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'Exponent alle'!$B$106:$U$106</c:f>
              <c:numCache>
                <c:formatCode>0.00</c:formatCode>
                <c:ptCount val="20"/>
                <c:pt idx="0">
                  <c:v>1.3050000000000002</c:v>
                </c:pt>
                <c:pt idx="1">
                  <c:v>1.2952000000000001</c:v>
                </c:pt>
                <c:pt idx="2">
                  <c:v>1.3007499999999999</c:v>
                </c:pt>
                <c:pt idx="3">
                  <c:v>1.3088</c:v>
                </c:pt>
                <c:pt idx="4">
                  <c:v>1.3047500000000001</c:v>
                </c:pt>
                <c:pt idx="5">
                  <c:v>1.3126000000000002</c:v>
                </c:pt>
                <c:pt idx="6">
                  <c:v>1.3166</c:v>
                </c:pt>
                <c:pt idx="7">
                  <c:v>1.3182</c:v>
                </c:pt>
                <c:pt idx="8">
                  <c:v>1.3220000000000001</c:v>
                </c:pt>
                <c:pt idx="9">
                  <c:v>1.3297499999999998</c:v>
                </c:pt>
                <c:pt idx="10">
                  <c:v>1.3324</c:v>
                </c:pt>
                <c:pt idx="11">
                  <c:v>1.32</c:v>
                </c:pt>
                <c:pt idx="12">
                  <c:v>1.3498000000000001</c:v>
                </c:pt>
                <c:pt idx="13">
                  <c:v>1.3519999999999999</c:v>
                </c:pt>
                <c:pt idx="14">
                  <c:v>1.3473999999999999</c:v>
                </c:pt>
                <c:pt idx="15">
                  <c:v>1.3437999999999999</c:v>
                </c:pt>
                <c:pt idx="16">
                  <c:v>1.3362000000000001</c:v>
                </c:pt>
                <c:pt idx="17">
                  <c:v>1.3284</c:v>
                </c:pt>
                <c:pt idx="18">
                  <c:v>1.33</c:v>
                </c:pt>
                <c:pt idx="19">
                  <c:v>1.3266666666666669</c:v>
                </c:pt>
              </c:numCache>
            </c:numRef>
          </c:yVal>
          <c:smooth val="0"/>
          <c:extLst>
            <c:ext xmlns:c16="http://schemas.microsoft.com/office/drawing/2014/chart" uri="{C3380CC4-5D6E-409C-BE32-E72D297353CC}">
              <c16:uniqueId val="{00000006-1811-4EBA-9BB5-4E855CF4F48F}"/>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Tabelle'!$D$11:$X$11</c15:sqref>
                        </c15:formulaRef>
                      </c:ext>
                    </c:extLst>
                    <c:numCache>
                      <c:formatCode>General</c:formatCode>
                      <c:ptCount val="21"/>
                      <c:pt idx="0">
                        <c:v>1.23</c:v>
                      </c:pt>
                      <c:pt idx="1">
                        <c:v>1.25</c:v>
                      </c:pt>
                      <c:pt idx="2">
                        <c:v>1.26</c:v>
                      </c:pt>
                      <c:pt idx="3">
                        <c:v>1.31</c:v>
                      </c:pt>
                      <c:pt idx="4">
                        <c:v>1.31</c:v>
                      </c:pt>
                      <c:pt idx="5">
                        <c:v>1.31</c:v>
                      </c:pt>
                      <c:pt idx="6">
                        <c:v>1.31</c:v>
                      </c:pt>
                      <c:pt idx="7">
                        <c:v>1.31</c:v>
                      </c:pt>
                      <c:pt idx="8">
                        <c:v>1.31</c:v>
                      </c:pt>
                      <c:pt idx="9">
                        <c:v>1.31</c:v>
                      </c:pt>
                      <c:pt idx="10">
                        <c:v>1.31</c:v>
                      </c:pt>
                      <c:pt idx="11">
                        <c:v>1.32</c:v>
                      </c:pt>
                      <c:pt idx="12">
                        <c:v>1.32</c:v>
                      </c:pt>
                      <c:pt idx="13">
                        <c:v>1.32</c:v>
                      </c:pt>
                      <c:pt idx="14">
                        <c:v>1.32</c:v>
                      </c:pt>
                      <c:pt idx="15">
                        <c:v>1.32</c:v>
                      </c:pt>
                      <c:pt idx="16">
                        <c:v>1.32</c:v>
                      </c:pt>
                      <c:pt idx="17">
                        <c:v>1.32</c:v>
                      </c:pt>
                      <c:pt idx="18">
                        <c:v>1.32</c:v>
                      </c:pt>
                      <c:pt idx="19">
                        <c:v>1.33</c:v>
                      </c:pt>
                      <c:pt idx="20">
                        <c:v>1.33</c:v>
                      </c:pt>
                    </c:numCache>
                  </c:numRef>
                </c:yVal>
                <c:smooth val="0"/>
                <c:extLst>
                  <c:ext xmlns:c16="http://schemas.microsoft.com/office/drawing/2014/chart" uri="{C3380CC4-5D6E-409C-BE32-E72D297353CC}">
                    <c16:uniqueId val="{00000000-1811-4EBA-9BB5-4E855CF4F48F}"/>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Tabelle'!$D$12:$X$12</c15:sqref>
                        </c15:formulaRef>
                      </c:ext>
                    </c:extLst>
                    <c:numCache>
                      <c:formatCode>General</c:formatCode>
                      <c:ptCount val="21"/>
                      <c:pt idx="0">
                        <c:v>1.27</c:v>
                      </c:pt>
                      <c:pt idx="1">
                        <c:v>1.31</c:v>
                      </c:pt>
                      <c:pt idx="2">
                        <c:v>1.33</c:v>
                      </c:pt>
                      <c:pt idx="3">
                        <c:v>1.36</c:v>
                      </c:pt>
                      <c:pt idx="4">
                        <c:v>1.36</c:v>
                      </c:pt>
                      <c:pt idx="5">
                        <c:v>1.36</c:v>
                      </c:pt>
                      <c:pt idx="6">
                        <c:v>1.36</c:v>
                      </c:pt>
                      <c:pt idx="7">
                        <c:v>1.36</c:v>
                      </c:pt>
                      <c:pt idx="8">
                        <c:v>1.36</c:v>
                      </c:pt>
                      <c:pt idx="9">
                        <c:v>1.36</c:v>
                      </c:pt>
                      <c:pt idx="10">
                        <c:v>1.36</c:v>
                      </c:pt>
                      <c:pt idx="11">
                        <c:v>1.36</c:v>
                      </c:pt>
                      <c:pt idx="12">
                        <c:v>1.35</c:v>
                      </c:pt>
                      <c:pt idx="13">
                        <c:v>1.35</c:v>
                      </c:pt>
                      <c:pt idx="14">
                        <c:v>1.35</c:v>
                      </c:pt>
                      <c:pt idx="15">
                        <c:v>1.35</c:v>
                      </c:pt>
                      <c:pt idx="16">
                        <c:v>1.34</c:v>
                      </c:pt>
                      <c:pt idx="17">
                        <c:v>1.34</c:v>
                      </c:pt>
                      <c:pt idx="18">
                        <c:v>1.34</c:v>
                      </c:pt>
                      <c:pt idx="19">
                        <c:v>1.34</c:v>
                      </c:pt>
                      <c:pt idx="20">
                        <c:v>1.33</c:v>
                      </c:pt>
                    </c:numCache>
                  </c:numRef>
                </c:yVal>
                <c:smooth val="0"/>
                <c:extLst xmlns:c15="http://schemas.microsoft.com/office/drawing/2012/chart">
                  <c:ext xmlns:c16="http://schemas.microsoft.com/office/drawing/2014/chart" uri="{C3380CC4-5D6E-409C-BE32-E72D297353CC}">
                    <c16:uniqueId val="{00000007-1811-4EBA-9BB5-4E855CF4F48F}"/>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Tabelle'!$D$13:$X$13</c15:sqref>
                        </c15:formulaRef>
                      </c:ext>
                    </c:extLst>
                    <c:numCache>
                      <c:formatCode>General</c:formatCode>
                      <c:ptCount val="21"/>
                      <c:pt idx="0">
                        <c:v>1.25</c:v>
                      </c:pt>
                      <c:pt idx="1">
                        <c:v>1.3</c:v>
                      </c:pt>
                      <c:pt idx="2">
                        <c:v>1.33</c:v>
                      </c:pt>
                      <c:pt idx="3">
                        <c:v>1.35</c:v>
                      </c:pt>
                      <c:pt idx="4">
                        <c:v>1.35</c:v>
                      </c:pt>
                      <c:pt idx="5">
                        <c:v>1.35</c:v>
                      </c:pt>
                      <c:pt idx="6">
                        <c:v>1.35</c:v>
                      </c:pt>
                      <c:pt idx="7">
                        <c:v>1.35</c:v>
                      </c:pt>
                      <c:pt idx="8">
                        <c:v>1.35</c:v>
                      </c:pt>
                      <c:pt idx="9">
                        <c:v>1.35</c:v>
                      </c:pt>
                      <c:pt idx="10">
                        <c:v>1.35</c:v>
                      </c:pt>
                      <c:pt idx="11">
                        <c:v>1.35</c:v>
                      </c:pt>
                      <c:pt idx="12">
                        <c:v>1.35</c:v>
                      </c:pt>
                      <c:pt idx="13">
                        <c:v>1.35</c:v>
                      </c:pt>
                      <c:pt idx="14">
                        <c:v>1.35</c:v>
                      </c:pt>
                      <c:pt idx="15">
                        <c:v>1.34</c:v>
                      </c:pt>
                      <c:pt idx="16">
                        <c:v>1.34</c:v>
                      </c:pt>
                      <c:pt idx="17">
                        <c:v>1.34</c:v>
                      </c:pt>
                      <c:pt idx="18">
                        <c:v>1.34</c:v>
                      </c:pt>
                      <c:pt idx="19">
                        <c:v>1.34</c:v>
                      </c:pt>
                      <c:pt idx="20">
                        <c:v>1.34</c:v>
                      </c:pt>
                    </c:numCache>
                  </c:numRef>
                </c:yVal>
                <c:smooth val="0"/>
                <c:extLst xmlns:c15="http://schemas.microsoft.com/office/drawing/2012/chart">
                  <c:ext xmlns:c16="http://schemas.microsoft.com/office/drawing/2014/chart" uri="{C3380CC4-5D6E-409C-BE32-E72D297353CC}">
                    <c16:uniqueId val="{00000008-1811-4EBA-9BB5-4E855CF4F48F}"/>
                  </c:ext>
                </c:extLst>
              </c15:ser>
            </c15:filteredScatterSeries>
            <c15:filteredScatterSeries>
              <c15:ser>
                <c:idx val="10"/>
                <c:order val="4"/>
                <c:tx>
                  <c:strRef>
                    <c:extLst xmlns:c15="http://schemas.microsoft.com/office/drawing/2012/chart">
                      <c:ext xmlns:c15="http://schemas.microsoft.com/office/drawing/2012/chart" uri="{02D57815-91ED-43cb-92C2-25804820EDAC}">
                        <c15:formulaRef>
                          <c15:sqref>'Arbonia Tabelle'!$Y$7</c15:sqref>
                        </c15:formulaRef>
                      </c:ext>
                    </c:extLst>
                    <c:strCache>
                      <c:ptCount val="1"/>
                      <c:pt idx="0">
                        <c:v>ARB 6-Säule</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Tabelle'!$D$15:$X$15</c15:sqref>
                        </c15:formulaRef>
                      </c:ext>
                    </c:extLst>
                    <c:numCache>
                      <c:formatCode>General</c:formatCode>
                      <c:ptCount val="21"/>
                      <c:pt idx="0">
                        <c:v>0</c:v>
                      </c:pt>
                      <c:pt idx="1">
                        <c:v>1.36</c:v>
                      </c:pt>
                      <c:pt idx="2">
                        <c:v>1.39</c:v>
                      </c:pt>
                      <c:pt idx="3">
                        <c:v>1.41</c:v>
                      </c:pt>
                      <c:pt idx="4">
                        <c:v>1.41</c:v>
                      </c:pt>
                      <c:pt idx="5">
                        <c:v>1.41</c:v>
                      </c:pt>
                      <c:pt idx="6">
                        <c:v>1.41</c:v>
                      </c:pt>
                      <c:pt idx="7">
                        <c:v>1.41</c:v>
                      </c:pt>
                      <c:pt idx="8">
                        <c:v>1.41</c:v>
                      </c:pt>
                      <c:pt idx="9">
                        <c:v>1.4</c:v>
                      </c:pt>
                      <c:pt idx="10">
                        <c:v>1.4</c:v>
                      </c:pt>
                      <c:pt idx="11">
                        <c:v>1.4</c:v>
                      </c:pt>
                      <c:pt idx="12">
                        <c:v>1.4</c:v>
                      </c:pt>
                      <c:pt idx="13">
                        <c:v>1.4</c:v>
                      </c:pt>
                      <c:pt idx="14">
                        <c:v>1.4</c:v>
                      </c:pt>
                      <c:pt idx="15">
                        <c:v>1.39</c:v>
                      </c:pt>
                      <c:pt idx="16">
                        <c:v>1.39</c:v>
                      </c:pt>
                      <c:pt idx="17">
                        <c:v>1.39</c:v>
                      </c:pt>
                      <c:pt idx="18">
                        <c:v>1.39</c:v>
                      </c:pt>
                      <c:pt idx="19">
                        <c:v>1.38</c:v>
                      </c:pt>
                      <c:pt idx="20">
                        <c:v>1.38</c:v>
                      </c:pt>
                    </c:numCache>
                  </c:numRef>
                </c:yVal>
                <c:smooth val="0"/>
                <c:extLst xmlns:c15="http://schemas.microsoft.com/office/drawing/2012/chart">
                  <c:ext xmlns:c16="http://schemas.microsoft.com/office/drawing/2014/chart" uri="{C3380CC4-5D6E-409C-BE32-E72D297353CC}">
                    <c16:uniqueId val="{0000000A-1811-4EBA-9BB5-4E855CF4F48F}"/>
                  </c:ext>
                </c:extLst>
              </c15:ser>
            </c15:filteredScatterSeries>
            <c15:filteredScatterSeries>
              <c15:ser>
                <c:idx val="5"/>
                <c:order val="5"/>
                <c:tx>
                  <c:strRef>
                    <c:extLs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c:ext xmlns:c15="http://schemas.microsoft.com/office/drawing/2012/chart" uri="{02D57815-91ED-43cb-92C2-25804820EDAC}">
                        <c15:formulaRef>
                          <c15:sqref>'Zehnder Charl. Tabelle'!$C$13:$V$13</c15:sqref>
                        </c15:formulaRef>
                      </c:ext>
                    </c:extLst>
                    <c:numCache>
                      <c:formatCode>General</c:formatCode>
                      <c:ptCount val="20"/>
                      <c:pt idx="0">
                        <c:v>1.27</c:v>
                      </c:pt>
                      <c:pt idx="1">
                        <c:v>1.27</c:v>
                      </c:pt>
                      <c:pt idx="2">
                        <c:v>1.26</c:v>
                      </c:pt>
                      <c:pt idx="3">
                        <c:v>1.26</c:v>
                      </c:pt>
                      <c:pt idx="4">
                        <c:v>1.26</c:v>
                      </c:pt>
                      <c:pt idx="5">
                        <c:v>1.25</c:v>
                      </c:pt>
                      <c:pt idx="6">
                        <c:v>1.25</c:v>
                      </c:pt>
                      <c:pt idx="7">
                        <c:v>1.25</c:v>
                      </c:pt>
                      <c:pt idx="8">
                        <c:v>1.24</c:v>
                      </c:pt>
                      <c:pt idx="9">
                        <c:v>1.23</c:v>
                      </c:pt>
                      <c:pt idx="10">
                        <c:v>1.22</c:v>
                      </c:pt>
                      <c:pt idx="11">
                        <c:v>1.21</c:v>
                      </c:pt>
                      <c:pt idx="12">
                        <c:v>1.3</c:v>
                      </c:pt>
                      <c:pt idx="13">
                        <c:v>1.29</c:v>
                      </c:pt>
                      <c:pt idx="14">
                        <c:v>1.29</c:v>
                      </c:pt>
                      <c:pt idx="15">
                        <c:v>1.28</c:v>
                      </c:pt>
                      <c:pt idx="16">
                        <c:v>1.28</c:v>
                      </c:pt>
                      <c:pt idx="17">
                        <c:v>1.28</c:v>
                      </c:pt>
                      <c:pt idx="18">
                        <c:v>1.27</c:v>
                      </c:pt>
                      <c:pt idx="19">
                        <c:v>1.27</c:v>
                      </c:pt>
                    </c:numCache>
                  </c:numRef>
                </c:yVal>
                <c:smooth val="0"/>
                <c:extLst>
                  <c:ext xmlns:c16="http://schemas.microsoft.com/office/drawing/2014/chart" uri="{C3380CC4-5D6E-409C-BE32-E72D297353CC}">
                    <c16:uniqueId val="{00000001-1811-4EBA-9BB5-4E855CF4F48F}"/>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Tabelle'!$C$14:$V$14</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B-1811-4EBA-9BB5-4E855CF4F48F}"/>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Tabelle'!$C$15:$V$15</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C-1811-4EBA-9BB5-4E855CF4F48F}"/>
                  </c:ext>
                </c:extLst>
              </c15:ser>
            </c15:filteredScatterSeries>
            <c15:filteredScatterSeries>
              <c15:ser>
                <c:idx val="12"/>
                <c:order val="9"/>
                <c:tx>
                  <c:strRef>
                    <c:extLst xmlns:c15="http://schemas.microsoft.com/office/drawing/2012/chart">
                      <c:ext xmlns:c15="http://schemas.microsoft.com/office/drawing/2012/chart" uri="{02D57815-91ED-43cb-92C2-25804820EDAC}">
                        <c15:formulaRef>
                          <c15:sqref>'Zehnder Charl. Tabelle'!$W$8</c15:sqref>
                        </c15:formulaRef>
                      </c:ext>
                    </c:extLst>
                    <c:strCache>
                      <c:ptCount val="1"/>
                      <c:pt idx="0">
                        <c:v>ZEHN 6-Säule</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Tabelle'!$C$17:$V$17</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1.25</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E-1811-4EBA-9BB5-4E855CF4F48F}"/>
                  </c:ext>
                </c:extLst>
              </c15:ser>
            </c15:filteredScatterSeries>
            <c15:filteredScatterSeries>
              <c15:ser>
                <c:idx val="3"/>
                <c:order val="10"/>
                <c:tx>
                  <c:strRef>
                    <c:extLs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c:ext xmlns:c15="http://schemas.microsoft.com/office/drawing/2012/chart" uri="{02D57815-91ED-43cb-92C2-25804820EDAC}">
                        <c15:formulaRef>
                          <c15:sqref>'IRSAP Tabelle'!$C$11:$AC$11</c15:sqref>
                        </c15:formulaRef>
                      </c:ext>
                    </c:extLst>
                    <c:numCache>
                      <c:formatCode>General</c:formatCode>
                      <c:ptCount val="27"/>
                      <c:pt idx="0">
                        <c:v>1.25</c:v>
                      </c:pt>
                      <c:pt idx="1">
                        <c:v>1.24</c:v>
                      </c:pt>
                      <c:pt idx="2">
                        <c:v>1.24</c:v>
                      </c:pt>
                      <c:pt idx="3">
                        <c:v>1.24</c:v>
                      </c:pt>
                      <c:pt idx="4">
                        <c:v>1.25</c:v>
                      </c:pt>
                      <c:pt idx="5">
                        <c:v>1.25</c:v>
                      </c:pt>
                      <c:pt idx="6">
                        <c:v>1.25</c:v>
                      </c:pt>
                      <c:pt idx="7">
                        <c:v>1.26</c:v>
                      </c:pt>
                      <c:pt idx="8">
                        <c:v>1.26</c:v>
                      </c:pt>
                      <c:pt idx="9">
                        <c:v>1.26</c:v>
                      </c:pt>
                      <c:pt idx="10">
                        <c:v>1.26</c:v>
                      </c:pt>
                      <c:pt idx="11">
                        <c:v>1.27</c:v>
                      </c:pt>
                      <c:pt idx="12">
                        <c:v>1.27</c:v>
                      </c:pt>
                      <c:pt idx="13">
                        <c:v>1.27</c:v>
                      </c:pt>
                      <c:pt idx="14">
                        <c:v>1.27</c:v>
                      </c:pt>
                      <c:pt idx="15">
                        <c:v>1.28</c:v>
                      </c:pt>
                      <c:pt idx="16">
                        <c:v>1.28</c:v>
                      </c:pt>
                      <c:pt idx="17">
                        <c:v>1.28</c:v>
                      </c:pt>
                      <c:pt idx="18">
                        <c:v>1.29</c:v>
                      </c:pt>
                      <c:pt idx="19">
                        <c:v>1.29</c:v>
                      </c:pt>
                      <c:pt idx="20">
                        <c:v>1.29</c:v>
                      </c:pt>
                      <c:pt idx="21">
                        <c:v>1.31</c:v>
                      </c:pt>
                      <c:pt idx="22">
                        <c:v>1.33</c:v>
                      </c:pt>
                      <c:pt idx="23">
                        <c:v>1.33</c:v>
                      </c:pt>
                      <c:pt idx="24">
                        <c:v>1.32</c:v>
                      </c:pt>
                      <c:pt idx="25">
                        <c:v>1.31</c:v>
                      </c:pt>
                      <c:pt idx="26">
                        <c:v>1.29</c:v>
                      </c:pt>
                    </c:numCache>
                  </c:numRef>
                </c:yVal>
                <c:smooth val="0"/>
                <c:extLst>
                  <c:ext xmlns:c16="http://schemas.microsoft.com/office/drawing/2014/chart" uri="{C3380CC4-5D6E-409C-BE32-E72D297353CC}">
                    <c16:uniqueId val="{00000002-1811-4EBA-9BB5-4E855CF4F48F}"/>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Tabelle'!$C$12:$AC$12</c15:sqref>
                        </c15:formulaRef>
                      </c:ext>
                    </c:extLst>
                    <c:numCache>
                      <c:formatCode>General</c:formatCode>
                      <c:ptCount val="27"/>
                      <c:pt idx="0">
                        <c:v>1.29</c:v>
                      </c:pt>
                      <c:pt idx="1">
                        <c:v>1.25</c:v>
                      </c:pt>
                      <c:pt idx="2">
                        <c:v>1.25</c:v>
                      </c:pt>
                      <c:pt idx="3">
                        <c:v>1.26</c:v>
                      </c:pt>
                      <c:pt idx="4">
                        <c:v>1.26</c:v>
                      </c:pt>
                      <c:pt idx="5">
                        <c:v>1.26</c:v>
                      </c:pt>
                      <c:pt idx="6">
                        <c:v>1.27</c:v>
                      </c:pt>
                      <c:pt idx="7">
                        <c:v>1.27</c:v>
                      </c:pt>
                      <c:pt idx="8">
                        <c:v>1.28</c:v>
                      </c:pt>
                      <c:pt idx="9">
                        <c:v>1.28</c:v>
                      </c:pt>
                      <c:pt idx="10">
                        <c:v>1.28</c:v>
                      </c:pt>
                      <c:pt idx="11">
                        <c:v>1.29</c:v>
                      </c:pt>
                      <c:pt idx="12">
                        <c:v>1.29</c:v>
                      </c:pt>
                      <c:pt idx="13">
                        <c:v>1.29</c:v>
                      </c:pt>
                      <c:pt idx="14">
                        <c:v>1.3</c:v>
                      </c:pt>
                      <c:pt idx="15">
                        <c:v>1.3</c:v>
                      </c:pt>
                      <c:pt idx="16">
                        <c:v>1.3</c:v>
                      </c:pt>
                      <c:pt idx="17">
                        <c:v>1.31</c:v>
                      </c:pt>
                      <c:pt idx="18">
                        <c:v>1.31</c:v>
                      </c:pt>
                      <c:pt idx="19">
                        <c:v>1.31</c:v>
                      </c:pt>
                      <c:pt idx="20">
                        <c:v>1.32</c:v>
                      </c:pt>
                      <c:pt idx="21">
                        <c:v>1.32</c:v>
                      </c:pt>
                      <c:pt idx="22">
                        <c:v>1.33</c:v>
                      </c:pt>
                      <c:pt idx="23">
                        <c:v>1.33</c:v>
                      </c:pt>
                      <c:pt idx="24">
                        <c:v>1.3180000000000001</c:v>
                      </c:pt>
                      <c:pt idx="25">
                        <c:v>1.31</c:v>
                      </c:pt>
                      <c:pt idx="26">
                        <c:v>1.2989999999999999</c:v>
                      </c:pt>
                    </c:numCache>
                  </c:numRef>
                </c:yVal>
                <c:smooth val="0"/>
                <c:extLst xmlns:c15="http://schemas.microsoft.com/office/drawing/2012/chart">
                  <c:ext xmlns:c16="http://schemas.microsoft.com/office/drawing/2014/chart" uri="{C3380CC4-5D6E-409C-BE32-E72D297353CC}">
                    <c16:uniqueId val="{0000000F-1811-4EBA-9BB5-4E855CF4F48F}"/>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Tabelle'!$C$13:$AC$13</c15:sqref>
                        </c15:formulaRef>
                      </c:ext>
                    </c:extLst>
                    <c:numCache>
                      <c:formatCode>General</c:formatCode>
                      <c:ptCount val="27"/>
                      <c:pt idx="0">
                        <c:v>1.3260000000000001</c:v>
                      </c:pt>
                      <c:pt idx="1">
                        <c:v>1.258</c:v>
                      </c:pt>
                      <c:pt idx="2">
                        <c:v>1.2649999999999999</c:v>
                      </c:pt>
                      <c:pt idx="3">
                        <c:v>1.2669999999999999</c:v>
                      </c:pt>
                      <c:pt idx="4">
                        <c:v>1.272</c:v>
                      </c:pt>
                      <c:pt idx="5">
                        <c:v>1.2789999999999999</c:v>
                      </c:pt>
                      <c:pt idx="6">
                        <c:v>1.286</c:v>
                      </c:pt>
                      <c:pt idx="7">
                        <c:v>1.2909999999999999</c:v>
                      </c:pt>
                      <c:pt idx="8">
                        <c:v>1.2929999999999999</c:v>
                      </c:pt>
                      <c:pt idx="9">
                        <c:v>1.296</c:v>
                      </c:pt>
                      <c:pt idx="10">
                        <c:v>1.3</c:v>
                      </c:pt>
                      <c:pt idx="11">
                        <c:v>1.3069999999999999</c:v>
                      </c:pt>
                      <c:pt idx="12">
                        <c:v>1.31</c:v>
                      </c:pt>
                      <c:pt idx="13">
                        <c:v>1.3120000000000001</c:v>
                      </c:pt>
                      <c:pt idx="14">
                        <c:v>1.3220000000000001</c:v>
                      </c:pt>
                      <c:pt idx="15">
                        <c:v>1.3240000000000001</c:v>
                      </c:pt>
                      <c:pt idx="16">
                        <c:v>1.331</c:v>
                      </c:pt>
                      <c:pt idx="17">
                        <c:v>1.3380000000000001</c:v>
                      </c:pt>
                      <c:pt idx="18">
                        <c:v>1.341</c:v>
                      </c:pt>
                      <c:pt idx="19">
                        <c:v>1.343</c:v>
                      </c:pt>
                      <c:pt idx="20">
                        <c:v>1.34</c:v>
                      </c:pt>
                      <c:pt idx="21">
                        <c:v>1.335</c:v>
                      </c:pt>
                      <c:pt idx="22">
                        <c:v>1.3280000000000001</c:v>
                      </c:pt>
                      <c:pt idx="23">
                        <c:v>1.321</c:v>
                      </c:pt>
                      <c:pt idx="24">
                        <c:v>1.3169999999999999</c:v>
                      </c:pt>
                      <c:pt idx="25">
                        <c:v>1.3120000000000001</c:v>
                      </c:pt>
                      <c:pt idx="26">
                        <c:v>1.306</c:v>
                      </c:pt>
                    </c:numCache>
                  </c:numRef>
                </c:yVal>
                <c:smooth val="0"/>
                <c:extLst xmlns:c15="http://schemas.microsoft.com/office/drawing/2012/chart">
                  <c:ext xmlns:c16="http://schemas.microsoft.com/office/drawing/2014/chart" uri="{C3380CC4-5D6E-409C-BE32-E72D297353CC}">
                    <c16:uniqueId val="{00000010-1811-4EBA-9BB5-4E855CF4F48F}"/>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'IRSAP Tabelle'!$AD$7</c15:sqref>
                        </c15:formulaRef>
                      </c:ext>
                    </c:extLst>
                    <c:strCache>
                      <c:ptCount val="1"/>
                      <c:pt idx="0">
                        <c:v>IRSAP 6-Säule</c:v>
                      </c:pt>
                    </c:strCache>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Tabelle'!$C$15:$AC$15</c15:sqref>
                        </c15:formulaRef>
                      </c:ext>
                    </c:extLst>
                    <c:numCache>
                      <c:formatCode>General</c:formatCode>
                      <c:ptCount val="27"/>
                      <c:pt idx="0">
                        <c:v>1.3740000000000001</c:v>
                      </c:pt>
                      <c:pt idx="1">
                        <c:v>1.2929999999999999</c:v>
                      </c:pt>
                      <c:pt idx="2">
                        <c:v>1.302</c:v>
                      </c:pt>
                      <c:pt idx="3">
                        <c:v>1.304</c:v>
                      </c:pt>
                      <c:pt idx="4">
                        <c:v>1.31</c:v>
                      </c:pt>
                      <c:pt idx="5">
                        <c:v>1.319</c:v>
                      </c:pt>
                      <c:pt idx="6">
                        <c:v>1.327</c:v>
                      </c:pt>
                      <c:pt idx="7">
                        <c:v>1.333</c:v>
                      </c:pt>
                      <c:pt idx="8">
                        <c:v>1.3360000000000001</c:v>
                      </c:pt>
                      <c:pt idx="9">
                        <c:v>1.339</c:v>
                      </c:pt>
                      <c:pt idx="10">
                        <c:v>1.345</c:v>
                      </c:pt>
                      <c:pt idx="11">
                        <c:v>1.353</c:v>
                      </c:pt>
                      <c:pt idx="12">
                        <c:v>1.3560000000000001</c:v>
                      </c:pt>
                      <c:pt idx="13">
                        <c:v>1.359</c:v>
                      </c:pt>
                      <c:pt idx="14">
                        <c:v>1.37</c:v>
                      </c:pt>
                      <c:pt idx="15">
                        <c:v>1.373</c:v>
                      </c:pt>
                      <c:pt idx="16">
                        <c:v>1.381</c:v>
                      </c:pt>
                      <c:pt idx="17">
                        <c:v>1.39</c:v>
                      </c:pt>
                      <c:pt idx="18">
                        <c:v>1.3939999999999999</c:v>
                      </c:pt>
                      <c:pt idx="19">
                        <c:v>1.3959999999999999</c:v>
                      </c:pt>
                      <c:pt idx="20">
                        <c:v>1.3879999999999999</c:v>
                      </c:pt>
                      <c:pt idx="21">
                        <c:v>1.371</c:v>
                      </c:pt>
                      <c:pt idx="22">
                        <c:v>1.3460000000000001</c:v>
                      </c:pt>
                      <c:pt idx="23">
                        <c:v>1.3340000000000001</c:v>
                      </c:pt>
                      <c:pt idx="24">
                        <c:v>1.33</c:v>
                      </c:pt>
                      <c:pt idx="25">
                        <c:v>1.327</c:v>
                      </c:pt>
                      <c:pt idx="26">
                        <c:v>1.3220000000000001</c:v>
                      </c:pt>
                    </c:numCache>
                  </c:numRef>
                </c:yVal>
                <c:smooth val="0"/>
                <c:extLst xmlns:c15="http://schemas.microsoft.com/office/drawing/2012/chart">
                  <c:ext xmlns:c16="http://schemas.microsoft.com/office/drawing/2014/chart" uri="{C3380CC4-5D6E-409C-BE32-E72D297353CC}">
                    <c16:uniqueId val="{00000012-1811-4EBA-9BB5-4E855CF4F48F}"/>
                  </c:ext>
                </c:extLst>
              </c15:ser>
            </c15:filteredScatterSeries>
            <c15:filteredScatterSeries>
              <c15:ser>
                <c:idx val="15"/>
                <c:order val="15"/>
                <c:tx>
                  <c:strRef>
                    <c:extLs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c:ext xmlns:c15="http://schemas.microsoft.com/office/drawing/2012/chart" uri="{02D57815-91ED-43cb-92C2-25804820EDAC}">
                        <c15:formulaRef>
                          <c15:sqref>'Cordivari Tabelle'!$C$11:$AB$11</c15:sqref>
                        </c15:formulaRef>
                      </c:ext>
                    </c:extLst>
                    <c:numCache>
                      <c:formatCode>General</c:formatCode>
                      <c:ptCount val="26"/>
                      <c:pt idx="0">
                        <c:v>1.3029999999999999</c:v>
                      </c:pt>
                      <c:pt idx="1">
                        <c:v>1.2470000000000001</c:v>
                      </c:pt>
                      <c:pt idx="2">
                        <c:v>1.2609999999999999</c:v>
                      </c:pt>
                      <c:pt idx="3">
                        <c:v>1.2749999999999999</c:v>
                      </c:pt>
                      <c:pt idx="4">
                        <c:v>1.2829999999999999</c:v>
                      </c:pt>
                      <c:pt idx="5">
                        <c:v>1.2869999999999999</c:v>
                      </c:pt>
                      <c:pt idx="6">
                        <c:v>1.2889999999999999</c:v>
                      </c:pt>
                      <c:pt idx="7">
                        <c:v>1.292</c:v>
                      </c:pt>
                      <c:pt idx="8">
                        <c:v>1.2969999999999999</c:v>
                      </c:pt>
                      <c:pt idx="9">
                        <c:v>1.2989999999999999</c:v>
                      </c:pt>
                      <c:pt idx="10">
                        <c:v>1.31</c:v>
                      </c:pt>
                      <c:pt idx="11">
                        <c:v>1.3109999999999999</c:v>
                      </c:pt>
                      <c:pt idx="12">
                        <c:v>1.3149999999999999</c:v>
                      </c:pt>
                      <c:pt idx="13">
                        <c:v>1.3240000000000001</c:v>
                      </c:pt>
                      <c:pt idx="14">
                        <c:v>1.327</c:v>
                      </c:pt>
                      <c:pt idx="15">
                        <c:v>1.3320000000000001</c:v>
                      </c:pt>
                      <c:pt idx="16">
                        <c:v>1.335</c:v>
                      </c:pt>
                      <c:pt idx="17">
                        <c:v>1.343</c:v>
                      </c:pt>
                      <c:pt idx="18">
                        <c:v>1.355</c:v>
                      </c:pt>
                      <c:pt idx="19">
                        <c:v>1.355</c:v>
                      </c:pt>
                      <c:pt idx="20">
                        <c:v>1.355</c:v>
                      </c:pt>
                      <c:pt idx="21">
                        <c:v>1.355</c:v>
                      </c:pt>
                      <c:pt idx="22">
                        <c:v>1.355</c:v>
                      </c:pt>
                      <c:pt idx="23">
                        <c:v>1.355</c:v>
                      </c:pt>
                      <c:pt idx="24">
                        <c:v>1.355</c:v>
                      </c:pt>
                      <c:pt idx="25">
                        <c:v>1.355</c:v>
                      </c:pt>
                    </c:numCache>
                  </c:numRef>
                </c:yVal>
                <c:smooth val="0"/>
                <c:extLst>
                  <c:ext xmlns:c16="http://schemas.microsoft.com/office/drawing/2014/chart" uri="{C3380CC4-5D6E-409C-BE32-E72D297353CC}">
                    <c16:uniqueId val="{00000003-1811-4EBA-9BB5-4E855CF4F48F}"/>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Tabelle'!$C$12:$AB$12</c15:sqref>
                        </c15:formulaRef>
                      </c:ext>
                    </c:extLst>
                    <c:numCache>
                      <c:formatCode>General</c:formatCode>
                      <c:ptCount val="26"/>
                      <c:pt idx="0">
                        <c:v>1.3140000000000001</c:v>
                      </c:pt>
                      <c:pt idx="1">
                        <c:v>1.2729999999999999</c:v>
                      </c:pt>
                      <c:pt idx="2">
                        <c:v>1.284</c:v>
                      </c:pt>
                      <c:pt idx="3">
                        <c:v>1.296</c:v>
                      </c:pt>
                      <c:pt idx="4">
                        <c:v>1.302</c:v>
                      </c:pt>
                      <c:pt idx="5">
                        <c:v>1.306</c:v>
                      </c:pt>
                      <c:pt idx="6">
                        <c:v>1.3069999999999999</c:v>
                      </c:pt>
                      <c:pt idx="7">
                        <c:v>1.31</c:v>
                      </c:pt>
                      <c:pt idx="8">
                        <c:v>1.3140000000000001</c:v>
                      </c:pt>
                      <c:pt idx="9">
                        <c:v>1.3160000000000001</c:v>
                      </c:pt>
                      <c:pt idx="10">
                        <c:v>1.325</c:v>
                      </c:pt>
                      <c:pt idx="11">
                        <c:v>1.325</c:v>
                      </c:pt>
                      <c:pt idx="12">
                        <c:v>1.329</c:v>
                      </c:pt>
                      <c:pt idx="13">
                        <c:v>1.337</c:v>
                      </c:pt>
                      <c:pt idx="14">
                        <c:v>1.339</c:v>
                      </c:pt>
                      <c:pt idx="15">
                        <c:v>1.343</c:v>
                      </c:pt>
                      <c:pt idx="16">
                        <c:v>1.345</c:v>
                      </c:pt>
                      <c:pt idx="17">
                        <c:v>1.35</c:v>
                      </c:pt>
                      <c:pt idx="18">
                        <c:v>1.359</c:v>
                      </c:pt>
                      <c:pt idx="19">
                        <c:v>1.35</c:v>
                      </c:pt>
                      <c:pt idx="20">
                        <c:v>1.341</c:v>
                      </c:pt>
                      <c:pt idx="21">
                        <c:v>1.3380000000000001</c:v>
                      </c:pt>
                      <c:pt idx="22">
                        <c:v>1.33</c:v>
                      </c:pt>
                      <c:pt idx="23">
                        <c:v>1.3260000000000001</c:v>
                      </c:pt>
                      <c:pt idx="24">
                        <c:v>1.3180000000000001</c:v>
                      </c:pt>
                      <c:pt idx="25">
                        <c:v>1.3009999999999999</c:v>
                      </c:pt>
                    </c:numCache>
                  </c:numRef>
                </c:yVal>
                <c:smooth val="0"/>
                <c:extLst xmlns:c15="http://schemas.microsoft.com/office/drawing/2012/chart">
                  <c:ext xmlns:c16="http://schemas.microsoft.com/office/drawing/2014/chart" uri="{C3380CC4-5D6E-409C-BE32-E72D297353CC}">
                    <c16:uniqueId val="{00000013-1811-4EBA-9BB5-4E855CF4F48F}"/>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Tabelle'!$C$13:$AB$13</c15:sqref>
                        </c15:formulaRef>
                      </c:ext>
                    </c:extLst>
                    <c:numCache>
                      <c:formatCode>General</c:formatCode>
                      <c:ptCount val="26"/>
                      <c:pt idx="0">
                        <c:v>1.3169999999999999</c:v>
                      </c:pt>
                      <c:pt idx="1">
                        <c:v>1.2649999999999999</c:v>
                      </c:pt>
                      <c:pt idx="2">
                        <c:v>1.28</c:v>
                      </c:pt>
                      <c:pt idx="3">
                        <c:v>1.296</c:v>
                      </c:pt>
                      <c:pt idx="4">
                        <c:v>1.3049999999999999</c:v>
                      </c:pt>
                      <c:pt idx="5">
                        <c:v>1.3089999999999999</c:v>
                      </c:pt>
                      <c:pt idx="6">
                        <c:v>1.3120000000000001</c:v>
                      </c:pt>
                      <c:pt idx="7">
                        <c:v>1.3160000000000001</c:v>
                      </c:pt>
                      <c:pt idx="8">
                        <c:v>1.32</c:v>
                      </c:pt>
                      <c:pt idx="9">
                        <c:v>1.3240000000000001</c:v>
                      </c:pt>
                      <c:pt idx="10">
                        <c:v>1.335</c:v>
                      </c:pt>
                      <c:pt idx="11">
                        <c:v>1.3360000000000001</c:v>
                      </c:pt>
                      <c:pt idx="12">
                        <c:v>1.341</c:v>
                      </c:pt>
                      <c:pt idx="13">
                        <c:v>1.3520000000000001</c:v>
                      </c:pt>
                      <c:pt idx="14">
                        <c:v>1.355</c:v>
                      </c:pt>
                      <c:pt idx="15">
                        <c:v>1.3580000000000001</c:v>
                      </c:pt>
                      <c:pt idx="16">
                        <c:v>1.355</c:v>
                      </c:pt>
                      <c:pt idx="17">
                        <c:v>1.3480000000000001</c:v>
                      </c:pt>
                      <c:pt idx="18">
                        <c:v>1.3380000000000001</c:v>
                      </c:pt>
                      <c:pt idx="19">
                        <c:v>1.3460000000000001</c:v>
                      </c:pt>
                      <c:pt idx="20">
                        <c:v>1.353</c:v>
                      </c:pt>
                      <c:pt idx="21">
                        <c:v>1.3560000000000001</c:v>
                      </c:pt>
                      <c:pt idx="22">
                        <c:v>1.3640000000000001</c:v>
                      </c:pt>
                      <c:pt idx="23">
                        <c:v>1.3660000000000001</c:v>
                      </c:pt>
                      <c:pt idx="24">
                        <c:v>1.3740000000000001</c:v>
                      </c:pt>
                      <c:pt idx="25">
                        <c:v>1.389</c:v>
                      </c:pt>
                    </c:numCache>
                  </c:numRef>
                </c:yVal>
                <c:smooth val="0"/>
                <c:extLst xmlns:c15="http://schemas.microsoft.com/office/drawing/2012/chart">
                  <c:ext xmlns:c16="http://schemas.microsoft.com/office/drawing/2014/chart" uri="{C3380CC4-5D6E-409C-BE32-E72D297353CC}">
                    <c16:uniqueId val="{00000014-1811-4EBA-9BB5-4E855CF4F48F}"/>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'Cordivari Tabelle'!$AC$7</c15:sqref>
                        </c15:formulaRef>
                      </c:ext>
                    </c:extLst>
                    <c:strCache>
                      <c:ptCount val="1"/>
                      <c:pt idx="0">
                        <c:v>Cordivari 6-Säule</c:v>
                      </c:pt>
                    </c:strCache>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Tabelle'!$C$15:$AB$15</c15:sqref>
                        </c15:formulaRef>
                      </c:ext>
                    </c:extLst>
                    <c:numCache>
                      <c:formatCode>General</c:formatCode>
                      <c:ptCount val="26"/>
                      <c:pt idx="0">
                        <c:v>1.3180000000000001</c:v>
                      </c:pt>
                      <c:pt idx="1">
                        <c:v>1.3220000000000001</c:v>
                      </c:pt>
                      <c:pt idx="2">
                        <c:v>1.3129999999999999</c:v>
                      </c:pt>
                      <c:pt idx="3">
                        <c:v>1.3049999999999999</c:v>
                      </c:pt>
                      <c:pt idx="4">
                        <c:v>1.3</c:v>
                      </c:pt>
                      <c:pt idx="5">
                        <c:v>1.298</c:v>
                      </c:pt>
                      <c:pt idx="6">
                        <c:v>1.296</c:v>
                      </c:pt>
                      <c:pt idx="7">
                        <c:v>1.294</c:v>
                      </c:pt>
                      <c:pt idx="8">
                        <c:v>1.292</c:v>
                      </c:pt>
                      <c:pt idx="9">
                        <c:v>1.29</c:v>
                      </c:pt>
                      <c:pt idx="10">
                        <c:v>1.284</c:v>
                      </c:pt>
                      <c:pt idx="11">
                        <c:v>1.2829999999999999</c:v>
                      </c:pt>
                      <c:pt idx="12">
                        <c:v>1.2809999999999999</c:v>
                      </c:pt>
                      <c:pt idx="13">
                        <c:v>1.2749999999999999</c:v>
                      </c:pt>
                      <c:pt idx="14">
                        <c:v>1.2729999999999999</c:v>
                      </c:pt>
                      <c:pt idx="15">
                        <c:v>1.2769999999999999</c:v>
                      </c:pt>
                      <c:pt idx="16">
                        <c:v>1.296</c:v>
                      </c:pt>
                      <c:pt idx="17">
                        <c:v>1.345</c:v>
                      </c:pt>
                      <c:pt idx="18">
                        <c:v>1.4179999999999999</c:v>
                      </c:pt>
                      <c:pt idx="19">
                        <c:v>1.407</c:v>
                      </c:pt>
                      <c:pt idx="20">
                        <c:v>1.3959999999999999</c:v>
                      </c:pt>
                      <c:pt idx="21">
                        <c:v>1.3919999999999999</c:v>
                      </c:pt>
                      <c:pt idx="22">
                        <c:v>1.3819999999999999</c:v>
                      </c:pt>
                      <c:pt idx="23">
                        <c:v>1.3779999999999999</c:v>
                      </c:pt>
                      <c:pt idx="24">
                        <c:v>1.367</c:v>
                      </c:pt>
                      <c:pt idx="25">
                        <c:v>1.345</c:v>
                      </c:pt>
                    </c:numCache>
                  </c:numRef>
                </c:yVal>
                <c:smooth val="0"/>
                <c:extLst xmlns:c15="http://schemas.microsoft.com/office/drawing/2012/chart">
                  <c:ext xmlns:c16="http://schemas.microsoft.com/office/drawing/2014/chart" uri="{C3380CC4-5D6E-409C-BE32-E72D297353CC}">
                    <c16:uniqueId val="{00000016-1811-4EBA-9BB5-4E855CF4F48F}"/>
                  </c:ext>
                </c:extLst>
              </c15:ser>
            </c15:filteredScatterSeries>
            <c15:filteredScatterSeries>
              <c15:ser>
                <c:idx val="20"/>
                <c:order val="20"/>
                <c:tx>
                  <c:strRef>
                    <c:extLs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c:ext xmlns:c15="http://schemas.microsoft.com/office/drawing/2012/chart" uri="{02D57815-91ED-43cb-92C2-25804820EDAC}">
                        <c15:formulaRef>
                          <c15:sqref>'FIR Iron'!$C$11:$AC$11</c15:sqref>
                        </c15:formulaRef>
                      </c:ext>
                    </c:extLst>
                    <c:numCache>
                      <c:formatCode>General</c:formatCode>
                      <c:ptCount val="27"/>
                      <c:pt idx="0">
                        <c:v>1.21</c:v>
                      </c:pt>
                      <c:pt idx="1">
                        <c:v>1.22</c:v>
                      </c:pt>
                      <c:pt idx="2">
                        <c:v>1.23</c:v>
                      </c:pt>
                      <c:pt idx="4">
                        <c:v>1.23</c:v>
                      </c:pt>
                      <c:pt idx="6">
                        <c:v>1.23</c:v>
                      </c:pt>
                      <c:pt idx="7">
                        <c:v>1.24</c:v>
                      </c:pt>
                      <c:pt idx="8">
                        <c:v>1.24</c:v>
                      </c:pt>
                      <c:pt idx="9">
                        <c:v>1.24</c:v>
                      </c:pt>
                      <c:pt idx="10">
                        <c:v>1.24</c:v>
                      </c:pt>
                      <c:pt idx="11">
                        <c:v>1.25</c:v>
                      </c:pt>
                      <c:pt idx="12">
                        <c:v>1.25</c:v>
                      </c:pt>
                      <c:pt idx="13">
                        <c:v>1.26</c:v>
                      </c:pt>
                      <c:pt idx="14">
                        <c:v>1.26</c:v>
                      </c:pt>
                      <c:pt idx="15">
                        <c:v>1.27</c:v>
                      </c:pt>
                      <c:pt idx="16">
                        <c:v>1.27</c:v>
                      </c:pt>
                      <c:pt idx="18">
                        <c:v>1.28</c:v>
                      </c:pt>
                      <c:pt idx="19">
                        <c:v>1.28</c:v>
                      </c:pt>
                      <c:pt idx="20">
                        <c:v>1.3</c:v>
                      </c:pt>
                      <c:pt idx="21">
                        <c:v>1.32</c:v>
                      </c:pt>
                      <c:pt idx="22">
                        <c:v>1.33</c:v>
                      </c:pt>
                      <c:pt idx="23">
                        <c:v>1.34</c:v>
                      </c:pt>
                      <c:pt idx="24">
                        <c:v>1.34</c:v>
                      </c:pt>
                      <c:pt idx="25">
                        <c:v>1.34</c:v>
                      </c:pt>
                      <c:pt idx="26">
                        <c:v>1.3</c:v>
                      </c:pt>
                    </c:numCache>
                  </c:numRef>
                </c:yVal>
                <c:smooth val="0"/>
                <c:extLst>
                  <c:ext xmlns:c16="http://schemas.microsoft.com/office/drawing/2014/chart" uri="{C3380CC4-5D6E-409C-BE32-E72D297353CC}">
                    <c16:uniqueId val="{00000004-1811-4EBA-9BB5-4E855CF4F48F}"/>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Iron'!$C$12:$AC$12</c15:sqref>
                        </c15:formulaRef>
                      </c:ext>
                    </c:extLst>
                    <c:numCache>
                      <c:formatCode>General</c:formatCode>
                      <c:ptCount val="27"/>
                      <c:pt idx="0">
                        <c:v>1.22</c:v>
                      </c:pt>
                      <c:pt idx="1">
                        <c:v>1.23</c:v>
                      </c:pt>
                      <c:pt idx="2">
                        <c:v>1.23</c:v>
                      </c:pt>
                      <c:pt idx="3">
                        <c:v>1.23</c:v>
                      </c:pt>
                      <c:pt idx="4">
                        <c:v>1.24</c:v>
                      </c:pt>
                      <c:pt idx="5">
                        <c:v>1.24</c:v>
                      </c:pt>
                      <c:pt idx="6">
                        <c:v>1.24</c:v>
                      </c:pt>
                      <c:pt idx="7">
                        <c:v>1.25</c:v>
                      </c:pt>
                      <c:pt idx="8">
                        <c:v>1.26</c:v>
                      </c:pt>
                      <c:pt idx="9">
                        <c:v>1.26</c:v>
                      </c:pt>
                      <c:pt idx="10">
                        <c:v>1.26</c:v>
                      </c:pt>
                      <c:pt idx="11">
                        <c:v>1.27</c:v>
                      </c:pt>
                      <c:pt idx="12">
                        <c:v>1.28</c:v>
                      </c:pt>
                      <c:pt idx="13">
                        <c:v>1.29</c:v>
                      </c:pt>
                      <c:pt idx="14">
                        <c:v>1.29</c:v>
                      </c:pt>
                      <c:pt idx="15">
                        <c:v>1.29</c:v>
                      </c:pt>
                      <c:pt idx="16">
                        <c:v>1.3</c:v>
                      </c:pt>
                      <c:pt idx="17">
                        <c:v>1.3</c:v>
                      </c:pt>
                      <c:pt idx="18">
                        <c:v>1.3</c:v>
                      </c:pt>
                      <c:pt idx="19">
                        <c:v>1.31</c:v>
                      </c:pt>
                      <c:pt idx="20">
                        <c:v>1.33</c:v>
                      </c:pt>
                      <c:pt idx="21">
                        <c:v>1.34</c:v>
                      </c:pt>
                      <c:pt idx="22">
                        <c:v>1.34</c:v>
                      </c:pt>
                      <c:pt idx="23">
                        <c:v>1.34</c:v>
                      </c:pt>
                      <c:pt idx="24">
                        <c:v>1.34</c:v>
                      </c:pt>
                      <c:pt idx="25">
                        <c:v>1.33</c:v>
                      </c:pt>
                      <c:pt idx="26">
                        <c:v>1.32</c:v>
                      </c:pt>
                    </c:numCache>
                  </c:numRef>
                </c:yVal>
                <c:smooth val="0"/>
                <c:extLst xmlns:c15="http://schemas.microsoft.com/office/drawing/2012/chart">
                  <c:ext xmlns:c16="http://schemas.microsoft.com/office/drawing/2014/chart" uri="{C3380CC4-5D6E-409C-BE32-E72D297353CC}">
                    <c16:uniqueId val="{00000017-1811-4EBA-9BB5-4E855CF4F48F}"/>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Iron'!$C$13:$AC$13</c15:sqref>
                        </c15:formulaRef>
                      </c:ext>
                    </c:extLst>
                    <c:numCache>
                      <c:formatCode>General</c:formatCode>
                      <c:ptCount val="27"/>
                      <c:pt idx="0">
                        <c:v>1.22</c:v>
                      </c:pt>
                      <c:pt idx="1">
                        <c:v>1.23</c:v>
                      </c:pt>
                      <c:pt idx="2">
                        <c:v>1.24</c:v>
                      </c:pt>
                      <c:pt idx="3">
                        <c:v>1.24</c:v>
                      </c:pt>
                      <c:pt idx="4">
                        <c:v>1.25</c:v>
                      </c:pt>
                      <c:pt idx="5">
                        <c:v>1.25</c:v>
                      </c:pt>
                      <c:pt idx="6">
                        <c:v>1.26</c:v>
                      </c:pt>
                      <c:pt idx="7">
                        <c:v>1.26</c:v>
                      </c:pt>
                      <c:pt idx="8">
                        <c:v>1.27</c:v>
                      </c:pt>
                      <c:pt idx="9">
                        <c:v>1.27</c:v>
                      </c:pt>
                      <c:pt idx="10">
                        <c:v>1.28</c:v>
                      </c:pt>
                      <c:pt idx="11">
                        <c:v>1.29</c:v>
                      </c:pt>
                      <c:pt idx="12">
                        <c:v>1.28</c:v>
                      </c:pt>
                      <c:pt idx="13">
                        <c:v>1.31</c:v>
                      </c:pt>
                      <c:pt idx="14">
                        <c:v>1.31</c:v>
                      </c:pt>
                      <c:pt idx="15">
                        <c:v>1.32</c:v>
                      </c:pt>
                      <c:pt idx="16">
                        <c:v>1.32</c:v>
                      </c:pt>
                      <c:pt idx="17">
                        <c:v>1.33</c:v>
                      </c:pt>
                      <c:pt idx="18">
                        <c:v>1.33</c:v>
                      </c:pt>
                      <c:pt idx="19">
                        <c:v>1.34</c:v>
                      </c:pt>
                      <c:pt idx="20">
                        <c:v>1.35</c:v>
                      </c:pt>
                      <c:pt idx="21">
                        <c:v>1.35</c:v>
                      </c:pt>
                      <c:pt idx="22">
                        <c:v>1.35</c:v>
                      </c:pt>
                      <c:pt idx="23">
                        <c:v>1.35</c:v>
                      </c:pt>
                      <c:pt idx="24">
                        <c:v>1.34</c:v>
                      </c:pt>
                      <c:pt idx="25">
                        <c:v>1.3</c:v>
                      </c:pt>
                      <c:pt idx="26">
                        <c:v>1.32</c:v>
                      </c:pt>
                    </c:numCache>
                  </c:numRef>
                </c:yVal>
                <c:smooth val="0"/>
                <c:extLst xmlns:c15="http://schemas.microsoft.com/office/drawing/2012/chart">
                  <c:ext xmlns:c16="http://schemas.microsoft.com/office/drawing/2014/chart" uri="{C3380CC4-5D6E-409C-BE32-E72D297353CC}">
                    <c16:uniqueId val="{00000018-1811-4EBA-9BB5-4E855CF4F48F}"/>
                  </c:ext>
                </c:extLst>
              </c15:ser>
            </c15:filteredScatterSeries>
            <c15:filteredScatterSeries>
              <c15:ser>
                <c:idx val="24"/>
                <c:order val="24"/>
                <c:tx>
                  <c:strRef>
                    <c:extLst xmlns:c15="http://schemas.microsoft.com/office/drawing/2012/chart">
                      <c:ext xmlns:c15="http://schemas.microsoft.com/office/drawing/2012/chart" uri="{02D57815-91ED-43cb-92C2-25804820EDAC}">
                        <c15:formulaRef>
                          <c15:sqref>'FIR Iron'!$AD$7</c15:sqref>
                        </c15:formulaRef>
                      </c:ext>
                    </c:extLst>
                    <c:strCache>
                      <c:ptCount val="1"/>
                      <c:pt idx="0">
                        <c:v>FIR Iron 6-Säule</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Iron'!$C$15:$AC$15</c15:sqref>
                        </c15:formulaRef>
                      </c:ext>
                    </c:extLst>
                    <c:numCache>
                      <c:formatCode>General</c:formatCode>
                      <c:ptCount val="27"/>
                      <c:pt idx="0">
                        <c:v>1.24</c:v>
                      </c:pt>
                      <c:pt idx="1">
                        <c:v>1.25</c:v>
                      </c:pt>
                      <c:pt idx="2">
                        <c:v>1.26</c:v>
                      </c:pt>
                      <c:pt idx="3">
                        <c:v>1.26</c:v>
                      </c:pt>
                      <c:pt idx="4">
                        <c:v>1.26</c:v>
                      </c:pt>
                      <c:pt idx="5">
                        <c:v>1.27</c:v>
                      </c:pt>
                      <c:pt idx="6">
                        <c:v>1.27</c:v>
                      </c:pt>
                      <c:pt idx="7">
                        <c:v>1.28</c:v>
                      </c:pt>
                      <c:pt idx="8">
                        <c:v>1.28</c:v>
                      </c:pt>
                      <c:pt idx="9">
                        <c:v>1.28</c:v>
                      </c:pt>
                      <c:pt idx="10">
                        <c:v>1.29</c:v>
                      </c:pt>
                      <c:pt idx="11">
                        <c:v>1.29</c:v>
                      </c:pt>
                      <c:pt idx="12">
                        <c:v>1.3</c:v>
                      </c:pt>
                      <c:pt idx="13">
                        <c:v>1.31</c:v>
                      </c:pt>
                      <c:pt idx="14">
                        <c:v>1.31</c:v>
                      </c:pt>
                      <c:pt idx="15">
                        <c:v>1.32</c:v>
                      </c:pt>
                      <c:pt idx="16">
                        <c:v>1.32</c:v>
                      </c:pt>
                      <c:pt idx="17">
                        <c:v>1.32</c:v>
                      </c:pt>
                      <c:pt idx="18">
                        <c:v>1.33</c:v>
                      </c:pt>
                      <c:pt idx="19">
                        <c:v>1.33</c:v>
                      </c:pt>
                      <c:pt idx="20">
                        <c:v>1.34</c:v>
                      </c:pt>
                      <c:pt idx="21">
                        <c:v>1.35</c:v>
                      </c:pt>
                      <c:pt idx="22">
                        <c:v>1.34</c:v>
                      </c:pt>
                      <c:pt idx="23">
                        <c:v>1.34</c:v>
                      </c:pt>
                      <c:pt idx="24">
                        <c:v>1.32</c:v>
                      </c:pt>
                      <c:pt idx="25">
                        <c:v>1.3</c:v>
                      </c:pt>
                      <c:pt idx="26">
                        <c:v>1.28</c:v>
                      </c:pt>
                    </c:numCache>
                  </c:numRef>
                </c:yVal>
                <c:smooth val="0"/>
                <c:extLst xmlns:c15="http://schemas.microsoft.com/office/drawing/2012/chart">
                  <c:ext xmlns:c16="http://schemas.microsoft.com/office/drawing/2014/chart" uri="{C3380CC4-5D6E-409C-BE32-E72D297353CC}">
                    <c16:uniqueId val="{0000001A-1811-4EBA-9BB5-4E855CF4F48F}"/>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7507740131373573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Exponent </a:t>
            </a:r>
            <a:r>
              <a:rPr lang="de-CH" baseline="0"/>
              <a:t> 6-Säule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manualLayout>
          <c:layoutTarget val="inner"/>
          <c:xMode val="edge"/>
          <c:yMode val="edge"/>
          <c:x val="0.13525716645362548"/>
          <c:y val="0.10600887124929287"/>
          <c:w val="0.8029814085739283"/>
          <c:h val="0.61933915193421563"/>
        </c:manualLayout>
      </c:layout>
      <c:scatterChart>
        <c:scatterStyle val="lineMarker"/>
        <c:varyColors val="0"/>
        <c:ser>
          <c:idx val="10"/>
          <c:order val="4"/>
          <c:tx>
            <c:strRef>
              <c:f>'Arbonia Tabelle'!$Y$7</c:f>
              <c:strCache>
                <c:ptCount val="1"/>
                <c:pt idx="0">
                  <c:v>ARB 6-Säule</c:v>
                </c:pt>
              </c:strCache>
              <c:extLst xmlns:c15="http://schemas.microsoft.com/office/drawing/2012/chart"/>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'Arbonia Tabelle'!$E$2:$X$2</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'Arbonia Tabelle'!$E$15:$X$15</c:f>
              <c:numCache>
                <c:formatCode>General</c:formatCode>
                <c:ptCount val="20"/>
                <c:pt idx="0">
                  <c:v>1.36</c:v>
                </c:pt>
                <c:pt idx="1">
                  <c:v>1.39</c:v>
                </c:pt>
                <c:pt idx="2">
                  <c:v>1.41</c:v>
                </c:pt>
                <c:pt idx="3">
                  <c:v>1.41</c:v>
                </c:pt>
                <c:pt idx="4">
                  <c:v>1.41</c:v>
                </c:pt>
                <c:pt idx="5">
                  <c:v>1.41</c:v>
                </c:pt>
                <c:pt idx="6">
                  <c:v>1.41</c:v>
                </c:pt>
                <c:pt idx="7">
                  <c:v>1.41</c:v>
                </c:pt>
                <c:pt idx="8">
                  <c:v>1.4</c:v>
                </c:pt>
                <c:pt idx="9">
                  <c:v>1.4</c:v>
                </c:pt>
                <c:pt idx="10">
                  <c:v>1.4</c:v>
                </c:pt>
                <c:pt idx="11">
                  <c:v>1.4</c:v>
                </c:pt>
                <c:pt idx="12">
                  <c:v>1.4</c:v>
                </c:pt>
                <c:pt idx="13">
                  <c:v>1.4</c:v>
                </c:pt>
                <c:pt idx="14">
                  <c:v>1.39</c:v>
                </c:pt>
                <c:pt idx="15">
                  <c:v>1.39</c:v>
                </c:pt>
                <c:pt idx="16">
                  <c:v>1.39</c:v>
                </c:pt>
                <c:pt idx="17">
                  <c:v>1.39</c:v>
                </c:pt>
                <c:pt idx="18">
                  <c:v>1.38</c:v>
                </c:pt>
                <c:pt idx="19">
                  <c:v>1.38</c:v>
                </c:pt>
              </c:numCache>
            </c:numRef>
          </c:yVal>
          <c:smooth val="0"/>
          <c:extLst xmlns:c15="http://schemas.microsoft.com/office/drawing/2012/chart">
            <c:ext xmlns:c16="http://schemas.microsoft.com/office/drawing/2014/chart" uri="{C3380CC4-5D6E-409C-BE32-E72D297353CC}">
              <c16:uniqueId val="{0000000A-8447-4E07-945A-39AB9628F841}"/>
            </c:ext>
          </c:extLst>
        </c:ser>
        <c:ser>
          <c:idx val="12"/>
          <c:order val="9"/>
          <c:tx>
            <c:strRef>
              <c:f>'Zehnder Charl. Tabelle'!$W$8</c:f>
              <c:strCache>
                <c:ptCount val="1"/>
                <c:pt idx="0">
                  <c:v>ZEHN 6-Säule</c:v>
                </c:pt>
              </c:strCache>
              <c:extLst xmlns:c15="http://schemas.microsoft.com/office/drawing/2012/chart"/>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'Zehnder Charl. Tabelle'!$C$3:$V$3</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extLst xmlns:c15="http://schemas.microsoft.com/office/drawing/2012/chart"/>
            </c:numRef>
          </c:xVal>
          <c:yVal>
            <c:numRef>
              <c:f>'Zehnder Charl. Tabelle'!$C$17:$V$17</c:f>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1.25</c:v>
                </c:pt>
                <c:pt idx="13">
                  <c:v>1.31</c:v>
                </c:pt>
                <c:pt idx="14">
                  <c:v>1.32</c:v>
                </c:pt>
                <c:pt idx="15">
                  <c:v>1.32</c:v>
                </c:pt>
                <c:pt idx="16">
                  <c:v>1.32</c:v>
                </c:pt>
                <c:pt idx="17">
                  <c:v>1.32</c:v>
                </c:pt>
                <c:pt idx="18">
                  <c:v>1.33</c:v>
                </c:pt>
                <c:pt idx="19">
                  <c:v>1.33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E-8447-4E07-945A-39AB9628F841}"/>
            </c:ext>
          </c:extLst>
        </c:ser>
        <c:ser>
          <c:idx val="14"/>
          <c:order val="14"/>
          <c:tx>
            <c:strRef>
              <c:f>'IRSAP Tabelle'!$AD$7</c:f>
              <c:strCache>
                <c:ptCount val="1"/>
                <c:pt idx="0">
                  <c:v>IRSAP 6-Säule</c:v>
                </c:pt>
              </c:strCache>
              <c:extLst xmlns:c15="http://schemas.microsoft.com/office/drawing/2012/chart"/>
            </c:strRef>
          </c:tx>
          <c:spPr>
            <a:ln w="254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'IRSAP Tabelle'!$C$2:$AC$2</c:f>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extLst xmlns:c15="http://schemas.microsoft.com/office/drawing/2012/chart"/>
            </c:numRef>
          </c:xVal>
          <c:yVal>
            <c:numRef>
              <c:f>'IRSAP Tabelle'!$C$15:$AC$15</c:f>
              <c:numCache>
                <c:formatCode>General</c:formatCode>
                <c:ptCount val="27"/>
                <c:pt idx="0">
                  <c:v>1.3740000000000001</c:v>
                </c:pt>
                <c:pt idx="1">
                  <c:v>1.2929999999999999</c:v>
                </c:pt>
                <c:pt idx="2">
                  <c:v>1.302</c:v>
                </c:pt>
                <c:pt idx="3">
                  <c:v>1.304</c:v>
                </c:pt>
                <c:pt idx="4">
                  <c:v>1.31</c:v>
                </c:pt>
                <c:pt idx="5">
                  <c:v>1.319</c:v>
                </c:pt>
                <c:pt idx="6">
                  <c:v>1.327</c:v>
                </c:pt>
                <c:pt idx="7">
                  <c:v>1.333</c:v>
                </c:pt>
                <c:pt idx="8">
                  <c:v>1.3360000000000001</c:v>
                </c:pt>
                <c:pt idx="9">
                  <c:v>1.339</c:v>
                </c:pt>
                <c:pt idx="10">
                  <c:v>1.345</c:v>
                </c:pt>
                <c:pt idx="11">
                  <c:v>1.353</c:v>
                </c:pt>
                <c:pt idx="12">
                  <c:v>1.3560000000000001</c:v>
                </c:pt>
                <c:pt idx="13">
                  <c:v>1.359</c:v>
                </c:pt>
                <c:pt idx="14">
                  <c:v>1.37</c:v>
                </c:pt>
                <c:pt idx="15">
                  <c:v>1.373</c:v>
                </c:pt>
                <c:pt idx="16">
                  <c:v>1.381</c:v>
                </c:pt>
                <c:pt idx="17">
                  <c:v>1.39</c:v>
                </c:pt>
                <c:pt idx="18">
                  <c:v>1.3939999999999999</c:v>
                </c:pt>
                <c:pt idx="19">
                  <c:v>1.3959999999999999</c:v>
                </c:pt>
                <c:pt idx="20">
                  <c:v>1.3879999999999999</c:v>
                </c:pt>
                <c:pt idx="21">
                  <c:v>1.371</c:v>
                </c:pt>
                <c:pt idx="22">
                  <c:v>1.3460000000000001</c:v>
                </c:pt>
                <c:pt idx="23">
                  <c:v>1.3340000000000001</c:v>
                </c:pt>
                <c:pt idx="24">
                  <c:v>1.33</c:v>
                </c:pt>
                <c:pt idx="25">
                  <c:v>1.327</c:v>
                </c:pt>
                <c:pt idx="26">
                  <c:v>1.3220000000000001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2-8447-4E07-945A-39AB9628F841}"/>
            </c:ext>
          </c:extLst>
        </c:ser>
        <c:ser>
          <c:idx val="19"/>
          <c:order val="19"/>
          <c:tx>
            <c:strRef>
              <c:f>'Cordivari Tabelle'!$AC$7</c:f>
              <c:strCache>
                <c:ptCount val="1"/>
                <c:pt idx="0">
                  <c:v>Cordivari 6-Säule</c:v>
                </c:pt>
              </c:strCache>
              <c:extLst xmlns:c15="http://schemas.microsoft.com/office/drawing/2012/chart"/>
            </c:strRef>
          </c:tx>
          <c:spPr>
            <a:ln w="254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'Cordivari Tabelle'!$C$2:$AB$2</c:f>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extLst xmlns:c15="http://schemas.microsoft.com/office/drawing/2012/chart"/>
            </c:numRef>
          </c:xVal>
          <c:yVal>
            <c:numRef>
              <c:f>'Cordivari Tabelle'!$C$15:$AB$15</c:f>
              <c:numCache>
                <c:formatCode>General</c:formatCode>
                <c:ptCount val="26"/>
                <c:pt idx="0">
                  <c:v>1.3180000000000001</c:v>
                </c:pt>
                <c:pt idx="1">
                  <c:v>1.3220000000000001</c:v>
                </c:pt>
                <c:pt idx="2">
                  <c:v>1.3129999999999999</c:v>
                </c:pt>
                <c:pt idx="3">
                  <c:v>1.3049999999999999</c:v>
                </c:pt>
                <c:pt idx="4">
                  <c:v>1.3</c:v>
                </c:pt>
                <c:pt idx="5">
                  <c:v>1.298</c:v>
                </c:pt>
                <c:pt idx="6">
                  <c:v>1.296</c:v>
                </c:pt>
                <c:pt idx="7">
                  <c:v>1.294</c:v>
                </c:pt>
                <c:pt idx="8">
                  <c:v>1.292</c:v>
                </c:pt>
                <c:pt idx="9">
                  <c:v>1.29</c:v>
                </c:pt>
                <c:pt idx="10">
                  <c:v>1.284</c:v>
                </c:pt>
                <c:pt idx="11">
                  <c:v>1.2829999999999999</c:v>
                </c:pt>
                <c:pt idx="12">
                  <c:v>1.2809999999999999</c:v>
                </c:pt>
                <c:pt idx="13">
                  <c:v>1.2749999999999999</c:v>
                </c:pt>
                <c:pt idx="14">
                  <c:v>1.2729999999999999</c:v>
                </c:pt>
                <c:pt idx="15">
                  <c:v>1.2769999999999999</c:v>
                </c:pt>
                <c:pt idx="16">
                  <c:v>1.296</c:v>
                </c:pt>
                <c:pt idx="17">
                  <c:v>1.345</c:v>
                </c:pt>
                <c:pt idx="18">
                  <c:v>1.4179999999999999</c:v>
                </c:pt>
                <c:pt idx="19">
                  <c:v>1.407</c:v>
                </c:pt>
                <c:pt idx="20">
                  <c:v>1.3959999999999999</c:v>
                </c:pt>
                <c:pt idx="21">
                  <c:v>1.3919999999999999</c:v>
                </c:pt>
                <c:pt idx="22">
                  <c:v>1.3819999999999999</c:v>
                </c:pt>
                <c:pt idx="23">
                  <c:v>1.3779999999999999</c:v>
                </c:pt>
                <c:pt idx="24">
                  <c:v>1.367</c:v>
                </c:pt>
                <c:pt idx="25">
                  <c:v>1.345</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6-8447-4E07-945A-39AB9628F841}"/>
            </c:ext>
          </c:extLst>
        </c:ser>
        <c:ser>
          <c:idx val="24"/>
          <c:order val="24"/>
          <c:tx>
            <c:strRef>
              <c:f>'FIR Iron'!$AD$7</c:f>
              <c:strCache>
                <c:ptCount val="1"/>
                <c:pt idx="0">
                  <c:v>FIR Iron 6-Säule</c:v>
                </c:pt>
              </c:strCache>
              <c:extLst xmlns:c15="http://schemas.microsoft.com/office/drawing/2012/chart"/>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'FIR Iron'!$C$2:$AC$2</c:f>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extLst xmlns:c15="http://schemas.microsoft.com/office/drawing/2012/chart"/>
            </c:numRef>
          </c:xVal>
          <c:yVal>
            <c:numRef>
              <c:f>'FIR Iron'!$C$15:$AC$15</c:f>
              <c:numCache>
                <c:formatCode>General</c:formatCode>
                <c:ptCount val="27"/>
                <c:pt idx="0">
                  <c:v>1.24</c:v>
                </c:pt>
                <c:pt idx="1">
                  <c:v>1.25</c:v>
                </c:pt>
                <c:pt idx="2">
                  <c:v>1.26</c:v>
                </c:pt>
                <c:pt idx="3">
                  <c:v>1.26</c:v>
                </c:pt>
                <c:pt idx="4">
                  <c:v>1.26</c:v>
                </c:pt>
                <c:pt idx="5">
                  <c:v>1.27</c:v>
                </c:pt>
                <c:pt idx="6">
                  <c:v>1.27</c:v>
                </c:pt>
                <c:pt idx="7">
                  <c:v>1.28</c:v>
                </c:pt>
                <c:pt idx="8">
                  <c:v>1.28</c:v>
                </c:pt>
                <c:pt idx="9">
                  <c:v>1.28</c:v>
                </c:pt>
                <c:pt idx="10">
                  <c:v>1.29</c:v>
                </c:pt>
                <c:pt idx="11">
                  <c:v>1.29</c:v>
                </c:pt>
                <c:pt idx="12">
                  <c:v>1.3</c:v>
                </c:pt>
                <c:pt idx="13">
                  <c:v>1.31</c:v>
                </c:pt>
                <c:pt idx="14">
                  <c:v>1.31</c:v>
                </c:pt>
                <c:pt idx="15">
                  <c:v>1.32</c:v>
                </c:pt>
                <c:pt idx="16">
                  <c:v>1.32</c:v>
                </c:pt>
                <c:pt idx="17">
                  <c:v>1.32</c:v>
                </c:pt>
                <c:pt idx="18">
                  <c:v>1.33</c:v>
                </c:pt>
                <c:pt idx="19">
                  <c:v>1.33</c:v>
                </c:pt>
                <c:pt idx="20">
                  <c:v>1.34</c:v>
                </c:pt>
                <c:pt idx="21">
                  <c:v>1.35</c:v>
                </c:pt>
                <c:pt idx="22">
                  <c:v>1.34</c:v>
                </c:pt>
                <c:pt idx="23">
                  <c:v>1.34</c:v>
                </c:pt>
                <c:pt idx="24">
                  <c:v>1.32</c:v>
                </c:pt>
                <c:pt idx="25">
                  <c:v>1.3</c:v>
                </c:pt>
                <c:pt idx="26">
                  <c:v>1.28</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A-8447-4E07-945A-39AB9628F841}"/>
            </c:ext>
          </c:extLst>
        </c:ser>
        <c:ser>
          <c:idx val="25"/>
          <c:order val="25"/>
          <c:tx>
            <c:strRef>
              <c:f>'Exponent alle'!$A$49</c:f>
              <c:strCache>
                <c:ptCount val="1"/>
                <c:pt idx="0">
                  <c:v>Mittelwert Formel</c:v>
                </c:pt>
              </c:strCache>
            </c:strRef>
          </c:tx>
          <c:spPr>
            <a:ln w="254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trendline>
            <c:spPr>
              <a:ln w="19050" cap="rnd">
                <a:solidFill>
                  <a:schemeClr val="accent2">
                    <a:lumMod val="60000"/>
                    <a:lumOff val="40000"/>
                  </a:schemeClr>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'Exponent alle'!$B$37:$U$37</c:f>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c:v>2000</c:v>
                </c:pt>
                <c:pt idx="16">
                  <c:v>2200</c:v>
                </c:pt>
                <c:pt idx="17">
                  <c:v>2500</c:v>
                </c:pt>
                <c:pt idx="18">
                  <c:v>2800</c:v>
                </c:pt>
                <c:pt idx="19">
                  <c:v>3000</c:v>
                </c:pt>
              </c:numCache>
            </c:numRef>
          </c:xVal>
          <c:yVal>
            <c:numRef>
              <c:f>'Exponent alle'!$B$125:$U$125</c:f>
              <c:numCache>
                <c:formatCode>0.00</c:formatCode>
                <c:ptCount val="20"/>
                <c:pt idx="0">
                  <c:v>1.32</c:v>
                </c:pt>
                <c:pt idx="1">
                  <c:v>1.3069999999999999</c:v>
                </c:pt>
                <c:pt idx="2">
                  <c:v>1.3129999999999999</c:v>
                </c:pt>
                <c:pt idx="3">
                  <c:v>1.3146</c:v>
                </c:pt>
                <c:pt idx="4">
                  <c:v>1.31725</c:v>
                </c:pt>
                <c:pt idx="5">
                  <c:v>1.3184</c:v>
                </c:pt>
                <c:pt idx="6">
                  <c:v>1.3191999999999999</c:v>
                </c:pt>
                <c:pt idx="7">
                  <c:v>1.3222</c:v>
                </c:pt>
                <c:pt idx="8">
                  <c:v>1.3228</c:v>
                </c:pt>
                <c:pt idx="9">
                  <c:v>1.339</c:v>
                </c:pt>
                <c:pt idx="10">
                  <c:v>1.3308000000000002</c:v>
                </c:pt>
                <c:pt idx="11">
                  <c:v>1.3266666666666667</c:v>
                </c:pt>
                <c:pt idx="12">
                  <c:v>1.3391999999999999</c:v>
                </c:pt>
                <c:pt idx="13">
                  <c:v>1.3628</c:v>
                </c:pt>
                <c:pt idx="14">
                  <c:v>1.3580000000000001</c:v>
                </c:pt>
                <c:pt idx="15">
                  <c:v>1.3523999999999998</c:v>
                </c:pt>
                <c:pt idx="16">
                  <c:v>1.3488</c:v>
                </c:pt>
                <c:pt idx="17">
                  <c:v>1.3393999999999999</c:v>
                </c:pt>
                <c:pt idx="18">
                  <c:v>1.3366666666666667</c:v>
                </c:pt>
                <c:pt idx="19">
                  <c:v>1.33</c:v>
                </c:pt>
              </c:numCache>
            </c:numRef>
          </c:yVal>
          <c:smooth val="0"/>
          <c:extLst>
            <c:ext xmlns:c16="http://schemas.microsoft.com/office/drawing/2014/chart" uri="{C3380CC4-5D6E-409C-BE32-E72D297353CC}">
              <c16:uniqueId val="{00000006-8447-4E07-945A-39AB9628F841}"/>
            </c:ext>
          </c:extLst>
        </c:ser>
        <c:dLbls>
          <c:showLegendKey val="0"/>
          <c:showVal val="0"/>
          <c:showCatName val="0"/>
          <c:showSerName val="0"/>
          <c:showPercent val="0"/>
          <c:showBubbleSize val="0"/>
        </c:dLbls>
        <c:axId val="2064288896"/>
        <c:axId val="2064293696"/>
        <c:extLst>
          <c:ext xmlns:c15="http://schemas.microsoft.com/office/drawing/2012/chart" uri="{02D57815-91ED-43cb-92C2-25804820EDAC}">
            <c15:filteredScatterSeries>
              <c15:ser>
                <c:idx val="0"/>
                <c:order val="0"/>
                <c:tx>
                  <c:strRef>
                    <c:extLst>
                      <c:ext uri="{02D57815-91ED-43cb-92C2-25804820EDAC}">
                        <c15:formulaRef>
                          <c15:sqref>'Arbonia Tabelle'!$Y$3</c15:sqref>
                        </c15:formulaRef>
                      </c:ext>
                    </c:extLst>
                    <c:strCache>
                      <c:ptCount val="1"/>
                      <c:pt idx="0">
                        <c:v>ARB 2-Säule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c:ext uri="{02D57815-91ED-43cb-92C2-25804820EDAC}">
                        <c15:formulaRef>
                          <c15:sqref>'Arbonia Tabelle'!$D$11:$X$11</c15:sqref>
                        </c15:formulaRef>
                      </c:ext>
                    </c:extLst>
                    <c:numCache>
                      <c:formatCode>General</c:formatCode>
                      <c:ptCount val="21"/>
                      <c:pt idx="0">
                        <c:v>1.23</c:v>
                      </c:pt>
                      <c:pt idx="1">
                        <c:v>1.25</c:v>
                      </c:pt>
                      <c:pt idx="2">
                        <c:v>1.26</c:v>
                      </c:pt>
                      <c:pt idx="3">
                        <c:v>1.31</c:v>
                      </c:pt>
                      <c:pt idx="4">
                        <c:v>1.31</c:v>
                      </c:pt>
                      <c:pt idx="5">
                        <c:v>1.31</c:v>
                      </c:pt>
                      <c:pt idx="6">
                        <c:v>1.31</c:v>
                      </c:pt>
                      <c:pt idx="7">
                        <c:v>1.31</c:v>
                      </c:pt>
                      <c:pt idx="8">
                        <c:v>1.31</c:v>
                      </c:pt>
                      <c:pt idx="9">
                        <c:v>1.31</c:v>
                      </c:pt>
                      <c:pt idx="10">
                        <c:v>1.31</c:v>
                      </c:pt>
                      <c:pt idx="11">
                        <c:v>1.32</c:v>
                      </c:pt>
                      <c:pt idx="12">
                        <c:v>1.32</c:v>
                      </c:pt>
                      <c:pt idx="13">
                        <c:v>1.32</c:v>
                      </c:pt>
                      <c:pt idx="14">
                        <c:v>1.32</c:v>
                      </c:pt>
                      <c:pt idx="15">
                        <c:v>1.32</c:v>
                      </c:pt>
                      <c:pt idx="16">
                        <c:v>1.32</c:v>
                      </c:pt>
                      <c:pt idx="17">
                        <c:v>1.32</c:v>
                      </c:pt>
                      <c:pt idx="18">
                        <c:v>1.32</c:v>
                      </c:pt>
                      <c:pt idx="19">
                        <c:v>1.33</c:v>
                      </c:pt>
                      <c:pt idx="20">
                        <c:v>1.33</c:v>
                      </c:pt>
                    </c:numCache>
                  </c:numRef>
                </c:yVal>
                <c:smooth val="0"/>
                <c:extLst>
                  <c:ext xmlns:c16="http://schemas.microsoft.com/office/drawing/2014/chart" uri="{C3380CC4-5D6E-409C-BE32-E72D297353CC}">
                    <c16:uniqueId val="{00000000-8447-4E07-945A-39AB9628F841}"/>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'Arbonia Tabelle'!$Y$4</c15:sqref>
                        </c15:formulaRef>
                      </c:ext>
                    </c:extLst>
                    <c:strCache>
                      <c:ptCount val="1"/>
                      <c:pt idx="0">
                        <c:v>ARB 3-Säule</c:v>
                      </c:pt>
                    </c:strCache>
                  </c:strRef>
                </c:tx>
                <c:spPr>
                  <a:ln w="381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Tabelle'!$D$12:$X$12</c15:sqref>
                        </c15:formulaRef>
                      </c:ext>
                    </c:extLst>
                    <c:numCache>
                      <c:formatCode>General</c:formatCode>
                      <c:ptCount val="21"/>
                      <c:pt idx="0">
                        <c:v>1.27</c:v>
                      </c:pt>
                      <c:pt idx="1">
                        <c:v>1.31</c:v>
                      </c:pt>
                      <c:pt idx="2">
                        <c:v>1.33</c:v>
                      </c:pt>
                      <c:pt idx="3">
                        <c:v>1.36</c:v>
                      </c:pt>
                      <c:pt idx="4">
                        <c:v>1.36</c:v>
                      </c:pt>
                      <c:pt idx="5">
                        <c:v>1.36</c:v>
                      </c:pt>
                      <c:pt idx="6">
                        <c:v>1.36</c:v>
                      </c:pt>
                      <c:pt idx="7">
                        <c:v>1.36</c:v>
                      </c:pt>
                      <c:pt idx="8">
                        <c:v>1.36</c:v>
                      </c:pt>
                      <c:pt idx="9">
                        <c:v>1.36</c:v>
                      </c:pt>
                      <c:pt idx="10">
                        <c:v>1.36</c:v>
                      </c:pt>
                      <c:pt idx="11">
                        <c:v>1.36</c:v>
                      </c:pt>
                      <c:pt idx="12">
                        <c:v>1.35</c:v>
                      </c:pt>
                      <c:pt idx="13">
                        <c:v>1.35</c:v>
                      </c:pt>
                      <c:pt idx="14">
                        <c:v>1.35</c:v>
                      </c:pt>
                      <c:pt idx="15">
                        <c:v>1.35</c:v>
                      </c:pt>
                      <c:pt idx="16">
                        <c:v>1.34</c:v>
                      </c:pt>
                      <c:pt idx="17">
                        <c:v>1.34</c:v>
                      </c:pt>
                      <c:pt idx="18">
                        <c:v>1.34</c:v>
                      </c:pt>
                      <c:pt idx="19">
                        <c:v>1.34</c:v>
                      </c:pt>
                      <c:pt idx="20">
                        <c:v>1.33</c:v>
                      </c:pt>
                    </c:numCache>
                  </c:numRef>
                </c:yVal>
                <c:smooth val="0"/>
                <c:extLst xmlns:c15="http://schemas.microsoft.com/office/drawing/2012/chart">
                  <c:ext xmlns:c16="http://schemas.microsoft.com/office/drawing/2014/chart" uri="{C3380CC4-5D6E-409C-BE32-E72D297353CC}">
                    <c16:uniqueId val="{00000007-8447-4E07-945A-39AB9628F841}"/>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'Arbonia Tabelle'!$Y$5</c15:sqref>
                        </c15:formulaRef>
                      </c:ext>
                    </c:extLst>
                    <c:strCache>
                      <c:ptCount val="1"/>
                      <c:pt idx="0">
                        <c:v>ARB 4-Säule</c:v>
                      </c:pt>
                    </c:strCache>
                  </c:strRef>
                </c:tx>
                <c:spPr>
                  <a:ln w="38100" cap="rnd">
                    <a:no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Tabelle'!$D$13:$X$13</c15:sqref>
                        </c15:formulaRef>
                      </c:ext>
                    </c:extLst>
                    <c:numCache>
                      <c:formatCode>General</c:formatCode>
                      <c:ptCount val="21"/>
                      <c:pt idx="0">
                        <c:v>1.25</c:v>
                      </c:pt>
                      <c:pt idx="1">
                        <c:v>1.3</c:v>
                      </c:pt>
                      <c:pt idx="2">
                        <c:v>1.33</c:v>
                      </c:pt>
                      <c:pt idx="3">
                        <c:v>1.35</c:v>
                      </c:pt>
                      <c:pt idx="4">
                        <c:v>1.35</c:v>
                      </c:pt>
                      <c:pt idx="5">
                        <c:v>1.35</c:v>
                      </c:pt>
                      <c:pt idx="6">
                        <c:v>1.35</c:v>
                      </c:pt>
                      <c:pt idx="7">
                        <c:v>1.35</c:v>
                      </c:pt>
                      <c:pt idx="8">
                        <c:v>1.35</c:v>
                      </c:pt>
                      <c:pt idx="9">
                        <c:v>1.35</c:v>
                      </c:pt>
                      <c:pt idx="10">
                        <c:v>1.35</c:v>
                      </c:pt>
                      <c:pt idx="11">
                        <c:v>1.35</c:v>
                      </c:pt>
                      <c:pt idx="12">
                        <c:v>1.35</c:v>
                      </c:pt>
                      <c:pt idx="13">
                        <c:v>1.35</c:v>
                      </c:pt>
                      <c:pt idx="14">
                        <c:v>1.35</c:v>
                      </c:pt>
                      <c:pt idx="15">
                        <c:v>1.34</c:v>
                      </c:pt>
                      <c:pt idx="16">
                        <c:v>1.34</c:v>
                      </c:pt>
                      <c:pt idx="17">
                        <c:v>1.34</c:v>
                      </c:pt>
                      <c:pt idx="18">
                        <c:v>1.34</c:v>
                      </c:pt>
                      <c:pt idx="19">
                        <c:v>1.34</c:v>
                      </c:pt>
                      <c:pt idx="20">
                        <c:v>1.34</c:v>
                      </c:pt>
                    </c:numCache>
                  </c:numRef>
                </c:yVal>
                <c:smooth val="0"/>
                <c:extLst xmlns:c15="http://schemas.microsoft.com/office/drawing/2012/chart">
                  <c:ext xmlns:c16="http://schemas.microsoft.com/office/drawing/2014/chart" uri="{C3380CC4-5D6E-409C-BE32-E72D297353CC}">
                    <c16:uniqueId val="{00000008-8447-4E07-945A-39AB9628F841}"/>
                  </c:ext>
                </c:extLst>
              </c15:ser>
            </c15:filteredScatterSeries>
            <c15:filteredScatterSeries>
              <c15:ser>
                <c:idx val="9"/>
                <c:order val="3"/>
                <c:tx>
                  <c:strRef>
                    <c:extLst xmlns:c15="http://schemas.microsoft.com/office/drawing/2012/chart">
                      <c:ext xmlns:c15="http://schemas.microsoft.com/office/drawing/2012/chart" uri="{02D57815-91ED-43cb-92C2-25804820EDAC}">
                        <c15:formulaRef>
                          <c15:sqref>'Arbonia Tabelle'!$Y$6</c15:sqref>
                        </c15:formulaRef>
                      </c:ext>
                    </c:extLst>
                    <c:strCache>
                      <c:ptCount val="1"/>
                      <c:pt idx="0">
                        <c:v>ARB 5-Säule</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extLst xmlns:c15="http://schemas.microsoft.com/office/drawing/2012/chart">
                      <c:ext xmlns:c15="http://schemas.microsoft.com/office/drawing/2012/chart" uri="{02D57815-91ED-43cb-92C2-25804820EDAC}">
                        <c15:formulaRef>
                          <c15:sqref>'Arbonia Tabelle'!$D$2:$X$2</c15:sqref>
                        </c15:formulaRef>
                      </c:ext>
                    </c:extLst>
                    <c:numCache>
                      <c:formatCode>#,##0</c:formatCode>
                      <c:ptCount val="21"/>
                      <c:pt idx="0">
                        <c:v>190</c:v>
                      </c:pt>
                      <c:pt idx="1">
                        <c:v>260</c:v>
                      </c:pt>
                      <c:pt idx="2">
                        <c:v>300</c:v>
                      </c:pt>
                      <c:pt idx="3">
                        <c:v>350</c:v>
                      </c:pt>
                      <c:pt idx="4">
                        <c:v>400</c:v>
                      </c:pt>
                      <c:pt idx="5">
                        <c:v>450</c:v>
                      </c:pt>
                      <c:pt idx="6">
                        <c:v>500</c:v>
                      </c:pt>
                      <c:pt idx="7">
                        <c:v>550</c:v>
                      </c:pt>
                      <c:pt idx="8">
                        <c:v>600</c:v>
                      </c:pt>
                      <c:pt idx="9">
                        <c:v>750</c:v>
                      </c:pt>
                      <c:pt idx="10">
                        <c:v>900</c:v>
                      </c:pt>
                      <c:pt idx="11">
                        <c:v>1000</c:v>
                      </c:pt>
                      <c:pt idx="12">
                        <c:v>1100</c:v>
                      </c:pt>
                      <c:pt idx="13">
                        <c:v>1200</c:v>
                      </c:pt>
                      <c:pt idx="14">
                        <c:v>1500</c:v>
                      </c:pt>
                      <c:pt idx="15">
                        <c:v>1800</c:v>
                      </c:pt>
                      <c:pt idx="16">
                        <c:v>2000</c:v>
                      </c:pt>
                      <c:pt idx="17">
                        <c:v>2200</c:v>
                      </c:pt>
                      <c:pt idx="18">
                        <c:v>2500</c:v>
                      </c:pt>
                      <c:pt idx="19">
                        <c:v>2800</c:v>
                      </c:pt>
                      <c:pt idx="20">
                        <c:v>3000</c:v>
                      </c:pt>
                    </c:numCache>
                  </c:numRef>
                </c:xVal>
                <c:yVal>
                  <c:numRef>
                    <c:extLst xmlns:c15="http://schemas.microsoft.com/office/drawing/2012/chart">
                      <c:ext xmlns:c15="http://schemas.microsoft.com/office/drawing/2012/chart" uri="{02D57815-91ED-43cb-92C2-25804820EDAC}">
                        <c15:formulaRef>
                          <c15:sqref>'Arbonia Tabelle'!$D$14:$X$14</c15:sqref>
                        </c15:formulaRef>
                      </c:ext>
                    </c:extLst>
                    <c:numCache>
                      <c:formatCode>General</c:formatCode>
                      <c:ptCount val="21"/>
                      <c:pt idx="0">
                        <c:v>0</c:v>
                      </c:pt>
                      <c:pt idx="1">
                        <c:v>1.33</c:v>
                      </c:pt>
                      <c:pt idx="2">
                        <c:v>1.36</c:v>
                      </c:pt>
                      <c:pt idx="3">
                        <c:v>1.39</c:v>
                      </c:pt>
                      <c:pt idx="4">
                        <c:v>1.39</c:v>
                      </c:pt>
                      <c:pt idx="5">
                        <c:v>1.39</c:v>
                      </c:pt>
                      <c:pt idx="6">
                        <c:v>1.39</c:v>
                      </c:pt>
                      <c:pt idx="7">
                        <c:v>1.39</c:v>
                      </c:pt>
                      <c:pt idx="8">
                        <c:v>1.39</c:v>
                      </c:pt>
                      <c:pt idx="9">
                        <c:v>1.39</c:v>
                      </c:pt>
                      <c:pt idx="10">
                        <c:v>1.39</c:v>
                      </c:pt>
                      <c:pt idx="11">
                        <c:v>1.38</c:v>
                      </c:pt>
                      <c:pt idx="12">
                        <c:v>1.38</c:v>
                      </c:pt>
                      <c:pt idx="13">
                        <c:v>1.38</c:v>
                      </c:pt>
                      <c:pt idx="14">
                        <c:v>1.37</c:v>
                      </c:pt>
                      <c:pt idx="15">
                        <c:v>1.37</c:v>
                      </c:pt>
                      <c:pt idx="16">
                        <c:v>1.37</c:v>
                      </c:pt>
                      <c:pt idx="17">
                        <c:v>1.36</c:v>
                      </c:pt>
                      <c:pt idx="18">
                        <c:v>1.36</c:v>
                      </c:pt>
                      <c:pt idx="19">
                        <c:v>1.35</c:v>
                      </c:pt>
                      <c:pt idx="20">
                        <c:v>1.35</c:v>
                      </c:pt>
                    </c:numCache>
                  </c:numRef>
                </c:yVal>
                <c:smooth val="0"/>
                <c:extLst xmlns:c15="http://schemas.microsoft.com/office/drawing/2012/chart">
                  <c:ext xmlns:c16="http://schemas.microsoft.com/office/drawing/2014/chart" uri="{C3380CC4-5D6E-409C-BE32-E72D297353CC}">
                    <c16:uniqueId val="{00000009-8447-4E07-945A-39AB9628F841}"/>
                  </c:ext>
                </c:extLst>
              </c15:ser>
            </c15:filteredScatterSeries>
            <c15:filteredScatterSeries>
              <c15:ser>
                <c:idx val="5"/>
                <c:order val="5"/>
                <c:tx>
                  <c:strRef>
                    <c:extLst>
                      <c:ext xmlns:c15="http://schemas.microsoft.com/office/drawing/2012/chart" uri="{02D57815-91ED-43cb-92C2-25804820EDAC}">
                        <c15:formulaRef>
                          <c15:sqref>'Zehnder Charl. Tabelle'!$W$4</c15:sqref>
                        </c15:formulaRef>
                      </c:ext>
                    </c:extLst>
                    <c:strCache>
                      <c:ptCount val="1"/>
                      <c:pt idx="0">
                        <c:v>ZEHN 2-Säule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c:ext xmlns:c15="http://schemas.microsoft.com/office/drawing/2012/chart" uri="{02D57815-91ED-43cb-92C2-25804820EDAC}">
                        <c15:formulaRef>
                          <c15:sqref>'Zehnder Charl. Tabelle'!$C$2:$V$2</c15:sqref>
                        </c15:formulaRef>
                      </c:ext>
                    </c:extLst>
                    <c:numCache>
                      <c:formatCode>#,##0</c:formatCode>
                      <c:ptCount val="20"/>
                      <c:pt idx="0">
                        <c:v>260</c:v>
                      </c:pt>
                      <c:pt idx="1">
                        <c:v>292</c:v>
                      </c:pt>
                      <c:pt idx="2">
                        <c:v>342</c:v>
                      </c:pt>
                      <c:pt idx="3">
                        <c:v>392</c:v>
                      </c:pt>
                      <c:pt idx="4">
                        <c:v>442</c:v>
                      </c:pt>
                      <c:pt idx="5">
                        <c:v>492</c:v>
                      </c:pt>
                      <c:pt idx="6">
                        <c:v>542</c:v>
                      </c:pt>
                      <c:pt idx="7">
                        <c:v>592</c:v>
                      </c:pt>
                      <c:pt idx="8">
                        <c:v>742</c:v>
                      </c:pt>
                      <c:pt idx="9">
                        <c:v>892</c:v>
                      </c:pt>
                      <c:pt idx="10">
                        <c:v>992</c:v>
                      </c:pt>
                      <c:pt idx="11">
                        <c:v>1092</c:v>
                      </c:pt>
                      <c:pt idx="12">
                        <c:v>1192</c:v>
                      </c:pt>
                      <c:pt idx="13">
                        <c:v>1492</c:v>
                      </c:pt>
                      <c:pt idx="14">
                        <c:v>1792</c:v>
                      </c:pt>
                      <c:pt idx="15" formatCode="General">
                        <c:v>1992</c:v>
                      </c:pt>
                      <c:pt idx="16" formatCode="General">
                        <c:v>2192</c:v>
                      </c:pt>
                      <c:pt idx="17" formatCode="General">
                        <c:v>2492</c:v>
                      </c:pt>
                      <c:pt idx="18" formatCode="General">
                        <c:v>2792</c:v>
                      </c:pt>
                      <c:pt idx="19" formatCode="General">
                        <c:v>2992</c:v>
                      </c:pt>
                    </c:numCache>
                  </c:numRef>
                </c:xVal>
                <c:yVal>
                  <c:numRef>
                    <c:extLst>
                      <c:ext xmlns:c15="http://schemas.microsoft.com/office/drawing/2012/chart" uri="{02D57815-91ED-43cb-92C2-25804820EDAC}">
                        <c15:formulaRef>
                          <c15:sqref>'Zehnder Charl. Tabelle'!$C$13:$V$13</c15:sqref>
                        </c15:formulaRef>
                      </c:ext>
                    </c:extLst>
                    <c:numCache>
                      <c:formatCode>General</c:formatCode>
                      <c:ptCount val="20"/>
                      <c:pt idx="0">
                        <c:v>1.27</c:v>
                      </c:pt>
                      <c:pt idx="1">
                        <c:v>1.27</c:v>
                      </c:pt>
                      <c:pt idx="2">
                        <c:v>1.26</c:v>
                      </c:pt>
                      <c:pt idx="3">
                        <c:v>1.26</c:v>
                      </c:pt>
                      <c:pt idx="4">
                        <c:v>1.26</c:v>
                      </c:pt>
                      <c:pt idx="5">
                        <c:v>1.25</c:v>
                      </c:pt>
                      <c:pt idx="6">
                        <c:v>1.25</c:v>
                      </c:pt>
                      <c:pt idx="7">
                        <c:v>1.25</c:v>
                      </c:pt>
                      <c:pt idx="8">
                        <c:v>1.24</c:v>
                      </c:pt>
                      <c:pt idx="9">
                        <c:v>1.23</c:v>
                      </c:pt>
                      <c:pt idx="10">
                        <c:v>1.22</c:v>
                      </c:pt>
                      <c:pt idx="11">
                        <c:v>1.21</c:v>
                      </c:pt>
                      <c:pt idx="12">
                        <c:v>1.3</c:v>
                      </c:pt>
                      <c:pt idx="13">
                        <c:v>1.29</c:v>
                      </c:pt>
                      <c:pt idx="14">
                        <c:v>1.29</c:v>
                      </c:pt>
                      <c:pt idx="15">
                        <c:v>1.28</c:v>
                      </c:pt>
                      <c:pt idx="16">
                        <c:v>1.28</c:v>
                      </c:pt>
                      <c:pt idx="17">
                        <c:v>1.28</c:v>
                      </c:pt>
                      <c:pt idx="18">
                        <c:v>1.27</c:v>
                      </c:pt>
                      <c:pt idx="19">
                        <c:v>1.27</c:v>
                      </c:pt>
                    </c:numCache>
                  </c:numRef>
                </c:yVal>
                <c:smooth val="0"/>
                <c:extLst>
                  <c:ext xmlns:c16="http://schemas.microsoft.com/office/drawing/2014/chart" uri="{C3380CC4-5D6E-409C-BE32-E72D297353CC}">
                    <c16:uniqueId val="{00000001-8447-4E07-945A-39AB9628F841}"/>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'Zehnder Charl. Tabelle'!$W$5</c15:sqref>
                        </c15:formulaRef>
                      </c:ext>
                    </c:extLst>
                    <c:strCache>
                      <c:ptCount val="1"/>
                      <c:pt idx="0">
                        <c:v>ZEHN 3-Säule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Tabelle'!$C$14:$V$14</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B-8447-4E07-945A-39AB9628F841}"/>
                  </c:ext>
                </c:extLst>
              </c15:ser>
            </c15:filteredScatterSeries>
            <c15:filteredScatterSeries>
              <c15:ser>
                <c:idx val="7"/>
                <c:order val="7"/>
                <c:tx>
                  <c:strRef>
                    <c:extLst xmlns:c15="http://schemas.microsoft.com/office/drawing/2012/chart">
                      <c:ext xmlns:c15="http://schemas.microsoft.com/office/drawing/2012/chart" uri="{02D57815-91ED-43cb-92C2-25804820EDAC}">
                        <c15:formulaRef>
                          <c15:sqref>'Zehnder Charl. Tabelle'!$W$6</c15:sqref>
                        </c15:formulaRef>
                      </c:ext>
                    </c:extLst>
                    <c:strCache>
                      <c:ptCount val="1"/>
                      <c:pt idx="0">
                        <c:v>ZEHN 4-Säule</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Tabelle'!$C$15:$V$15</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C-8447-4E07-945A-39AB9628F841}"/>
                  </c:ext>
                </c:extLst>
              </c15:ser>
            </c15:filteredScatterSeries>
            <c15:filteredScatterSeries>
              <c15:ser>
                <c:idx val="11"/>
                <c:order val="8"/>
                <c:tx>
                  <c:strRef>
                    <c:extLst xmlns:c15="http://schemas.microsoft.com/office/drawing/2012/chart">
                      <c:ext xmlns:c15="http://schemas.microsoft.com/office/drawing/2012/chart" uri="{02D57815-91ED-43cb-92C2-25804820EDAC}">
                        <c15:formulaRef>
                          <c15:sqref>'Zehnder Charl. Tabelle'!$W$7</c15:sqref>
                        </c15:formulaRef>
                      </c:ext>
                    </c:extLst>
                    <c:strCache>
                      <c:ptCount val="1"/>
                      <c:pt idx="0">
                        <c:v>ZEHN 5-Säule</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'Zehnder Charl. Tabelle'!$C$3:$V$3</c15:sqref>
                        </c15:formulaRef>
                      </c:ext>
                    </c:extLst>
                    <c:numCache>
                      <c:formatCode>#,##0</c:formatCode>
                      <c:ptCount val="20"/>
                      <c:pt idx="0">
                        <c:v>260</c:v>
                      </c:pt>
                      <c:pt idx="1">
                        <c:v>300</c:v>
                      </c:pt>
                      <c:pt idx="2">
                        <c:v>350</c:v>
                      </c:pt>
                      <c:pt idx="3">
                        <c:v>400</c:v>
                      </c:pt>
                      <c:pt idx="4">
                        <c:v>450</c:v>
                      </c:pt>
                      <c:pt idx="5">
                        <c:v>500</c:v>
                      </c:pt>
                      <c:pt idx="6">
                        <c:v>550</c:v>
                      </c:pt>
                      <c:pt idx="7">
                        <c:v>600</c:v>
                      </c:pt>
                      <c:pt idx="8">
                        <c:v>750</c:v>
                      </c:pt>
                      <c:pt idx="9">
                        <c:v>900</c:v>
                      </c:pt>
                      <c:pt idx="10">
                        <c:v>1000</c:v>
                      </c:pt>
                      <c:pt idx="11">
                        <c:v>1100</c:v>
                      </c:pt>
                      <c:pt idx="12">
                        <c:v>1200</c:v>
                      </c:pt>
                      <c:pt idx="13">
                        <c:v>1500</c:v>
                      </c:pt>
                      <c:pt idx="14">
                        <c:v>1800</c:v>
                      </c:pt>
                      <c:pt idx="15" formatCode="General">
                        <c:v>2000</c:v>
                      </c:pt>
                      <c:pt idx="16" formatCode="General">
                        <c:v>2200</c:v>
                      </c:pt>
                      <c:pt idx="17" formatCode="General">
                        <c:v>2500</c:v>
                      </c:pt>
                      <c:pt idx="18" formatCode="General">
                        <c:v>2800</c:v>
                      </c:pt>
                      <c:pt idx="19" formatCode="General">
                        <c:v>3000</c:v>
                      </c:pt>
                    </c:numCache>
                  </c:numRef>
                </c:xVal>
                <c:yVal>
                  <c:numRef>
                    <c:extLst xmlns:c15="http://schemas.microsoft.com/office/drawing/2012/chart">
                      <c:ext xmlns:c15="http://schemas.microsoft.com/office/drawing/2012/chart" uri="{02D57815-91ED-43cb-92C2-25804820EDAC}">
                        <c15:formulaRef>
                          <c15:sqref>'Zehnder Charl. Tabelle'!$C$16:$V$16</c15:sqref>
                        </c15:formulaRef>
                      </c:ext>
                    </c:extLst>
                    <c:numCache>
                      <c:formatCode>General</c:formatCode>
                      <c:ptCount val="20"/>
                      <c:pt idx="0">
                        <c:v>1.28</c:v>
                      </c:pt>
                      <c:pt idx="1">
                        <c:v>1.28</c:v>
                      </c:pt>
                      <c:pt idx="2">
                        <c:v>1.28</c:v>
                      </c:pt>
                      <c:pt idx="3">
                        <c:v>1.28</c:v>
                      </c:pt>
                      <c:pt idx="4">
                        <c:v>1.27</c:v>
                      </c:pt>
                      <c:pt idx="5">
                        <c:v>1.27</c:v>
                      </c:pt>
                      <c:pt idx="6">
                        <c:v>1.27</c:v>
                      </c:pt>
                      <c:pt idx="7">
                        <c:v>1.27</c:v>
                      </c:pt>
                      <c:pt idx="8">
                        <c:v>1.26</c:v>
                      </c:pt>
                      <c:pt idx="9">
                        <c:v>1.25</c:v>
                      </c:pt>
                      <c:pt idx="10">
                        <c:v>1.25</c:v>
                      </c:pt>
                      <c:pt idx="11">
                        <c:v>1.25</c:v>
                      </c:pt>
                      <c:pt idx="12">
                        <c:v>1.31</c:v>
                      </c:pt>
                      <c:pt idx="13">
                        <c:v>1.31</c:v>
                      </c:pt>
                      <c:pt idx="14">
                        <c:v>1.32</c:v>
                      </c:pt>
                      <c:pt idx="15">
                        <c:v>1.32</c:v>
                      </c:pt>
                      <c:pt idx="16">
                        <c:v>1.32</c:v>
                      </c:pt>
                      <c:pt idx="17">
                        <c:v>1.32</c:v>
                      </c:pt>
                      <c:pt idx="18">
                        <c:v>1.33</c:v>
                      </c:pt>
                      <c:pt idx="19">
                        <c:v>1.33</c:v>
                      </c:pt>
                    </c:numCache>
                  </c:numRef>
                </c:yVal>
                <c:smooth val="0"/>
                <c:extLst xmlns:c15="http://schemas.microsoft.com/office/drawing/2012/chart">
                  <c:ext xmlns:c16="http://schemas.microsoft.com/office/drawing/2014/chart" uri="{C3380CC4-5D6E-409C-BE32-E72D297353CC}">
                    <c16:uniqueId val="{0000000D-8447-4E07-945A-39AB9628F841}"/>
                  </c:ext>
                </c:extLst>
              </c15:ser>
            </c15:filteredScatterSeries>
            <c15:filteredScatterSeries>
              <c15:ser>
                <c:idx val="3"/>
                <c:order val="10"/>
                <c:tx>
                  <c:strRef>
                    <c:extLst>
                      <c:ext xmlns:c15="http://schemas.microsoft.com/office/drawing/2012/chart" uri="{02D57815-91ED-43cb-92C2-25804820EDAC}">
                        <c15:formulaRef>
                          <c15:sqref>'IRSAP Tabelle'!$AD$3</c15:sqref>
                        </c15:formulaRef>
                      </c:ext>
                    </c:extLst>
                    <c:strCache>
                      <c:ptCount val="1"/>
                      <c:pt idx="0">
                        <c:v>IRSAP 2-Säule</c:v>
                      </c:pt>
                    </c:strCache>
                  </c:strRef>
                </c:tx>
                <c:spPr>
                  <a:ln w="25400" cap="rnd">
                    <a:noFill/>
                    <a:round/>
                  </a:ln>
                  <a:effectLst/>
                </c:spPr>
                <c:marker>
                  <c:symbol val="circle"/>
                  <c:size val="5"/>
                  <c:spPr>
                    <a:solidFill>
                      <a:schemeClr val="accent4"/>
                    </a:solidFill>
                    <a:ln w="9525">
                      <a:solidFill>
                        <a:schemeClr val="accent4"/>
                      </a:solidFill>
                    </a:ln>
                    <a:effectLst/>
                  </c:spPr>
                </c:marker>
                <c:xVal>
                  <c:numRef>
                    <c:extLs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c:ext xmlns:c15="http://schemas.microsoft.com/office/drawing/2012/chart" uri="{02D57815-91ED-43cb-92C2-25804820EDAC}">
                        <c15:formulaRef>
                          <c15:sqref>'IRSAP Tabelle'!$C$11:$AC$11</c15:sqref>
                        </c15:formulaRef>
                      </c:ext>
                    </c:extLst>
                    <c:numCache>
                      <c:formatCode>General</c:formatCode>
                      <c:ptCount val="27"/>
                      <c:pt idx="0">
                        <c:v>1.25</c:v>
                      </c:pt>
                      <c:pt idx="1">
                        <c:v>1.24</c:v>
                      </c:pt>
                      <c:pt idx="2">
                        <c:v>1.24</c:v>
                      </c:pt>
                      <c:pt idx="3">
                        <c:v>1.24</c:v>
                      </c:pt>
                      <c:pt idx="4">
                        <c:v>1.25</c:v>
                      </c:pt>
                      <c:pt idx="5">
                        <c:v>1.25</c:v>
                      </c:pt>
                      <c:pt idx="6">
                        <c:v>1.25</c:v>
                      </c:pt>
                      <c:pt idx="7">
                        <c:v>1.26</c:v>
                      </c:pt>
                      <c:pt idx="8">
                        <c:v>1.26</c:v>
                      </c:pt>
                      <c:pt idx="9">
                        <c:v>1.26</c:v>
                      </c:pt>
                      <c:pt idx="10">
                        <c:v>1.26</c:v>
                      </c:pt>
                      <c:pt idx="11">
                        <c:v>1.27</c:v>
                      </c:pt>
                      <c:pt idx="12">
                        <c:v>1.27</c:v>
                      </c:pt>
                      <c:pt idx="13">
                        <c:v>1.27</c:v>
                      </c:pt>
                      <c:pt idx="14">
                        <c:v>1.27</c:v>
                      </c:pt>
                      <c:pt idx="15">
                        <c:v>1.28</c:v>
                      </c:pt>
                      <c:pt idx="16">
                        <c:v>1.28</c:v>
                      </c:pt>
                      <c:pt idx="17">
                        <c:v>1.28</c:v>
                      </c:pt>
                      <c:pt idx="18">
                        <c:v>1.29</c:v>
                      </c:pt>
                      <c:pt idx="19">
                        <c:v>1.29</c:v>
                      </c:pt>
                      <c:pt idx="20">
                        <c:v>1.29</c:v>
                      </c:pt>
                      <c:pt idx="21">
                        <c:v>1.31</c:v>
                      </c:pt>
                      <c:pt idx="22">
                        <c:v>1.33</c:v>
                      </c:pt>
                      <c:pt idx="23">
                        <c:v>1.33</c:v>
                      </c:pt>
                      <c:pt idx="24">
                        <c:v>1.32</c:v>
                      </c:pt>
                      <c:pt idx="25">
                        <c:v>1.31</c:v>
                      </c:pt>
                      <c:pt idx="26">
                        <c:v>1.29</c:v>
                      </c:pt>
                    </c:numCache>
                  </c:numRef>
                </c:yVal>
                <c:smooth val="0"/>
                <c:extLst>
                  <c:ext xmlns:c16="http://schemas.microsoft.com/office/drawing/2014/chart" uri="{C3380CC4-5D6E-409C-BE32-E72D297353CC}">
                    <c16:uniqueId val="{00000002-8447-4E07-945A-39AB9628F841}"/>
                  </c:ext>
                </c:extLst>
              </c15:ser>
            </c15:filteredScatterSeries>
            <c15:filteredScatterSeries>
              <c15:ser>
                <c:idx val="4"/>
                <c:order val="11"/>
                <c:tx>
                  <c:strRef>
                    <c:extLst xmlns:c15="http://schemas.microsoft.com/office/drawing/2012/chart">
                      <c:ext xmlns:c15="http://schemas.microsoft.com/office/drawing/2012/chart" uri="{02D57815-91ED-43cb-92C2-25804820EDAC}">
                        <c15:formulaRef>
                          <c15:sqref>'IRSAP Tabelle'!$AD$4</c15:sqref>
                        </c15:formulaRef>
                      </c:ext>
                    </c:extLst>
                    <c:strCache>
                      <c:ptCount val="1"/>
                      <c:pt idx="0">
                        <c:v>IRSAP 3-Säule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Tabelle'!$C$12:$AC$12</c15:sqref>
                        </c15:formulaRef>
                      </c:ext>
                    </c:extLst>
                    <c:numCache>
                      <c:formatCode>General</c:formatCode>
                      <c:ptCount val="27"/>
                      <c:pt idx="0">
                        <c:v>1.29</c:v>
                      </c:pt>
                      <c:pt idx="1">
                        <c:v>1.25</c:v>
                      </c:pt>
                      <c:pt idx="2">
                        <c:v>1.25</c:v>
                      </c:pt>
                      <c:pt idx="3">
                        <c:v>1.26</c:v>
                      </c:pt>
                      <c:pt idx="4">
                        <c:v>1.26</c:v>
                      </c:pt>
                      <c:pt idx="5">
                        <c:v>1.26</c:v>
                      </c:pt>
                      <c:pt idx="6">
                        <c:v>1.27</c:v>
                      </c:pt>
                      <c:pt idx="7">
                        <c:v>1.27</c:v>
                      </c:pt>
                      <c:pt idx="8">
                        <c:v>1.28</c:v>
                      </c:pt>
                      <c:pt idx="9">
                        <c:v>1.28</c:v>
                      </c:pt>
                      <c:pt idx="10">
                        <c:v>1.28</c:v>
                      </c:pt>
                      <c:pt idx="11">
                        <c:v>1.29</c:v>
                      </c:pt>
                      <c:pt idx="12">
                        <c:v>1.29</c:v>
                      </c:pt>
                      <c:pt idx="13">
                        <c:v>1.29</c:v>
                      </c:pt>
                      <c:pt idx="14">
                        <c:v>1.3</c:v>
                      </c:pt>
                      <c:pt idx="15">
                        <c:v>1.3</c:v>
                      </c:pt>
                      <c:pt idx="16">
                        <c:v>1.3</c:v>
                      </c:pt>
                      <c:pt idx="17">
                        <c:v>1.31</c:v>
                      </c:pt>
                      <c:pt idx="18">
                        <c:v>1.31</c:v>
                      </c:pt>
                      <c:pt idx="19">
                        <c:v>1.31</c:v>
                      </c:pt>
                      <c:pt idx="20">
                        <c:v>1.32</c:v>
                      </c:pt>
                      <c:pt idx="21">
                        <c:v>1.32</c:v>
                      </c:pt>
                      <c:pt idx="22">
                        <c:v>1.33</c:v>
                      </c:pt>
                      <c:pt idx="23">
                        <c:v>1.33</c:v>
                      </c:pt>
                      <c:pt idx="24">
                        <c:v>1.3180000000000001</c:v>
                      </c:pt>
                      <c:pt idx="25">
                        <c:v>1.31</c:v>
                      </c:pt>
                      <c:pt idx="26">
                        <c:v>1.2989999999999999</c:v>
                      </c:pt>
                    </c:numCache>
                  </c:numRef>
                </c:yVal>
                <c:smooth val="0"/>
                <c:extLst xmlns:c15="http://schemas.microsoft.com/office/drawing/2012/chart">
                  <c:ext xmlns:c16="http://schemas.microsoft.com/office/drawing/2014/chart" uri="{C3380CC4-5D6E-409C-BE32-E72D297353CC}">
                    <c16:uniqueId val="{0000000F-8447-4E07-945A-39AB9628F841}"/>
                  </c:ext>
                </c:extLst>
              </c15:ser>
            </c15:filteredScatterSeries>
            <c15:filteredScatterSeries>
              <c15:ser>
                <c:idx val="8"/>
                <c:order val="12"/>
                <c:tx>
                  <c:strRef>
                    <c:extLst xmlns:c15="http://schemas.microsoft.com/office/drawing/2012/chart">
                      <c:ext xmlns:c15="http://schemas.microsoft.com/office/drawing/2012/chart" uri="{02D57815-91ED-43cb-92C2-25804820EDAC}">
                        <c15:formulaRef>
                          <c15:sqref>'IRSAP Tabelle'!$AD$5</c15:sqref>
                        </c15:formulaRef>
                      </c:ext>
                    </c:extLst>
                    <c:strCache>
                      <c:ptCount val="1"/>
                      <c:pt idx="0">
                        <c:v>IRSAP 4-Säule</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Tabelle'!$C$13:$AC$13</c15:sqref>
                        </c15:formulaRef>
                      </c:ext>
                    </c:extLst>
                    <c:numCache>
                      <c:formatCode>General</c:formatCode>
                      <c:ptCount val="27"/>
                      <c:pt idx="0">
                        <c:v>1.3260000000000001</c:v>
                      </c:pt>
                      <c:pt idx="1">
                        <c:v>1.258</c:v>
                      </c:pt>
                      <c:pt idx="2">
                        <c:v>1.2649999999999999</c:v>
                      </c:pt>
                      <c:pt idx="3">
                        <c:v>1.2669999999999999</c:v>
                      </c:pt>
                      <c:pt idx="4">
                        <c:v>1.272</c:v>
                      </c:pt>
                      <c:pt idx="5">
                        <c:v>1.2789999999999999</c:v>
                      </c:pt>
                      <c:pt idx="6">
                        <c:v>1.286</c:v>
                      </c:pt>
                      <c:pt idx="7">
                        <c:v>1.2909999999999999</c:v>
                      </c:pt>
                      <c:pt idx="8">
                        <c:v>1.2929999999999999</c:v>
                      </c:pt>
                      <c:pt idx="9">
                        <c:v>1.296</c:v>
                      </c:pt>
                      <c:pt idx="10">
                        <c:v>1.3</c:v>
                      </c:pt>
                      <c:pt idx="11">
                        <c:v>1.3069999999999999</c:v>
                      </c:pt>
                      <c:pt idx="12">
                        <c:v>1.31</c:v>
                      </c:pt>
                      <c:pt idx="13">
                        <c:v>1.3120000000000001</c:v>
                      </c:pt>
                      <c:pt idx="14">
                        <c:v>1.3220000000000001</c:v>
                      </c:pt>
                      <c:pt idx="15">
                        <c:v>1.3240000000000001</c:v>
                      </c:pt>
                      <c:pt idx="16">
                        <c:v>1.331</c:v>
                      </c:pt>
                      <c:pt idx="17">
                        <c:v>1.3380000000000001</c:v>
                      </c:pt>
                      <c:pt idx="18">
                        <c:v>1.341</c:v>
                      </c:pt>
                      <c:pt idx="19">
                        <c:v>1.343</c:v>
                      </c:pt>
                      <c:pt idx="20">
                        <c:v>1.34</c:v>
                      </c:pt>
                      <c:pt idx="21">
                        <c:v>1.335</c:v>
                      </c:pt>
                      <c:pt idx="22">
                        <c:v>1.3280000000000001</c:v>
                      </c:pt>
                      <c:pt idx="23">
                        <c:v>1.321</c:v>
                      </c:pt>
                      <c:pt idx="24">
                        <c:v>1.3169999999999999</c:v>
                      </c:pt>
                      <c:pt idx="25">
                        <c:v>1.3120000000000001</c:v>
                      </c:pt>
                      <c:pt idx="26">
                        <c:v>1.306</c:v>
                      </c:pt>
                    </c:numCache>
                  </c:numRef>
                </c:yVal>
                <c:smooth val="0"/>
                <c:extLst xmlns:c15="http://schemas.microsoft.com/office/drawing/2012/chart">
                  <c:ext xmlns:c16="http://schemas.microsoft.com/office/drawing/2014/chart" uri="{C3380CC4-5D6E-409C-BE32-E72D297353CC}">
                    <c16:uniqueId val="{00000010-8447-4E07-945A-39AB9628F841}"/>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'IRSAP Tabelle'!$AD$6</c15:sqref>
                        </c15:formulaRef>
                      </c:ext>
                    </c:extLst>
                    <c:strCache>
                      <c:ptCount val="1"/>
                      <c:pt idx="0">
                        <c:v>IRSAP 5-Säule</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'IRSAP Tabelle'!$C$2:$AC$2</c15:sqref>
                        </c15:formulaRef>
                      </c:ext>
                    </c:extLst>
                    <c:numCache>
                      <c:formatCode>#,##0</c:formatCode>
                      <c:ptCount val="27"/>
                      <c:pt idx="0">
                        <c:v>200</c:v>
                      </c:pt>
                      <c:pt idx="1">
                        <c:v>300</c:v>
                      </c:pt>
                      <c:pt idx="2">
                        <c:v>350</c:v>
                      </c:pt>
                      <c:pt idx="3">
                        <c:v>365</c:v>
                      </c:pt>
                      <c:pt idx="4">
                        <c:v>400</c:v>
                      </c:pt>
                      <c:pt idx="5">
                        <c:v>450</c:v>
                      </c:pt>
                      <c:pt idx="6">
                        <c:v>500</c:v>
                      </c:pt>
                      <c:pt idx="7">
                        <c:v>535</c:v>
                      </c:pt>
                      <c:pt idx="8">
                        <c:v>550</c:v>
                      </c:pt>
                      <c:pt idx="9">
                        <c:v>565</c:v>
                      </c:pt>
                      <c:pt idx="10">
                        <c:v>600</c:v>
                      </c:pt>
                      <c:pt idx="11">
                        <c:v>650</c:v>
                      </c:pt>
                      <c:pt idx="12">
                        <c:v>665</c:v>
                      </c:pt>
                      <c:pt idx="13">
                        <c:v>685</c:v>
                      </c:pt>
                      <c:pt idx="14">
                        <c:v>750</c:v>
                      </c:pt>
                      <c:pt idx="15">
                        <c:v>765</c:v>
                      </c:pt>
                      <c:pt idx="16">
                        <c:v>815</c:v>
                      </c:pt>
                      <c:pt idx="17">
                        <c:v>865</c:v>
                      </c:pt>
                      <c:pt idx="18">
                        <c:v>885</c:v>
                      </c:pt>
                      <c:pt idx="19">
                        <c:v>900</c:v>
                      </c:pt>
                      <c:pt idx="20">
                        <c:v>1000</c:v>
                      </c:pt>
                      <c:pt idx="21">
                        <c:v>1200</c:v>
                      </c:pt>
                      <c:pt idx="22">
                        <c:v>1500</c:v>
                      </c:pt>
                      <c:pt idx="23">
                        <c:v>1800</c:v>
                      </c:pt>
                      <c:pt idx="24">
                        <c:v>2000</c:v>
                      </c:pt>
                      <c:pt idx="25">
                        <c:v>2200</c:v>
                      </c:pt>
                      <c:pt idx="26">
                        <c:v>2500</c:v>
                      </c:pt>
                    </c:numCache>
                  </c:numRef>
                </c:xVal>
                <c:yVal>
                  <c:numRef>
                    <c:extLst xmlns:c15="http://schemas.microsoft.com/office/drawing/2012/chart">
                      <c:ext xmlns:c15="http://schemas.microsoft.com/office/drawing/2012/chart" uri="{02D57815-91ED-43cb-92C2-25804820EDAC}">
                        <c15:formulaRef>
                          <c15:sqref>'IRSAP Tabelle'!$C$14:$AC$14</c15:sqref>
                        </c15:formulaRef>
                      </c:ext>
                    </c:extLst>
                    <c:numCache>
                      <c:formatCode>General</c:formatCode>
                      <c:ptCount val="27"/>
                      <c:pt idx="0">
                        <c:v>1.35</c:v>
                      </c:pt>
                      <c:pt idx="1">
                        <c:v>1.276</c:v>
                      </c:pt>
                      <c:pt idx="2">
                        <c:v>1.2829999999999999</c:v>
                      </c:pt>
                      <c:pt idx="3">
                        <c:v>1.286</c:v>
                      </c:pt>
                      <c:pt idx="4">
                        <c:v>1.2909999999999999</c:v>
                      </c:pt>
                      <c:pt idx="5">
                        <c:v>1.2989999999999999</c:v>
                      </c:pt>
                      <c:pt idx="6">
                        <c:v>1.3069999999999999</c:v>
                      </c:pt>
                      <c:pt idx="7">
                        <c:v>1.3120000000000001</c:v>
                      </c:pt>
                      <c:pt idx="8">
                        <c:v>1.3149999999999999</c:v>
                      </c:pt>
                      <c:pt idx="9">
                        <c:v>1.3169999999999999</c:v>
                      </c:pt>
                      <c:pt idx="10">
                        <c:v>1.3220000000000001</c:v>
                      </c:pt>
                      <c:pt idx="11">
                        <c:v>1.33</c:v>
                      </c:pt>
                      <c:pt idx="12">
                        <c:v>1.333</c:v>
                      </c:pt>
                      <c:pt idx="13">
                        <c:v>1.3360000000000001</c:v>
                      </c:pt>
                      <c:pt idx="14">
                        <c:v>1.3460000000000001</c:v>
                      </c:pt>
                      <c:pt idx="15">
                        <c:v>1.3480000000000001</c:v>
                      </c:pt>
                      <c:pt idx="16">
                        <c:v>1.3560000000000001</c:v>
                      </c:pt>
                      <c:pt idx="17">
                        <c:v>1.3640000000000001</c:v>
                      </c:pt>
                      <c:pt idx="18">
                        <c:v>1.367</c:v>
                      </c:pt>
                      <c:pt idx="19">
                        <c:v>1.369</c:v>
                      </c:pt>
                      <c:pt idx="20">
                        <c:v>1.3640000000000001</c:v>
                      </c:pt>
                      <c:pt idx="21">
                        <c:v>1.353</c:v>
                      </c:pt>
                      <c:pt idx="22">
                        <c:v>1.337</c:v>
                      </c:pt>
                      <c:pt idx="23">
                        <c:v>1.327</c:v>
                      </c:pt>
                      <c:pt idx="24">
                        <c:v>1.323</c:v>
                      </c:pt>
                      <c:pt idx="25">
                        <c:v>1.32</c:v>
                      </c:pt>
                      <c:pt idx="26">
                        <c:v>1.3140000000000001</c:v>
                      </c:pt>
                    </c:numCache>
                  </c:numRef>
                </c:yVal>
                <c:smooth val="0"/>
                <c:extLst xmlns:c15="http://schemas.microsoft.com/office/drawing/2012/chart">
                  <c:ext xmlns:c16="http://schemas.microsoft.com/office/drawing/2014/chart" uri="{C3380CC4-5D6E-409C-BE32-E72D297353CC}">
                    <c16:uniqueId val="{00000011-8447-4E07-945A-39AB9628F841}"/>
                  </c:ext>
                </c:extLst>
              </c15:ser>
            </c15:filteredScatterSeries>
            <c15:filteredScatterSeries>
              <c15:ser>
                <c:idx val="15"/>
                <c:order val="15"/>
                <c:tx>
                  <c:strRef>
                    <c:extLst>
                      <c:ext xmlns:c15="http://schemas.microsoft.com/office/drawing/2012/chart" uri="{02D57815-91ED-43cb-92C2-25804820EDAC}">
                        <c15:formulaRef>
                          <c15:sqref>'Cordivari Tabelle'!$AC$3</c15:sqref>
                        </c15:formulaRef>
                      </c:ext>
                    </c:extLst>
                    <c:strCache>
                      <c:ptCount val="1"/>
                      <c:pt idx="0">
                        <c:v>Cordivari 2-Säule</c:v>
                      </c:pt>
                    </c:strCache>
                  </c:strRef>
                </c:tx>
                <c:spPr>
                  <a:ln w="254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c:ext xmlns:c15="http://schemas.microsoft.com/office/drawing/2012/chart" uri="{02D57815-91ED-43cb-92C2-25804820EDAC}">
                        <c15:formulaRef>
                          <c15:sqref>'Cordivari Tabelle'!$C$11:$AB$11</c15:sqref>
                        </c15:formulaRef>
                      </c:ext>
                    </c:extLst>
                    <c:numCache>
                      <c:formatCode>General</c:formatCode>
                      <c:ptCount val="26"/>
                      <c:pt idx="0">
                        <c:v>1.3029999999999999</c:v>
                      </c:pt>
                      <c:pt idx="1">
                        <c:v>1.2470000000000001</c:v>
                      </c:pt>
                      <c:pt idx="2">
                        <c:v>1.2609999999999999</c:v>
                      </c:pt>
                      <c:pt idx="3">
                        <c:v>1.2749999999999999</c:v>
                      </c:pt>
                      <c:pt idx="4">
                        <c:v>1.2829999999999999</c:v>
                      </c:pt>
                      <c:pt idx="5">
                        <c:v>1.2869999999999999</c:v>
                      </c:pt>
                      <c:pt idx="6">
                        <c:v>1.2889999999999999</c:v>
                      </c:pt>
                      <c:pt idx="7">
                        <c:v>1.292</c:v>
                      </c:pt>
                      <c:pt idx="8">
                        <c:v>1.2969999999999999</c:v>
                      </c:pt>
                      <c:pt idx="9">
                        <c:v>1.2989999999999999</c:v>
                      </c:pt>
                      <c:pt idx="10">
                        <c:v>1.31</c:v>
                      </c:pt>
                      <c:pt idx="11">
                        <c:v>1.3109999999999999</c:v>
                      </c:pt>
                      <c:pt idx="12">
                        <c:v>1.3149999999999999</c:v>
                      </c:pt>
                      <c:pt idx="13">
                        <c:v>1.3240000000000001</c:v>
                      </c:pt>
                      <c:pt idx="14">
                        <c:v>1.327</c:v>
                      </c:pt>
                      <c:pt idx="15">
                        <c:v>1.3320000000000001</c:v>
                      </c:pt>
                      <c:pt idx="16">
                        <c:v>1.335</c:v>
                      </c:pt>
                      <c:pt idx="17">
                        <c:v>1.343</c:v>
                      </c:pt>
                      <c:pt idx="18">
                        <c:v>1.355</c:v>
                      </c:pt>
                      <c:pt idx="19">
                        <c:v>1.355</c:v>
                      </c:pt>
                      <c:pt idx="20">
                        <c:v>1.355</c:v>
                      </c:pt>
                      <c:pt idx="21">
                        <c:v>1.355</c:v>
                      </c:pt>
                      <c:pt idx="22">
                        <c:v>1.355</c:v>
                      </c:pt>
                      <c:pt idx="23">
                        <c:v>1.355</c:v>
                      </c:pt>
                      <c:pt idx="24">
                        <c:v>1.355</c:v>
                      </c:pt>
                      <c:pt idx="25">
                        <c:v>1.355</c:v>
                      </c:pt>
                    </c:numCache>
                  </c:numRef>
                </c:yVal>
                <c:smooth val="0"/>
                <c:extLst>
                  <c:ext xmlns:c16="http://schemas.microsoft.com/office/drawing/2014/chart" uri="{C3380CC4-5D6E-409C-BE32-E72D297353CC}">
                    <c16:uniqueId val="{00000003-8447-4E07-945A-39AB9628F841}"/>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'Cordivari Tabelle'!$AC$4</c15:sqref>
                        </c15:formulaRef>
                      </c:ext>
                    </c:extLst>
                    <c:strCache>
                      <c:ptCount val="1"/>
                      <c:pt idx="0">
                        <c:v>Cordivari 3-Säule</c:v>
                      </c:pt>
                    </c:strCache>
                  </c:strRef>
                </c:tx>
                <c:spPr>
                  <a:ln w="254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Tabelle'!$C$12:$AB$12</c15:sqref>
                        </c15:formulaRef>
                      </c:ext>
                    </c:extLst>
                    <c:numCache>
                      <c:formatCode>General</c:formatCode>
                      <c:ptCount val="26"/>
                      <c:pt idx="0">
                        <c:v>1.3140000000000001</c:v>
                      </c:pt>
                      <c:pt idx="1">
                        <c:v>1.2729999999999999</c:v>
                      </c:pt>
                      <c:pt idx="2">
                        <c:v>1.284</c:v>
                      </c:pt>
                      <c:pt idx="3">
                        <c:v>1.296</c:v>
                      </c:pt>
                      <c:pt idx="4">
                        <c:v>1.302</c:v>
                      </c:pt>
                      <c:pt idx="5">
                        <c:v>1.306</c:v>
                      </c:pt>
                      <c:pt idx="6">
                        <c:v>1.3069999999999999</c:v>
                      </c:pt>
                      <c:pt idx="7">
                        <c:v>1.31</c:v>
                      </c:pt>
                      <c:pt idx="8">
                        <c:v>1.3140000000000001</c:v>
                      </c:pt>
                      <c:pt idx="9">
                        <c:v>1.3160000000000001</c:v>
                      </c:pt>
                      <c:pt idx="10">
                        <c:v>1.325</c:v>
                      </c:pt>
                      <c:pt idx="11">
                        <c:v>1.325</c:v>
                      </c:pt>
                      <c:pt idx="12">
                        <c:v>1.329</c:v>
                      </c:pt>
                      <c:pt idx="13">
                        <c:v>1.337</c:v>
                      </c:pt>
                      <c:pt idx="14">
                        <c:v>1.339</c:v>
                      </c:pt>
                      <c:pt idx="15">
                        <c:v>1.343</c:v>
                      </c:pt>
                      <c:pt idx="16">
                        <c:v>1.345</c:v>
                      </c:pt>
                      <c:pt idx="17">
                        <c:v>1.35</c:v>
                      </c:pt>
                      <c:pt idx="18">
                        <c:v>1.359</c:v>
                      </c:pt>
                      <c:pt idx="19">
                        <c:v>1.35</c:v>
                      </c:pt>
                      <c:pt idx="20">
                        <c:v>1.341</c:v>
                      </c:pt>
                      <c:pt idx="21">
                        <c:v>1.3380000000000001</c:v>
                      </c:pt>
                      <c:pt idx="22">
                        <c:v>1.33</c:v>
                      </c:pt>
                      <c:pt idx="23">
                        <c:v>1.3260000000000001</c:v>
                      </c:pt>
                      <c:pt idx="24">
                        <c:v>1.3180000000000001</c:v>
                      </c:pt>
                      <c:pt idx="25">
                        <c:v>1.3009999999999999</c:v>
                      </c:pt>
                    </c:numCache>
                  </c:numRef>
                </c:yVal>
                <c:smooth val="0"/>
                <c:extLst xmlns:c15="http://schemas.microsoft.com/office/drawing/2012/chart">
                  <c:ext xmlns:c16="http://schemas.microsoft.com/office/drawing/2014/chart" uri="{C3380CC4-5D6E-409C-BE32-E72D297353CC}">
                    <c16:uniqueId val="{00000013-8447-4E07-945A-39AB9628F841}"/>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'Cordivari Tabelle'!$AC$5</c15:sqref>
                        </c15:formulaRef>
                      </c:ext>
                    </c:extLst>
                    <c:strCache>
                      <c:ptCount val="1"/>
                      <c:pt idx="0">
                        <c:v>Cordivari 4-Säule</c:v>
                      </c:pt>
                    </c:strCache>
                  </c:strRef>
                </c:tx>
                <c:spPr>
                  <a:ln w="254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Tabelle'!$C$13:$AB$13</c15:sqref>
                        </c15:formulaRef>
                      </c:ext>
                    </c:extLst>
                    <c:numCache>
                      <c:formatCode>General</c:formatCode>
                      <c:ptCount val="26"/>
                      <c:pt idx="0">
                        <c:v>1.3169999999999999</c:v>
                      </c:pt>
                      <c:pt idx="1">
                        <c:v>1.2649999999999999</c:v>
                      </c:pt>
                      <c:pt idx="2">
                        <c:v>1.28</c:v>
                      </c:pt>
                      <c:pt idx="3">
                        <c:v>1.296</c:v>
                      </c:pt>
                      <c:pt idx="4">
                        <c:v>1.3049999999999999</c:v>
                      </c:pt>
                      <c:pt idx="5">
                        <c:v>1.3089999999999999</c:v>
                      </c:pt>
                      <c:pt idx="6">
                        <c:v>1.3120000000000001</c:v>
                      </c:pt>
                      <c:pt idx="7">
                        <c:v>1.3160000000000001</c:v>
                      </c:pt>
                      <c:pt idx="8">
                        <c:v>1.32</c:v>
                      </c:pt>
                      <c:pt idx="9">
                        <c:v>1.3240000000000001</c:v>
                      </c:pt>
                      <c:pt idx="10">
                        <c:v>1.335</c:v>
                      </c:pt>
                      <c:pt idx="11">
                        <c:v>1.3360000000000001</c:v>
                      </c:pt>
                      <c:pt idx="12">
                        <c:v>1.341</c:v>
                      </c:pt>
                      <c:pt idx="13">
                        <c:v>1.3520000000000001</c:v>
                      </c:pt>
                      <c:pt idx="14">
                        <c:v>1.355</c:v>
                      </c:pt>
                      <c:pt idx="15">
                        <c:v>1.3580000000000001</c:v>
                      </c:pt>
                      <c:pt idx="16">
                        <c:v>1.355</c:v>
                      </c:pt>
                      <c:pt idx="17">
                        <c:v>1.3480000000000001</c:v>
                      </c:pt>
                      <c:pt idx="18">
                        <c:v>1.3380000000000001</c:v>
                      </c:pt>
                      <c:pt idx="19">
                        <c:v>1.3460000000000001</c:v>
                      </c:pt>
                      <c:pt idx="20">
                        <c:v>1.353</c:v>
                      </c:pt>
                      <c:pt idx="21">
                        <c:v>1.3560000000000001</c:v>
                      </c:pt>
                      <c:pt idx="22">
                        <c:v>1.3640000000000001</c:v>
                      </c:pt>
                      <c:pt idx="23">
                        <c:v>1.3660000000000001</c:v>
                      </c:pt>
                      <c:pt idx="24">
                        <c:v>1.3740000000000001</c:v>
                      </c:pt>
                      <c:pt idx="25">
                        <c:v>1.389</c:v>
                      </c:pt>
                    </c:numCache>
                  </c:numRef>
                </c:yVal>
                <c:smooth val="0"/>
                <c:extLst xmlns:c15="http://schemas.microsoft.com/office/drawing/2012/chart">
                  <c:ext xmlns:c16="http://schemas.microsoft.com/office/drawing/2014/chart" uri="{C3380CC4-5D6E-409C-BE32-E72D297353CC}">
                    <c16:uniqueId val="{00000014-8447-4E07-945A-39AB9628F841}"/>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'Cordivari Tabelle'!$AC$6</c15:sqref>
                        </c15:formulaRef>
                      </c:ext>
                    </c:extLst>
                    <c:strCache>
                      <c:ptCount val="1"/>
                      <c:pt idx="0">
                        <c:v>Cordivari 5-Säule</c:v>
                      </c:pt>
                    </c:strCache>
                  </c:strRef>
                </c:tx>
                <c:spPr>
                  <a:ln w="254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'Cordivari Tabelle'!$C$2:$AB$2</c15:sqref>
                        </c15:formulaRef>
                      </c:ext>
                    </c:extLst>
                    <c:numCache>
                      <c:formatCode>#,##0</c:formatCode>
                      <c:ptCount val="26"/>
                      <c:pt idx="0">
                        <c:v>207</c:v>
                      </c:pt>
                      <c:pt idx="1">
                        <c:v>300</c:v>
                      </c:pt>
                      <c:pt idx="2">
                        <c:v>400</c:v>
                      </c:pt>
                      <c:pt idx="3">
                        <c:v>500</c:v>
                      </c:pt>
                      <c:pt idx="4">
                        <c:v>556</c:v>
                      </c:pt>
                      <c:pt idx="5">
                        <c:v>586</c:v>
                      </c:pt>
                      <c:pt idx="6">
                        <c:v>600</c:v>
                      </c:pt>
                      <c:pt idx="7">
                        <c:v>626</c:v>
                      </c:pt>
                      <c:pt idx="8">
                        <c:v>656</c:v>
                      </c:pt>
                      <c:pt idx="9">
                        <c:v>676</c:v>
                      </c:pt>
                      <c:pt idx="10">
                        <c:v>750</c:v>
                      </c:pt>
                      <c:pt idx="11">
                        <c:v>756</c:v>
                      </c:pt>
                      <c:pt idx="12">
                        <c:v>786</c:v>
                      </c:pt>
                      <c:pt idx="13">
                        <c:v>856</c:v>
                      </c:pt>
                      <c:pt idx="14">
                        <c:v>876</c:v>
                      </c:pt>
                      <c:pt idx="15" formatCode="General">
                        <c:v>926</c:v>
                      </c:pt>
                      <c:pt idx="16" formatCode="General">
                        <c:v>1000</c:v>
                      </c:pt>
                      <c:pt idx="17" formatCode="General">
                        <c:v>1200</c:v>
                      </c:pt>
                      <c:pt idx="18" formatCode="General">
                        <c:v>1500</c:v>
                      </c:pt>
                      <c:pt idx="19" formatCode="General">
                        <c:v>1656</c:v>
                      </c:pt>
                      <c:pt idx="20" formatCode="General">
                        <c:v>1800</c:v>
                      </c:pt>
                      <c:pt idx="21" formatCode="General">
                        <c:v>1856</c:v>
                      </c:pt>
                      <c:pt idx="22" formatCode="General">
                        <c:v>2000</c:v>
                      </c:pt>
                      <c:pt idx="23" formatCode="General">
                        <c:v>2056</c:v>
                      </c:pt>
                      <c:pt idx="24" formatCode="General">
                        <c:v>2200</c:v>
                      </c:pt>
                      <c:pt idx="25" formatCode="General">
                        <c:v>2500</c:v>
                      </c:pt>
                    </c:numCache>
                  </c:numRef>
                </c:xVal>
                <c:yVal>
                  <c:numRef>
                    <c:extLst xmlns:c15="http://schemas.microsoft.com/office/drawing/2012/chart">
                      <c:ext xmlns:c15="http://schemas.microsoft.com/office/drawing/2012/chart" uri="{02D57815-91ED-43cb-92C2-25804820EDAC}">
                        <c15:formulaRef>
                          <c15:sqref>'Cordivari Tabelle'!$C$14:$AB$14</c15:sqref>
                        </c15:formulaRef>
                      </c:ext>
                    </c:extLst>
                    <c:numCache>
                      <c:formatCode>General</c:formatCode>
                      <c:ptCount val="26"/>
                      <c:pt idx="0">
                        <c:v>1.329</c:v>
                      </c:pt>
                      <c:pt idx="1">
                        <c:v>1.32</c:v>
                      </c:pt>
                      <c:pt idx="2">
                        <c:v>1.323</c:v>
                      </c:pt>
                      <c:pt idx="3">
                        <c:v>1.3260000000000001</c:v>
                      </c:pt>
                      <c:pt idx="4">
                        <c:v>1.3280000000000001</c:v>
                      </c:pt>
                      <c:pt idx="5">
                        <c:v>1.329</c:v>
                      </c:pt>
                      <c:pt idx="6">
                        <c:v>1.329</c:v>
                      </c:pt>
                      <c:pt idx="7">
                        <c:v>1.33</c:v>
                      </c:pt>
                      <c:pt idx="8">
                        <c:v>1.331</c:v>
                      </c:pt>
                      <c:pt idx="9">
                        <c:v>1.3320000000000001</c:v>
                      </c:pt>
                      <c:pt idx="10">
                        <c:v>1.3340000000000001</c:v>
                      </c:pt>
                      <c:pt idx="11">
                        <c:v>1.335</c:v>
                      </c:pt>
                      <c:pt idx="12">
                        <c:v>1.335</c:v>
                      </c:pt>
                      <c:pt idx="13">
                        <c:v>1.3380000000000001</c:v>
                      </c:pt>
                      <c:pt idx="14">
                        <c:v>1.3380000000000001</c:v>
                      </c:pt>
                      <c:pt idx="15">
                        <c:v>1.3420000000000001</c:v>
                      </c:pt>
                      <c:pt idx="16">
                        <c:v>1.3480000000000001</c:v>
                      </c:pt>
                      <c:pt idx="17">
                        <c:v>1.3660000000000001</c:v>
                      </c:pt>
                      <c:pt idx="18">
                        <c:v>1.393</c:v>
                      </c:pt>
                      <c:pt idx="19">
                        <c:v>1.381</c:v>
                      </c:pt>
                      <c:pt idx="20">
                        <c:v>1.37</c:v>
                      </c:pt>
                      <c:pt idx="21">
                        <c:v>1.3660000000000001</c:v>
                      </c:pt>
                      <c:pt idx="22">
                        <c:v>1.3560000000000001</c:v>
                      </c:pt>
                      <c:pt idx="23">
                        <c:v>1.351</c:v>
                      </c:pt>
                      <c:pt idx="24">
                        <c:v>1.341</c:v>
                      </c:pt>
                      <c:pt idx="25">
                        <c:v>1.3180000000000001</c:v>
                      </c:pt>
                    </c:numCache>
                  </c:numRef>
                </c:yVal>
                <c:smooth val="0"/>
                <c:extLst xmlns:c15="http://schemas.microsoft.com/office/drawing/2012/chart">
                  <c:ext xmlns:c16="http://schemas.microsoft.com/office/drawing/2014/chart" uri="{C3380CC4-5D6E-409C-BE32-E72D297353CC}">
                    <c16:uniqueId val="{00000015-8447-4E07-945A-39AB9628F841}"/>
                  </c:ext>
                </c:extLst>
              </c15:ser>
            </c15:filteredScatterSeries>
            <c15:filteredScatterSeries>
              <c15:ser>
                <c:idx val="20"/>
                <c:order val="20"/>
                <c:tx>
                  <c:strRef>
                    <c:extLst>
                      <c:ext xmlns:c15="http://schemas.microsoft.com/office/drawing/2012/chart" uri="{02D57815-91ED-43cb-92C2-25804820EDAC}">
                        <c15:formulaRef>
                          <c15:sqref>'FIR Iron'!$AD$3</c15:sqref>
                        </c15:formulaRef>
                      </c:ext>
                    </c:extLst>
                    <c:strCache>
                      <c:ptCount val="1"/>
                      <c:pt idx="0">
                        <c:v>FIR Iron 2-Säule</c:v>
                      </c:pt>
                    </c:strCache>
                  </c:strRef>
                </c:tx>
                <c:spPr>
                  <a:ln w="254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extLs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c:ext xmlns:c15="http://schemas.microsoft.com/office/drawing/2012/chart" uri="{02D57815-91ED-43cb-92C2-25804820EDAC}">
                        <c15:formulaRef>
                          <c15:sqref>'FIR Iron'!$C$11:$AC$11</c15:sqref>
                        </c15:formulaRef>
                      </c:ext>
                    </c:extLst>
                    <c:numCache>
                      <c:formatCode>General</c:formatCode>
                      <c:ptCount val="27"/>
                      <c:pt idx="0">
                        <c:v>1.21</c:v>
                      </c:pt>
                      <c:pt idx="1">
                        <c:v>1.22</c:v>
                      </c:pt>
                      <c:pt idx="2">
                        <c:v>1.23</c:v>
                      </c:pt>
                      <c:pt idx="4">
                        <c:v>1.23</c:v>
                      </c:pt>
                      <c:pt idx="6">
                        <c:v>1.23</c:v>
                      </c:pt>
                      <c:pt idx="7">
                        <c:v>1.24</c:v>
                      </c:pt>
                      <c:pt idx="8">
                        <c:v>1.24</c:v>
                      </c:pt>
                      <c:pt idx="9">
                        <c:v>1.24</c:v>
                      </c:pt>
                      <c:pt idx="10">
                        <c:v>1.24</c:v>
                      </c:pt>
                      <c:pt idx="11">
                        <c:v>1.25</c:v>
                      </c:pt>
                      <c:pt idx="12">
                        <c:v>1.25</c:v>
                      </c:pt>
                      <c:pt idx="13">
                        <c:v>1.26</c:v>
                      </c:pt>
                      <c:pt idx="14">
                        <c:v>1.26</c:v>
                      </c:pt>
                      <c:pt idx="15">
                        <c:v>1.27</c:v>
                      </c:pt>
                      <c:pt idx="16">
                        <c:v>1.27</c:v>
                      </c:pt>
                      <c:pt idx="18">
                        <c:v>1.28</c:v>
                      </c:pt>
                      <c:pt idx="19">
                        <c:v>1.28</c:v>
                      </c:pt>
                      <c:pt idx="20">
                        <c:v>1.3</c:v>
                      </c:pt>
                      <c:pt idx="21">
                        <c:v>1.32</c:v>
                      </c:pt>
                      <c:pt idx="22">
                        <c:v>1.33</c:v>
                      </c:pt>
                      <c:pt idx="23">
                        <c:v>1.34</c:v>
                      </c:pt>
                      <c:pt idx="24">
                        <c:v>1.34</c:v>
                      </c:pt>
                      <c:pt idx="25">
                        <c:v>1.34</c:v>
                      </c:pt>
                      <c:pt idx="26">
                        <c:v>1.3</c:v>
                      </c:pt>
                    </c:numCache>
                  </c:numRef>
                </c:yVal>
                <c:smooth val="0"/>
                <c:extLst>
                  <c:ext xmlns:c16="http://schemas.microsoft.com/office/drawing/2014/chart" uri="{C3380CC4-5D6E-409C-BE32-E72D297353CC}">
                    <c16:uniqueId val="{00000004-8447-4E07-945A-39AB9628F841}"/>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'FIR Iron'!$AD$4</c15:sqref>
                        </c15:formulaRef>
                      </c:ext>
                    </c:extLst>
                    <c:strCache>
                      <c:ptCount val="1"/>
                      <c:pt idx="0">
                        <c:v>FIR Iron 3-Säule</c:v>
                      </c:pt>
                    </c:strCache>
                  </c:strRef>
                </c:tx>
                <c:spPr>
                  <a:ln w="254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Iron'!$C$12:$AC$12</c15:sqref>
                        </c15:formulaRef>
                      </c:ext>
                    </c:extLst>
                    <c:numCache>
                      <c:formatCode>General</c:formatCode>
                      <c:ptCount val="27"/>
                      <c:pt idx="0">
                        <c:v>1.22</c:v>
                      </c:pt>
                      <c:pt idx="1">
                        <c:v>1.23</c:v>
                      </c:pt>
                      <c:pt idx="2">
                        <c:v>1.23</c:v>
                      </c:pt>
                      <c:pt idx="3">
                        <c:v>1.23</c:v>
                      </c:pt>
                      <c:pt idx="4">
                        <c:v>1.24</c:v>
                      </c:pt>
                      <c:pt idx="5">
                        <c:v>1.24</c:v>
                      </c:pt>
                      <c:pt idx="6">
                        <c:v>1.24</c:v>
                      </c:pt>
                      <c:pt idx="7">
                        <c:v>1.25</c:v>
                      </c:pt>
                      <c:pt idx="8">
                        <c:v>1.26</c:v>
                      </c:pt>
                      <c:pt idx="9">
                        <c:v>1.26</c:v>
                      </c:pt>
                      <c:pt idx="10">
                        <c:v>1.26</c:v>
                      </c:pt>
                      <c:pt idx="11">
                        <c:v>1.27</c:v>
                      </c:pt>
                      <c:pt idx="12">
                        <c:v>1.28</c:v>
                      </c:pt>
                      <c:pt idx="13">
                        <c:v>1.29</c:v>
                      </c:pt>
                      <c:pt idx="14">
                        <c:v>1.29</c:v>
                      </c:pt>
                      <c:pt idx="15">
                        <c:v>1.29</c:v>
                      </c:pt>
                      <c:pt idx="16">
                        <c:v>1.3</c:v>
                      </c:pt>
                      <c:pt idx="17">
                        <c:v>1.3</c:v>
                      </c:pt>
                      <c:pt idx="18">
                        <c:v>1.3</c:v>
                      </c:pt>
                      <c:pt idx="19">
                        <c:v>1.31</c:v>
                      </c:pt>
                      <c:pt idx="20">
                        <c:v>1.33</c:v>
                      </c:pt>
                      <c:pt idx="21">
                        <c:v>1.34</c:v>
                      </c:pt>
                      <c:pt idx="22">
                        <c:v>1.34</c:v>
                      </c:pt>
                      <c:pt idx="23">
                        <c:v>1.34</c:v>
                      </c:pt>
                      <c:pt idx="24">
                        <c:v>1.34</c:v>
                      </c:pt>
                      <c:pt idx="25">
                        <c:v>1.33</c:v>
                      </c:pt>
                      <c:pt idx="26">
                        <c:v>1.32</c:v>
                      </c:pt>
                    </c:numCache>
                  </c:numRef>
                </c:yVal>
                <c:smooth val="0"/>
                <c:extLst xmlns:c15="http://schemas.microsoft.com/office/drawing/2012/chart">
                  <c:ext xmlns:c16="http://schemas.microsoft.com/office/drawing/2014/chart" uri="{C3380CC4-5D6E-409C-BE32-E72D297353CC}">
                    <c16:uniqueId val="{00000017-8447-4E07-945A-39AB9628F841}"/>
                  </c:ext>
                </c:extLst>
              </c15:ser>
            </c15:filteredScatterSeries>
            <c15:filteredScatterSeries>
              <c15:ser>
                <c:idx val="22"/>
                <c:order val="22"/>
                <c:tx>
                  <c:strRef>
                    <c:extLst xmlns:c15="http://schemas.microsoft.com/office/drawing/2012/chart">
                      <c:ext xmlns:c15="http://schemas.microsoft.com/office/drawing/2012/chart" uri="{02D57815-91ED-43cb-92C2-25804820EDAC}">
                        <c15:formulaRef>
                          <c15:sqref>'FIR Iron'!$AD$5</c15:sqref>
                        </c15:formulaRef>
                      </c:ext>
                    </c:extLst>
                    <c:strCache>
                      <c:ptCount val="1"/>
                      <c:pt idx="0">
                        <c:v>FIR Iron 4-Säule</c:v>
                      </c:pt>
                    </c:strCache>
                  </c:strRef>
                </c:tx>
                <c:spPr>
                  <a:ln w="254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Iron'!$C$13:$AC$13</c15:sqref>
                        </c15:formulaRef>
                      </c:ext>
                    </c:extLst>
                    <c:numCache>
                      <c:formatCode>General</c:formatCode>
                      <c:ptCount val="27"/>
                      <c:pt idx="0">
                        <c:v>1.22</c:v>
                      </c:pt>
                      <c:pt idx="1">
                        <c:v>1.23</c:v>
                      </c:pt>
                      <c:pt idx="2">
                        <c:v>1.24</c:v>
                      </c:pt>
                      <c:pt idx="3">
                        <c:v>1.24</c:v>
                      </c:pt>
                      <c:pt idx="4">
                        <c:v>1.25</c:v>
                      </c:pt>
                      <c:pt idx="5">
                        <c:v>1.25</c:v>
                      </c:pt>
                      <c:pt idx="6">
                        <c:v>1.26</c:v>
                      </c:pt>
                      <c:pt idx="7">
                        <c:v>1.26</c:v>
                      </c:pt>
                      <c:pt idx="8">
                        <c:v>1.27</c:v>
                      </c:pt>
                      <c:pt idx="9">
                        <c:v>1.27</c:v>
                      </c:pt>
                      <c:pt idx="10">
                        <c:v>1.28</c:v>
                      </c:pt>
                      <c:pt idx="11">
                        <c:v>1.29</c:v>
                      </c:pt>
                      <c:pt idx="12">
                        <c:v>1.28</c:v>
                      </c:pt>
                      <c:pt idx="13">
                        <c:v>1.31</c:v>
                      </c:pt>
                      <c:pt idx="14">
                        <c:v>1.31</c:v>
                      </c:pt>
                      <c:pt idx="15">
                        <c:v>1.32</c:v>
                      </c:pt>
                      <c:pt idx="16">
                        <c:v>1.32</c:v>
                      </c:pt>
                      <c:pt idx="17">
                        <c:v>1.33</c:v>
                      </c:pt>
                      <c:pt idx="18">
                        <c:v>1.33</c:v>
                      </c:pt>
                      <c:pt idx="19">
                        <c:v>1.34</c:v>
                      </c:pt>
                      <c:pt idx="20">
                        <c:v>1.35</c:v>
                      </c:pt>
                      <c:pt idx="21">
                        <c:v>1.35</c:v>
                      </c:pt>
                      <c:pt idx="22">
                        <c:v>1.35</c:v>
                      </c:pt>
                      <c:pt idx="23">
                        <c:v>1.35</c:v>
                      </c:pt>
                      <c:pt idx="24">
                        <c:v>1.34</c:v>
                      </c:pt>
                      <c:pt idx="25">
                        <c:v>1.3</c:v>
                      </c:pt>
                      <c:pt idx="26">
                        <c:v>1.32</c:v>
                      </c:pt>
                    </c:numCache>
                  </c:numRef>
                </c:yVal>
                <c:smooth val="0"/>
                <c:extLst xmlns:c15="http://schemas.microsoft.com/office/drawing/2012/chart">
                  <c:ext xmlns:c16="http://schemas.microsoft.com/office/drawing/2014/chart" uri="{C3380CC4-5D6E-409C-BE32-E72D297353CC}">
                    <c16:uniqueId val="{00000018-8447-4E07-945A-39AB9628F841}"/>
                  </c:ext>
                </c:extLst>
              </c15:ser>
            </c15:filteredScatterSeries>
            <c15:filteredScatterSeries>
              <c15:ser>
                <c:idx val="23"/>
                <c:order val="23"/>
                <c:tx>
                  <c:strRef>
                    <c:extLst xmlns:c15="http://schemas.microsoft.com/office/drawing/2012/chart">
                      <c:ext xmlns:c15="http://schemas.microsoft.com/office/drawing/2012/chart" uri="{02D57815-91ED-43cb-92C2-25804820EDAC}">
                        <c15:formulaRef>
                          <c15:sqref>'FIR Iron'!$AD$6</c15:sqref>
                        </c15:formulaRef>
                      </c:ext>
                    </c:extLst>
                    <c:strCache>
                      <c:ptCount val="1"/>
                      <c:pt idx="0">
                        <c:v>FIR Iron 5-Säule</c:v>
                      </c:pt>
                    </c:strCache>
                  </c:strRef>
                </c:tx>
                <c:spPr>
                  <a:ln w="254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extLst xmlns:c15="http://schemas.microsoft.com/office/drawing/2012/chart">
                      <c:ext xmlns:c15="http://schemas.microsoft.com/office/drawing/2012/chart" uri="{02D57815-91ED-43cb-92C2-25804820EDAC}">
                        <c15:formulaRef>
                          <c15:sqref>'FIR Iron'!$C$2:$AC$2</c15:sqref>
                        </c15:formulaRef>
                      </c:ext>
                    </c:extLst>
                    <c:numCache>
                      <c:formatCode>#,##0</c:formatCode>
                      <c:ptCount val="27"/>
                      <c:pt idx="0">
                        <c:v>155</c:v>
                      </c:pt>
                      <c:pt idx="1">
                        <c:v>300</c:v>
                      </c:pt>
                      <c:pt idx="2">
                        <c:v>350</c:v>
                      </c:pt>
                      <c:pt idx="3">
                        <c:v>365</c:v>
                      </c:pt>
                      <c:pt idx="4">
                        <c:v>400</c:v>
                      </c:pt>
                      <c:pt idx="5">
                        <c:v>415</c:v>
                      </c:pt>
                      <c:pt idx="6">
                        <c:v>450</c:v>
                      </c:pt>
                      <c:pt idx="7">
                        <c:v>500</c:v>
                      </c:pt>
                      <c:pt idx="8">
                        <c:v>550</c:v>
                      </c:pt>
                      <c:pt idx="9">
                        <c:v>565</c:v>
                      </c:pt>
                      <c:pt idx="10">
                        <c:v>600</c:v>
                      </c:pt>
                      <c:pt idx="11">
                        <c:v>665</c:v>
                      </c:pt>
                      <c:pt idx="12">
                        <c:v>750</c:v>
                      </c:pt>
                      <c:pt idx="13">
                        <c:v>865</c:v>
                      </c:pt>
                      <c:pt idx="14">
                        <c:v>900</c:v>
                      </c:pt>
                      <c:pt idx="15">
                        <c:v>965</c:v>
                      </c:pt>
                      <c:pt idx="16">
                        <c:v>1000</c:v>
                      </c:pt>
                      <c:pt idx="17">
                        <c:v>1065</c:v>
                      </c:pt>
                      <c:pt idx="18">
                        <c:v>1100</c:v>
                      </c:pt>
                      <c:pt idx="19">
                        <c:v>1200</c:v>
                      </c:pt>
                      <c:pt idx="20">
                        <c:v>1500</c:v>
                      </c:pt>
                      <c:pt idx="21">
                        <c:v>1800</c:v>
                      </c:pt>
                      <c:pt idx="22">
                        <c:v>2000</c:v>
                      </c:pt>
                      <c:pt idx="23">
                        <c:v>2200</c:v>
                      </c:pt>
                      <c:pt idx="24">
                        <c:v>2500</c:v>
                      </c:pt>
                      <c:pt idx="25">
                        <c:v>2800</c:v>
                      </c:pt>
                      <c:pt idx="26">
                        <c:v>3000</c:v>
                      </c:pt>
                    </c:numCache>
                  </c:numRef>
                </c:xVal>
                <c:yVal>
                  <c:numRef>
                    <c:extLst xmlns:c15="http://schemas.microsoft.com/office/drawing/2012/chart">
                      <c:ext xmlns:c15="http://schemas.microsoft.com/office/drawing/2012/chart" uri="{02D57815-91ED-43cb-92C2-25804820EDAC}">
                        <c15:formulaRef>
                          <c15:sqref>'FIR Iron'!$C$14:$AC$14</c15:sqref>
                        </c15:formulaRef>
                      </c:ext>
                    </c:extLst>
                    <c:numCache>
                      <c:formatCode>General</c:formatCode>
                      <c:ptCount val="27"/>
                      <c:pt idx="0">
                        <c:v>1.24</c:v>
                      </c:pt>
                      <c:pt idx="1">
                        <c:v>1.24</c:v>
                      </c:pt>
                      <c:pt idx="2">
                        <c:v>1.25</c:v>
                      </c:pt>
                      <c:pt idx="3">
                        <c:v>1.25</c:v>
                      </c:pt>
                      <c:pt idx="4">
                        <c:v>1.26</c:v>
                      </c:pt>
                      <c:pt idx="6">
                        <c:v>1.26</c:v>
                      </c:pt>
                      <c:pt idx="7">
                        <c:v>1.27</c:v>
                      </c:pt>
                      <c:pt idx="8">
                        <c:v>1.28</c:v>
                      </c:pt>
                      <c:pt idx="9">
                        <c:v>1.28</c:v>
                      </c:pt>
                      <c:pt idx="10">
                        <c:v>1.28</c:v>
                      </c:pt>
                      <c:pt idx="11">
                        <c:v>1.29</c:v>
                      </c:pt>
                      <c:pt idx="12">
                        <c:v>1.28</c:v>
                      </c:pt>
                      <c:pt idx="13">
                        <c:v>1.31</c:v>
                      </c:pt>
                      <c:pt idx="14">
                        <c:v>1.31</c:v>
                      </c:pt>
                      <c:pt idx="16">
                        <c:v>1.32</c:v>
                      </c:pt>
                      <c:pt idx="17">
                        <c:v>1.33</c:v>
                      </c:pt>
                      <c:pt idx="18">
                        <c:v>1.33</c:v>
                      </c:pt>
                      <c:pt idx="19">
                        <c:v>1.34</c:v>
                      </c:pt>
                      <c:pt idx="20">
                        <c:v>1.35</c:v>
                      </c:pt>
                      <c:pt idx="21">
                        <c:v>1.35</c:v>
                      </c:pt>
                      <c:pt idx="22">
                        <c:v>1.35</c:v>
                      </c:pt>
                      <c:pt idx="23">
                        <c:v>1.34</c:v>
                      </c:pt>
                      <c:pt idx="24">
                        <c:v>1.33</c:v>
                      </c:pt>
                      <c:pt idx="25">
                        <c:v>1.31</c:v>
                      </c:pt>
                      <c:pt idx="26">
                        <c:v>1.3</c:v>
                      </c:pt>
                    </c:numCache>
                  </c:numRef>
                </c:yVal>
                <c:smooth val="0"/>
                <c:extLst xmlns:c15="http://schemas.microsoft.com/office/drawing/2012/chart">
                  <c:ext xmlns:c16="http://schemas.microsoft.com/office/drawing/2014/chart" uri="{C3380CC4-5D6E-409C-BE32-E72D297353CC}">
                    <c16:uniqueId val="{00000019-8447-4E07-945A-39AB9628F841}"/>
                  </c:ext>
                </c:extLst>
              </c15:ser>
            </c15:filteredScatterSeries>
          </c:ext>
        </c:extLst>
      </c:scatterChart>
      <c:valAx>
        <c:axId val="2064288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Bauhöhe</a:t>
                </a:r>
                <a:r>
                  <a:rPr lang="de-CH" baseline="0"/>
                  <a:t> (mm)</a:t>
                </a:r>
                <a:endParaRPr lang="de-C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CH"/>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93696"/>
        <c:crosses val="autoZero"/>
        <c:crossBetween val="midCat"/>
      </c:valAx>
      <c:valAx>
        <c:axId val="2064293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Heizleitsung pro Glied (W/Gl.)</a:t>
                </a:r>
              </a:p>
            </c:rich>
          </c:tx>
          <c:layout>
            <c:manualLayout>
              <c:xMode val="edge"/>
              <c:yMode val="edge"/>
              <c:x val="2.7777777777777779E-3"/>
              <c:y val="0.21501196598944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64288896"/>
        <c:crosses val="autoZero"/>
        <c:crossBetween val="midCat"/>
      </c:valAx>
      <c:spPr>
        <a:noFill/>
        <a:ln w="25400">
          <a:noFill/>
        </a:ln>
        <a:effectLst/>
      </c:spPr>
    </c:plotArea>
    <c:legend>
      <c:legendPos val="b"/>
      <c:layout>
        <c:manualLayout>
          <c:xMode val="edge"/>
          <c:yMode val="edge"/>
          <c:x val="0.12079068241469816"/>
          <c:y val="0.85782285478179643"/>
          <c:w val="0.75077401313735737"/>
          <c:h val="0.139858836063390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Gussradiatoren nach DIN 4720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Buch_Krupp!$N$46:$N$54</c:f>
              <c:numCache>
                <c:formatCode>0.000</c:formatCode>
                <c:ptCount val="9"/>
                <c:pt idx="0">
                  <c:v>0.18</c:v>
                </c:pt>
                <c:pt idx="1">
                  <c:v>0.185</c:v>
                </c:pt>
                <c:pt idx="2">
                  <c:v>0.185</c:v>
                </c:pt>
                <c:pt idx="3">
                  <c:v>0.20499999999999999</c:v>
                </c:pt>
                <c:pt idx="4">
                  <c:v>0.255</c:v>
                </c:pt>
                <c:pt idx="5">
                  <c:v>0.255</c:v>
                </c:pt>
                <c:pt idx="6">
                  <c:v>0.34499999999999997</c:v>
                </c:pt>
                <c:pt idx="7">
                  <c:v>0.44</c:v>
                </c:pt>
                <c:pt idx="8">
                  <c:v>0.57999999999999996</c:v>
                </c:pt>
              </c:numCache>
            </c:numRef>
          </c:xVal>
          <c:yVal>
            <c:numRef>
              <c:f>Buch_Krupp!$P$46:$P$54</c:f>
              <c:numCache>
                <c:formatCode>#,##0</c:formatCode>
                <c:ptCount val="9"/>
                <c:pt idx="0">
                  <c:v>92</c:v>
                </c:pt>
                <c:pt idx="1">
                  <c:v>93</c:v>
                </c:pt>
                <c:pt idx="2" formatCode="General">
                  <c:v>92</c:v>
                </c:pt>
                <c:pt idx="3" formatCode="General">
                  <c:v>112</c:v>
                </c:pt>
                <c:pt idx="4">
                  <c:v>123</c:v>
                </c:pt>
                <c:pt idx="5">
                  <c:v>126</c:v>
                </c:pt>
                <c:pt idx="6">
                  <c:v>163</c:v>
                </c:pt>
                <c:pt idx="7">
                  <c:v>205</c:v>
                </c:pt>
                <c:pt idx="8">
                  <c:v>261</c:v>
                </c:pt>
              </c:numCache>
            </c:numRef>
          </c:yVal>
          <c:smooth val="0"/>
          <c:extLst>
            <c:ext xmlns:c16="http://schemas.microsoft.com/office/drawing/2014/chart" uri="{C3380CC4-5D6E-409C-BE32-E72D297353CC}">
              <c16:uniqueId val="{00000000-1617-428A-B32D-23EA25297D52}"/>
            </c:ext>
          </c:extLst>
        </c:ser>
        <c:dLbls>
          <c:showLegendKey val="0"/>
          <c:showVal val="0"/>
          <c:showCatName val="0"/>
          <c:showSerName val="0"/>
          <c:showPercent val="0"/>
          <c:showBubbleSize val="0"/>
        </c:dLbls>
        <c:axId val="104213040"/>
        <c:axId val="104210640"/>
      </c:scatterChart>
      <c:valAx>
        <c:axId val="104213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Oberfläche (m2)</a:t>
                </a:r>
              </a:p>
            </c:rich>
          </c:tx>
          <c:layout>
            <c:manualLayout>
              <c:xMode val="edge"/>
              <c:yMode val="edge"/>
              <c:x val="0.43526968503937014"/>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4210640"/>
        <c:crosses val="autoZero"/>
        <c:crossBetween val="midCat"/>
      </c:valAx>
      <c:valAx>
        <c:axId val="104210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CH"/>
                  <a:t>Leistung (W) tv: 90 °C, tr: 70 °C, ti: 20 °C</a:t>
                </a:r>
              </a:p>
            </c:rich>
          </c:tx>
          <c:layout>
            <c:manualLayout>
              <c:xMode val="edge"/>
              <c:yMode val="edge"/>
              <c:x val="8.3333333333333332E-3"/>
              <c:y val="0.116157407407407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42130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Wärmetransfer_Krupp!$R$3</c:f>
              <c:strCache>
                <c:ptCount val="1"/>
                <c:pt idx="0">
                  <c:v>17.2</c:v>
                </c:pt>
              </c:strCache>
            </c:strRef>
          </c:tx>
          <c:spPr>
            <a:ln w="38100" cap="rnd">
              <a:noFill/>
              <a:round/>
            </a:ln>
            <a:effectLst/>
          </c:spPr>
          <c:marker>
            <c:symbol val="circle"/>
            <c:size val="5"/>
            <c:spPr>
              <a:solidFill>
                <a:schemeClr val="accent1"/>
              </a:solidFill>
              <a:ln w="9525">
                <a:solidFill>
                  <a:schemeClr val="accent1"/>
                </a:solidFill>
              </a:ln>
              <a:effectLst/>
            </c:spPr>
          </c:marker>
          <c:xVal>
            <c:numRef>
              <c:f>Wärmetransfer_Krupp!$Q$4:$Q$17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Wärmetransfer_Krupp!$R$4:$R$17</c:f>
              <c:numCache>
                <c:formatCode>General</c:formatCode>
                <c:ptCount val="14"/>
                <c:pt idx="3">
                  <c:v>10.4</c:v>
                </c:pt>
                <c:pt idx="4">
                  <c:v>11.8</c:v>
                </c:pt>
                <c:pt idx="5">
                  <c:v>13.2</c:v>
                </c:pt>
                <c:pt idx="6">
                  <c:v>17.5</c:v>
                </c:pt>
                <c:pt idx="7">
                  <c:v>22</c:v>
                </c:pt>
                <c:pt idx="8">
                  <c:v>25.5</c:v>
                </c:pt>
                <c:pt idx="9">
                  <c:v>31</c:v>
                </c:pt>
                <c:pt idx="10">
                  <c:v>41.5</c:v>
                </c:pt>
                <c:pt idx="11">
                  <c:v>51</c:v>
                </c:pt>
                <c:pt idx="12">
                  <c:v>62.5</c:v>
                </c:pt>
                <c:pt idx="13">
                  <c:v>73</c:v>
                </c:pt>
              </c:numCache>
            </c:numRef>
          </c:yVal>
          <c:smooth val="0"/>
          <c:extLst>
            <c:ext xmlns:c16="http://schemas.microsoft.com/office/drawing/2014/chart" uri="{C3380CC4-5D6E-409C-BE32-E72D297353CC}">
              <c16:uniqueId val="{00000000-DCC7-4E4D-9C6D-85BF2721E09B}"/>
            </c:ext>
          </c:extLst>
        </c:ser>
        <c:ser>
          <c:idx val="1"/>
          <c:order val="1"/>
          <c:tx>
            <c:strRef>
              <c:f>Wärmetransfer_Krupp!$S$3</c:f>
              <c:strCache>
                <c:ptCount val="1"/>
                <c:pt idx="0">
                  <c:v>21.3</c:v>
                </c:pt>
              </c:strCache>
            </c:strRef>
          </c:tx>
          <c:spPr>
            <a:ln w="38100" cap="rnd">
              <a:noFill/>
              <a:round/>
            </a:ln>
            <a:effectLst/>
          </c:spPr>
          <c:marker>
            <c:symbol val="circle"/>
            <c:size val="5"/>
            <c:spPr>
              <a:solidFill>
                <a:schemeClr val="accent2"/>
              </a:solidFill>
              <a:ln w="9525">
                <a:solidFill>
                  <a:schemeClr val="accent2"/>
                </a:solidFill>
              </a:ln>
              <a:effectLst/>
            </c:spPr>
          </c:marker>
          <c:xVal>
            <c:numRef>
              <c:f>Wärmetransfer_Krupp!$Q$4:$Q$17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Wärmetransfer_Krupp!$S$4:$S$17</c:f>
              <c:numCache>
                <c:formatCode>General</c:formatCode>
                <c:ptCount val="14"/>
                <c:pt idx="2">
                  <c:v>10.4</c:v>
                </c:pt>
                <c:pt idx="3">
                  <c:v>11.8</c:v>
                </c:pt>
                <c:pt idx="4">
                  <c:v>14.8</c:v>
                </c:pt>
                <c:pt idx="5">
                  <c:v>16</c:v>
                </c:pt>
                <c:pt idx="6">
                  <c:v>21.2</c:v>
                </c:pt>
                <c:pt idx="7">
                  <c:v>26.2</c:v>
                </c:pt>
                <c:pt idx="8">
                  <c:v>31.4</c:v>
                </c:pt>
                <c:pt idx="9">
                  <c:v>37</c:v>
                </c:pt>
                <c:pt idx="10">
                  <c:v>49.7</c:v>
                </c:pt>
                <c:pt idx="11">
                  <c:v>61</c:v>
                </c:pt>
                <c:pt idx="12">
                  <c:v>75</c:v>
                </c:pt>
                <c:pt idx="13">
                  <c:v>99</c:v>
                </c:pt>
              </c:numCache>
            </c:numRef>
          </c:yVal>
          <c:smooth val="0"/>
          <c:extLst>
            <c:ext xmlns:c16="http://schemas.microsoft.com/office/drawing/2014/chart" uri="{C3380CC4-5D6E-409C-BE32-E72D297353CC}">
              <c16:uniqueId val="{00000001-DCC7-4E4D-9C6D-85BF2721E09B}"/>
            </c:ext>
          </c:extLst>
        </c:ser>
        <c:ser>
          <c:idx val="2"/>
          <c:order val="2"/>
          <c:tx>
            <c:strRef>
              <c:f>Wärmetransfer_Krupp!$T$3</c:f>
              <c:strCache>
                <c:ptCount val="1"/>
                <c:pt idx="0">
                  <c:v>26.9</c:v>
                </c:pt>
              </c:strCache>
            </c:strRef>
          </c:tx>
          <c:spPr>
            <a:ln w="38100" cap="rnd">
              <a:noFill/>
              <a:round/>
            </a:ln>
            <a:effectLst/>
          </c:spPr>
          <c:marker>
            <c:symbol val="circle"/>
            <c:size val="5"/>
            <c:spPr>
              <a:solidFill>
                <a:schemeClr val="accent3"/>
              </a:solidFill>
              <a:ln w="9525">
                <a:solidFill>
                  <a:schemeClr val="accent3"/>
                </a:solidFill>
              </a:ln>
              <a:effectLst/>
            </c:spPr>
          </c:marker>
          <c:xVal>
            <c:numRef>
              <c:f>Wärmetransfer_Krupp!$Q$4:$Q$17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Wärmetransfer_Krupp!$T$4:$T$17</c:f>
              <c:numCache>
                <c:formatCode>General</c:formatCode>
                <c:ptCount val="14"/>
                <c:pt idx="1">
                  <c:v>10.9</c:v>
                </c:pt>
                <c:pt idx="2">
                  <c:v>12.8</c:v>
                </c:pt>
                <c:pt idx="3">
                  <c:v>15</c:v>
                </c:pt>
                <c:pt idx="4">
                  <c:v>17.5</c:v>
                </c:pt>
                <c:pt idx="5">
                  <c:v>19.5</c:v>
                </c:pt>
                <c:pt idx="6">
                  <c:v>25.5</c:v>
                </c:pt>
                <c:pt idx="7">
                  <c:v>32</c:v>
                </c:pt>
                <c:pt idx="8">
                  <c:v>36</c:v>
                </c:pt>
                <c:pt idx="9">
                  <c:v>45</c:v>
                </c:pt>
                <c:pt idx="10">
                  <c:v>59.5</c:v>
                </c:pt>
                <c:pt idx="11">
                  <c:v>74.5</c:v>
                </c:pt>
                <c:pt idx="12">
                  <c:v>91</c:v>
                </c:pt>
                <c:pt idx="13">
                  <c:v>110</c:v>
                </c:pt>
              </c:numCache>
            </c:numRef>
          </c:yVal>
          <c:smooth val="0"/>
          <c:extLst>
            <c:ext xmlns:c16="http://schemas.microsoft.com/office/drawing/2014/chart" uri="{C3380CC4-5D6E-409C-BE32-E72D297353CC}">
              <c16:uniqueId val="{00000002-DCC7-4E4D-9C6D-85BF2721E09B}"/>
            </c:ext>
          </c:extLst>
        </c:ser>
        <c:ser>
          <c:idx val="3"/>
          <c:order val="3"/>
          <c:tx>
            <c:strRef>
              <c:f>Wärmetransfer_Krupp!$U$3</c:f>
              <c:strCache>
                <c:ptCount val="1"/>
                <c:pt idx="0">
                  <c:v>33.7</c:v>
                </c:pt>
              </c:strCache>
            </c:strRef>
          </c:tx>
          <c:spPr>
            <a:ln w="38100" cap="rnd">
              <a:noFill/>
              <a:round/>
            </a:ln>
            <a:effectLst/>
          </c:spPr>
          <c:marker>
            <c:symbol val="circle"/>
            <c:size val="5"/>
            <c:spPr>
              <a:solidFill>
                <a:schemeClr val="accent4"/>
              </a:solidFill>
              <a:ln w="9525">
                <a:solidFill>
                  <a:schemeClr val="accent4"/>
                </a:solidFill>
              </a:ln>
              <a:effectLst/>
            </c:spPr>
          </c:marker>
          <c:xVal>
            <c:numRef>
              <c:f>Wärmetransfer_Krupp!$Q$4:$Q$17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Wärmetransfer_Krupp!$U$4:$U$17</c:f>
              <c:numCache>
                <c:formatCode>General</c:formatCode>
                <c:ptCount val="14"/>
                <c:pt idx="0">
                  <c:v>10.8</c:v>
                </c:pt>
                <c:pt idx="1">
                  <c:v>13.4</c:v>
                </c:pt>
                <c:pt idx="2">
                  <c:v>15.2</c:v>
                </c:pt>
                <c:pt idx="3">
                  <c:v>18.2</c:v>
                </c:pt>
                <c:pt idx="4">
                  <c:v>21.5</c:v>
                </c:pt>
                <c:pt idx="5">
                  <c:v>23.8</c:v>
                </c:pt>
                <c:pt idx="6">
                  <c:v>31.4</c:v>
                </c:pt>
                <c:pt idx="7">
                  <c:v>39.5</c:v>
                </c:pt>
                <c:pt idx="8">
                  <c:v>48</c:v>
                </c:pt>
                <c:pt idx="9">
                  <c:v>56</c:v>
                </c:pt>
                <c:pt idx="10">
                  <c:v>73</c:v>
                </c:pt>
                <c:pt idx="11">
                  <c:v>91</c:v>
                </c:pt>
                <c:pt idx="12">
                  <c:v>112</c:v>
                </c:pt>
                <c:pt idx="13">
                  <c:v>130</c:v>
                </c:pt>
              </c:numCache>
            </c:numRef>
          </c:yVal>
          <c:smooth val="0"/>
          <c:extLst>
            <c:ext xmlns:c16="http://schemas.microsoft.com/office/drawing/2014/chart" uri="{C3380CC4-5D6E-409C-BE32-E72D297353CC}">
              <c16:uniqueId val="{00000003-DCC7-4E4D-9C6D-85BF2721E09B}"/>
            </c:ext>
          </c:extLst>
        </c:ser>
        <c:ser>
          <c:idx val="4"/>
          <c:order val="4"/>
          <c:tx>
            <c:strRef>
              <c:f>Wärmetransfer_Krupp!$V$3</c:f>
              <c:strCache>
                <c:ptCount val="1"/>
                <c:pt idx="0">
                  <c:v>42.4</c:v>
                </c:pt>
              </c:strCache>
            </c:strRef>
          </c:tx>
          <c:spPr>
            <a:ln w="25400" cap="rnd">
              <a:noFill/>
              <a:round/>
            </a:ln>
            <a:effectLst/>
          </c:spPr>
          <c:marker>
            <c:symbol val="circle"/>
            <c:size val="5"/>
            <c:spPr>
              <a:solidFill>
                <a:schemeClr val="accent5"/>
              </a:solidFill>
              <a:ln w="9525">
                <a:solidFill>
                  <a:schemeClr val="accent5"/>
                </a:solidFill>
              </a:ln>
              <a:effectLst/>
            </c:spPr>
          </c:marker>
          <c:xVal>
            <c:numRef>
              <c:f>Wärmetransfer_Krupp!$Q$4:$Q$17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Wärmetransfer_Krupp!$V$4:$V$17</c:f>
              <c:numCache>
                <c:formatCode>General</c:formatCode>
                <c:ptCount val="14"/>
                <c:pt idx="0">
                  <c:v>13.25</c:v>
                </c:pt>
                <c:pt idx="1">
                  <c:v>16.8</c:v>
                </c:pt>
                <c:pt idx="2">
                  <c:v>20</c:v>
                </c:pt>
                <c:pt idx="3">
                  <c:v>22.5</c:v>
                </c:pt>
                <c:pt idx="4">
                  <c:v>26</c:v>
                </c:pt>
                <c:pt idx="5">
                  <c:v>29.5</c:v>
                </c:pt>
                <c:pt idx="6">
                  <c:v>38.5</c:v>
                </c:pt>
                <c:pt idx="7">
                  <c:v>48</c:v>
                </c:pt>
                <c:pt idx="8">
                  <c:v>60</c:v>
                </c:pt>
                <c:pt idx="9">
                  <c:v>68</c:v>
                </c:pt>
                <c:pt idx="10">
                  <c:v>90</c:v>
                </c:pt>
                <c:pt idx="11">
                  <c:v>114</c:v>
                </c:pt>
                <c:pt idx="12">
                  <c:v>140</c:v>
                </c:pt>
                <c:pt idx="13">
                  <c:v>160</c:v>
                </c:pt>
              </c:numCache>
            </c:numRef>
          </c:yVal>
          <c:smooth val="0"/>
          <c:extLst>
            <c:ext xmlns:c16="http://schemas.microsoft.com/office/drawing/2014/chart" uri="{C3380CC4-5D6E-409C-BE32-E72D297353CC}">
              <c16:uniqueId val="{00000002-46BF-4871-B2E2-B5B3E6815DDB}"/>
            </c:ext>
          </c:extLst>
        </c:ser>
        <c:ser>
          <c:idx val="5"/>
          <c:order val="5"/>
          <c:tx>
            <c:strRef>
              <c:f>Wärmetransfer_Krupp!$W$3</c:f>
              <c:strCache>
                <c:ptCount val="1"/>
                <c:pt idx="0">
                  <c:v>48.3</c:v>
                </c:pt>
              </c:strCache>
            </c:strRef>
          </c:tx>
          <c:spPr>
            <a:ln w="25400" cap="rnd">
              <a:noFill/>
              <a:round/>
            </a:ln>
            <a:effectLst/>
          </c:spPr>
          <c:marker>
            <c:symbol val="circle"/>
            <c:size val="5"/>
            <c:spPr>
              <a:solidFill>
                <a:schemeClr val="accent6"/>
              </a:solidFill>
              <a:ln w="9525">
                <a:solidFill>
                  <a:schemeClr val="accent6"/>
                </a:solidFill>
              </a:ln>
              <a:effectLst/>
            </c:spPr>
          </c:marker>
          <c:xVal>
            <c:numRef>
              <c:f>Wärmetransfer_Krupp!$Q$4:$Q$17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Wärmetransfer_Krupp!$W$4:$W$17</c:f>
              <c:numCache>
                <c:formatCode>General</c:formatCode>
                <c:ptCount val="14"/>
                <c:pt idx="0">
                  <c:v>14.9</c:v>
                </c:pt>
                <c:pt idx="1">
                  <c:v>17</c:v>
                </c:pt>
                <c:pt idx="2">
                  <c:v>22.5</c:v>
                </c:pt>
                <c:pt idx="3">
                  <c:v>25</c:v>
                </c:pt>
                <c:pt idx="4">
                  <c:v>29</c:v>
                </c:pt>
                <c:pt idx="5">
                  <c:v>33</c:v>
                </c:pt>
                <c:pt idx="6">
                  <c:v>42.5</c:v>
                </c:pt>
                <c:pt idx="7">
                  <c:v>53</c:v>
                </c:pt>
                <c:pt idx="8">
                  <c:v>63</c:v>
                </c:pt>
                <c:pt idx="9">
                  <c:v>77</c:v>
                </c:pt>
                <c:pt idx="10">
                  <c:v>101</c:v>
                </c:pt>
                <c:pt idx="11">
                  <c:v>128</c:v>
                </c:pt>
                <c:pt idx="12">
                  <c:v>157</c:v>
                </c:pt>
                <c:pt idx="13">
                  <c:v>180</c:v>
                </c:pt>
              </c:numCache>
            </c:numRef>
          </c:yVal>
          <c:smooth val="0"/>
          <c:extLst>
            <c:ext xmlns:c16="http://schemas.microsoft.com/office/drawing/2014/chart" uri="{C3380CC4-5D6E-409C-BE32-E72D297353CC}">
              <c16:uniqueId val="{00000003-46BF-4871-B2E2-B5B3E6815DDB}"/>
            </c:ext>
          </c:extLst>
        </c:ser>
        <c:ser>
          <c:idx val="6"/>
          <c:order val="6"/>
          <c:tx>
            <c:strRef>
              <c:f>Wärmetransfer_Krupp!$X$3</c:f>
              <c:strCache>
                <c:ptCount val="1"/>
                <c:pt idx="0">
                  <c:v>60.3</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Wärmetransfer_Krupp!$Q$4:$Q$17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Wärmetransfer_Krupp!$X$4:$X$17</c:f>
              <c:numCache>
                <c:formatCode>General</c:formatCode>
                <c:ptCount val="14"/>
                <c:pt idx="0">
                  <c:v>17.3</c:v>
                </c:pt>
                <c:pt idx="1">
                  <c:v>22</c:v>
                </c:pt>
                <c:pt idx="2">
                  <c:v>26</c:v>
                </c:pt>
                <c:pt idx="3">
                  <c:v>30</c:v>
                </c:pt>
                <c:pt idx="4">
                  <c:v>34.5</c:v>
                </c:pt>
                <c:pt idx="5">
                  <c:v>39</c:v>
                </c:pt>
                <c:pt idx="6">
                  <c:v>50.5</c:v>
                </c:pt>
                <c:pt idx="7">
                  <c:v>63.5</c:v>
                </c:pt>
                <c:pt idx="8">
                  <c:v>75</c:v>
                </c:pt>
                <c:pt idx="9">
                  <c:v>89</c:v>
                </c:pt>
                <c:pt idx="10">
                  <c:v>120</c:v>
                </c:pt>
                <c:pt idx="11">
                  <c:v>150</c:v>
                </c:pt>
                <c:pt idx="12">
                  <c:v>180</c:v>
                </c:pt>
              </c:numCache>
            </c:numRef>
          </c:yVal>
          <c:smooth val="0"/>
          <c:extLst>
            <c:ext xmlns:c16="http://schemas.microsoft.com/office/drawing/2014/chart" uri="{C3380CC4-5D6E-409C-BE32-E72D297353CC}">
              <c16:uniqueId val="{00000004-46BF-4871-B2E2-B5B3E6815DDB}"/>
            </c:ext>
          </c:extLst>
        </c:ser>
        <c:dLbls>
          <c:showLegendKey val="0"/>
          <c:showVal val="0"/>
          <c:showCatName val="0"/>
          <c:showSerName val="0"/>
          <c:showPercent val="0"/>
          <c:showBubbleSize val="0"/>
        </c:dLbls>
        <c:axId val="65454624"/>
        <c:axId val="65455104"/>
      </c:scatterChart>
      <c:valAx>
        <c:axId val="65454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5455104"/>
        <c:crosses val="autoZero"/>
        <c:crossBetween val="midCat"/>
      </c:valAx>
      <c:valAx>
        <c:axId val="6545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54546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Wärmetransfer_Krupp!$AB$3</c:f>
              <c:strCache>
                <c:ptCount val="1"/>
                <c:pt idx="0">
                  <c:v>17.2</c:v>
                </c:pt>
              </c:strCache>
            </c:strRef>
          </c:tx>
          <c:spPr>
            <a:ln w="38100" cap="rnd">
              <a:noFill/>
              <a:round/>
            </a:ln>
            <a:effectLst/>
          </c:spPr>
          <c:marker>
            <c:symbol val="circle"/>
            <c:size val="5"/>
            <c:spPr>
              <a:solidFill>
                <a:schemeClr val="accent1"/>
              </a:solidFill>
              <a:ln w="9525">
                <a:solidFill>
                  <a:schemeClr val="accent1"/>
                </a:solidFill>
              </a:ln>
              <a:effectLst/>
            </c:spPr>
          </c:marker>
          <c:xVal>
            <c:numRef>
              <c:f>Wärmetransfer_Krupp!$AA$4:$AA$17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Wärmetransfer_Krupp!$AB$4:$AB$17</c:f>
              <c:numCache>
                <c:formatCode>General</c:formatCode>
                <c:ptCount val="14"/>
                <c:pt idx="5">
                  <c:v>10.9</c:v>
                </c:pt>
                <c:pt idx="6">
                  <c:v>14</c:v>
                </c:pt>
                <c:pt idx="7">
                  <c:v>17.5</c:v>
                </c:pt>
                <c:pt idx="8">
                  <c:v>21</c:v>
                </c:pt>
                <c:pt idx="9">
                  <c:v>24.5</c:v>
                </c:pt>
                <c:pt idx="10">
                  <c:v>32.5</c:v>
                </c:pt>
                <c:pt idx="11">
                  <c:v>40</c:v>
                </c:pt>
                <c:pt idx="12">
                  <c:v>49.5</c:v>
                </c:pt>
                <c:pt idx="13">
                  <c:v>59</c:v>
                </c:pt>
              </c:numCache>
            </c:numRef>
          </c:yVal>
          <c:smooth val="0"/>
          <c:extLst>
            <c:ext xmlns:c16="http://schemas.microsoft.com/office/drawing/2014/chart" uri="{C3380CC4-5D6E-409C-BE32-E72D297353CC}">
              <c16:uniqueId val="{00000000-3020-47A2-B7E1-7493FD9462A8}"/>
            </c:ext>
          </c:extLst>
        </c:ser>
        <c:ser>
          <c:idx val="1"/>
          <c:order val="1"/>
          <c:tx>
            <c:strRef>
              <c:f>Wärmetransfer_Krupp!$AC$3</c:f>
              <c:strCache>
                <c:ptCount val="1"/>
                <c:pt idx="0">
                  <c:v>21.3</c:v>
                </c:pt>
              </c:strCache>
            </c:strRef>
          </c:tx>
          <c:spPr>
            <a:ln w="38100" cap="rnd">
              <a:noFill/>
              <a:round/>
            </a:ln>
            <a:effectLst/>
          </c:spPr>
          <c:marker>
            <c:symbol val="circle"/>
            <c:size val="5"/>
            <c:spPr>
              <a:solidFill>
                <a:schemeClr val="accent2"/>
              </a:solidFill>
              <a:ln w="9525">
                <a:solidFill>
                  <a:schemeClr val="accent2"/>
                </a:solidFill>
              </a:ln>
              <a:effectLst/>
            </c:spPr>
          </c:marker>
          <c:xVal>
            <c:numRef>
              <c:f>Wärmetransfer_Krupp!$AA$4:$AA$17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Wärmetransfer_Krupp!$AC$4:$AC$17</c:f>
              <c:numCache>
                <c:formatCode>General</c:formatCode>
                <c:ptCount val="14"/>
                <c:pt idx="3">
                  <c:v>10.1</c:v>
                </c:pt>
                <c:pt idx="4">
                  <c:v>12</c:v>
                </c:pt>
                <c:pt idx="5">
                  <c:v>13</c:v>
                </c:pt>
                <c:pt idx="6">
                  <c:v>17.5</c:v>
                </c:pt>
                <c:pt idx="7">
                  <c:v>22</c:v>
                </c:pt>
                <c:pt idx="8">
                  <c:v>26</c:v>
                </c:pt>
                <c:pt idx="9">
                  <c:v>30.3</c:v>
                </c:pt>
                <c:pt idx="10">
                  <c:v>40</c:v>
                </c:pt>
                <c:pt idx="11">
                  <c:v>50</c:v>
                </c:pt>
                <c:pt idx="12">
                  <c:v>61</c:v>
                </c:pt>
                <c:pt idx="13">
                  <c:v>74</c:v>
                </c:pt>
              </c:numCache>
            </c:numRef>
          </c:yVal>
          <c:smooth val="0"/>
          <c:extLst>
            <c:ext xmlns:c16="http://schemas.microsoft.com/office/drawing/2014/chart" uri="{C3380CC4-5D6E-409C-BE32-E72D297353CC}">
              <c16:uniqueId val="{00000001-3020-47A2-B7E1-7493FD9462A8}"/>
            </c:ext>
          </c:extLst>
        </c:ser>
        <c:ser>
          <c:idx val="2"/>
          <c:order val="2"/>
          <c:tx>
            <c:strRef>
              <c:f>Wärmetransfer_Krupp!$AD$3</c:f>
              <c:strCache>
                <c:ptCount val="1"/>
                <c:pt idx="0">
                  <c:v>26.9</c:v>
                </c:pt>
              </c:strCache>
            </c:strRef>
          </c:tx>
          <c:spPr>
            <a:ln w="38100" cap="rnd">
              <a:noFill/>
              <a:round/>
            </a:ln>
            <a:effectLst/>
          </c:spPr>
          <c:marker>
            <c:symbol val="circle"/>
            <c:size val="5"/>
            <c:spPr>
              <a:solidFill>
                <a:schemeClr val="accent3"/>
              </a:solidFill>
              <a:ln w="9525">
                <a:solidFill>
                  <a:schemeClr val="accent3"/>
                </a:solidFill>
              </a:ln>
              <a:effectLst/>
            </c:spPr>
          </c:marker>
          <c:xVal>
            <c:numRef>
              <c:f>Wärmetransfer_Krupp!$AA$4:$AA$17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Wärmetransfer_Krupp!$AD$4:$AD$17</c:f>
              <c:numCache>
                <c:formatCode>General</c:formatCode>
                <c:ptCount val="14"/>
                <c:pt idx="2">
                  <c:v>10.8</c:v>
                </c:pt>
                <c:pt idx="3">
                  <c:v>12.8</c:v>
                </c:pt>
                <c:pt idx="4">
                  <c:v>14.8</c:v>
                </c:pt>
                <c:pt idx="5">
                  <c:v>16.8</c:v>
                </c:pt>
                <c:pt idx="6">
                  <c:v>22</c:v>
                </c:pt>
                <c:pt idx="7">
                  <c:v>27</c:v>
                </c:pt>
                <c:pt idx="8">
                  <c:v>34</c:v>
                </c:pt>
                <c:pt idx="9">
                  <c:v>38.9</c:v>
                </c:pt>
                <c:pt idx="10">
                  <c:v>50.5</c:v>
                </c:pt>
                <c:pt idx="11">
                  <c:v>63.5</c:v>
                </c:pt>
                <c:pt idx="12">
                  <c:v>77</c:v>
                </c:pt>
                <c:pt idx="13">
                  <c:v>93</c:v>
                </c:pt>
              </c:numCache>
            </c:numRef>
          </c:yVal>
          <c:smooth val="0"/>
          <c:extLst>
            <c:ext xmlns:c16="http://schemas.microsoft.com/office/drawing/2014/chart" uri="{C3380CC4-5D6E-409C-BE32-E72D297353CC}">
              <c16:uniqueId val="{00000002-3020-47A2-B7E1-7493FD9462A8}"/>
            </c:ext>
          </c:extLst>
        </c:ser>
        <c:ser>
          <c:idx val="3"/>
          <c:order val="3"/>
          <c:tx>
            <c:strRef>
              <c:f>Wärmetransfer_Krupp!$AE$3</c:f>
              <c:strCache>
                <c:ptCount val="1"/>
                <c:pt idx="0">
                  <c:v>33.7</c:v>
                </c:pt>
              </c:strCache>
            </c:strRef>
          </c:tx>
          <c:spPr>
            <a:ln w="381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Wärmetransfer_Krupp!$AA$4:$AA$17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Wärmetransfer_Krupp!$AE$4:$AE$17</c:f>
              <c:numCache>
                <c:formatCode>General</c:formatCode>
                <c:ptCount val="14"/>
                <c:pt idx="0">
                  <c:v>11.8</c:v>
                </c:pt>
                <c:pt idx="1">
                  <c:v>11.6</c:v>
                </c:pt>
                <c:pt idx="2">
                  <c:v>13.8</c:v>
                </c:pt>
                <c:pt idx="3">
                  <c:v>16</c:v>
                </c:pt>
                <c:pt idx="4">
                  <c:v>18.5</c:v>
                </c:pt>
                <c:pt idx="5">
                  <c:v>20.9</c:v>
                </c:pt>
                <c:pt idx="6">
                  <c:v>27</c:v>
                </c:pt>
                <c:pt idx="7">
                  <c:v>34</c:v>
                </c:pt>
                <c:pt idx="8">
                  <c:v>41</c:v>
                </c:pt>
                <c:pt idx="9">
                  <c:v>48.5</c:v>
                </c:pt>
                <c:pt idx="10">
                  <c:v>62.5</c:v>
                </c:pt>
                <c:pt idx="11">
                  <c:v>79</c:v>
                </c:pt>
                <c:pt idx="12">
                  <c:v>96</c:v>
                </c:pt>
                <c:pt idx="13">
                  <c:v>113</c:v>
                </c:pt>
              </c:numCache>
            </c:numRef>
          </c:yVal>
          <c:smooth val="0"/>
          <c:extLst>
            <c:ext xmlns:c16="http://schemas.microsoft.com/office/drawing/2014/chart" uri="{C3380CC4-5D6E-409C-BE32-E72D297353CC}">
              <c16:uniqueId val="{00000003-3020-47A2-B7E1-7493FD9462A8}"/>
            </c:ext>
          </c:extLst>
        </c:ser>
        <c:ser>
          <c:idx val="4"/>
          <c:order val="4"/>
          <c:tx>
            <c:strRef>
              <c:f>Wärmetransfer_Krupp!$AF$3</c:f>
              <c:strCache>
                <c:ptCount val="1"/>
                <c:pt idx="0">
                  <c:v>42.4</c:v>
                </c:pt>
              </c:strCache>
            </c:strRef>
          </c:tx>
          <c:spPr>
            <a:ln w="25400" cap="rnd">
              <a:noFill/>
              <a:round/>
            </a:ln>
            <a:effectLst/>
          </c:spPr>
          <c:marker>
            <c:symbol val="circle"/>
            <c:size val="5"/>
            <c:spPr>
              <a:solidFill>
                <a:schemeClr val="accent5"/>
              </a:solidFill>
              <a:ln w="9525">
                <a:solidFill>
                  <a:schemeClr val="accent5"/>
                </a:solidFill>
              </a:ln>
              <a:effectLst/>
            </c:spPr>
          </c:marker>
          <c:xVal>
            <c:numRef>
              <c:f>Wärmetransfer_Krupp!$AA$4:$AA$17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Wärmetransfer_Krupp!$AF$4:$AF$17</c:f>
              <c:numCache>
                <c:formatCode>General</c:formatCode>
                <c:ptCount val="14"/>
                <c:pt idx="0">
                  <c:v>13.25</c:v>
                </c:pt>
                <c:pt idx="1">
                  <c:v>14.7</c:v>
                </c:pt>
                <c:pt idx="2">
                  <c:v>17</c:v>
                </c:pt>
                <c:pt idx="3">
                  <c:v>20</c:v>
                </c:pt>
                <c:pt idx="4">
                  <c:v>23.4</c:v>
                </c:pt>
                <c:pt idx="5">
                  <c:v>26</c:v>
                </c:pt>
                <c:pt idx="6">
                  <c:v>34</c:v>
                </c:pt>
                <c:pt idx="7">
                  <c:v>43</c:v>
                </c:pt>
                <c:pt idx="8">
                  <c:v>52</c:v>
                </c:pt>
                <c:pt idx="9">
                  <c:v>60</c:v>
                </c:pt>
                <c:pt idx="10">
                  <c:v>79</c:v>
                </c:pt>
                <c:pt idx="11">
                  <c:v>100</c:v>
                </c:pt>
                <c:pt idx="12">
                  <c:v>123</c:v>
                </c:pt>
                <c:pt idx="13">
                  <c:v>145</c:v>
                </c:pt>
              </c:numCache>
            </c:numRef>
          </c:yVal>
          <c:smooth val="0"/>
          <c:extLst>
            <c:ext xmlns:c16="http://schemas.microsoft.com/office/drawing/2014/chart" uri="{C3380CC4-5D6E-409C-BE32-E72D297353CC}">
              <c16:uniqueId val="{00000004-3020-47A2-B7E1-7493FD9462A8}"/>
            </c:ext>
          </c:extLst>
        </c:ser>
        <c:ser>
          <c:idx val="5"/>
          <c:order val="5"/>
          <c:tx>
            <c:strRef>
              <c:f>Wärmetransfer_Krupp!$AG$3</c:f>
              <c:strCache>
                <c:ptCount val="1"/>
                <c:pt idx="0">
                  <c:v>48.3</c:v>
                </c:pt>
              </c:strCache>
            </c:strRef>
          </c:tx>
          <c:spPr>
            <a:ln w="25400" cap="rnd">
              <a:noFill/>
              <a:round/>
            </a:ln>
            <a:effectLst/>
          </c:spPr>
          <c:marker>
            <c:symbol val="circle"/>
            <c:size val="5"/>
            <c:spPr>
              <a:solidFill>
                <a:schemeClr val="accent6"/>
              </a:solidFill>
              <a:ln w="9525">
                <a:solidFill>
                  <a:schemeClr val="accent6"/>
                </a:solidFill>
              </a:ln>
              <a:effectLst/>
            </c:spPr>
          </c:marker>
          <c:xVal>
            <c:numRef>
              <c:f>Wärmetransfer_Krupp!$AA$4:$AA$17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Wärmetransfer_Krupp!$AG$4:$AG$17</c:f>
              <c:numCache>
                <c:formatCode>General</c:formatCode>
                <c:ptCount val="14"/>
                <c:pt idx="0">
                  <c:v>14.9</c:v>
                </c:pt>
                <c:pt idx="1">
                  <c:v>16.8</c:v>
                </c:pt>
                <c:pt idx="2">
                  <c:v>20</c:v>
                </c:pt>
                <c:pt idx="3">
                  <c:v>22.8</c:v>
                </c:pt>
                <c:pt idx="4">
                  <c:v>26.5</c:v>
                </c:pt>
                <c:pt idx="5">
                  <c:v>29.5</c:v>
                </c:pt>
                <c:pt idx="6">
                  <c:v>39</c:v>
                </c:pt>
                <c:pt idx="7">
                  <c:v>48</c:v>
                </c:pt>
                <c:pt idx="8">
                  <c:v>59.5</c:v>
                </c:pt>
                <c:pt idx="9">
                  <c:v>68.5</c:v>
                </c:pt>
                <c:pt idx="10">
                  <c:v>90</c:v>
                </c:pt>
                <c:pt idx="11">
                  <c:v>114</c:v>
                </c:pt>
                <c:pt idx="12">
                  <c:v>138</c:v>
                </c:pt>
                <c:pt idx="13">
                  <c:v>160</c:v>
                </c:pt>
              </c:numCache>
            </c:numRef>
          </c:yVal>
          <c:smooth val="0"/>
          <c:extLst>
            <c:ext xmlns:c16="http://schemas.microsoft.com/office/drawing/2014/chart" uri="{C3380CC4-5D6E-409C-BE32-E72D297353CC}">
              <c16:uniqueId val="{00000005-3020-47A2-B7E1-7493FD9462A8}"/>
            </c:ext>
          </c:extLst>
        </c:ser>
        <c:ser>
          <c:idx val="6"/>
          <c:order val="6"/>
          <c:tx>
            <c:strRef>
              <c:f>Wärmetransfer_Krupp!$AH$3</c:f>
              <c:strCache>
                <c:ptCount val="1"/>
                <c:pt idx="0">
                  <c:v>60.3</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Wärmetransfer_Krupp!$AA$4:$AA$17</c:f>
              <c:numCache>
                <c:formatCode>General</c:formatCode>
                <c:ptCount val="14"/>
                <c:pt idx="0">
                  <c:v>10</c:v>
                </c:pt>
                <c:pt idx="1">
                  <c:v>12</c:v>
                </c:pt>
                <c:pt idx="2">
                  <c:v>14</c:v>
                </c:pt>
                <c:pt idx="3">
                  <c:v>16</c:v>
                </c:pt>
                <c:pt idx="4">
                  <c:v>18</c:v>
                </c:pt>
                <c:pt idx="5">
                  <c:v>20</c:v>
                </c:pt>
                <c:pt idx="6">
                  <c:v>25</c:v>
                </c:pt>
                <c:pt idx="7">
                  <c:v>30</c:v>
                </c:pt>
                <c:pt idx="8">
                  <c:v>35</c:v>
                </c:pt>
                <c:pt idx="9">
                  <c:v>40</c:v>
                </c:pt>
                <c:pt idx="10">
                  <c:v>50</c:v>
                </c:pt>
                <c:pt idx="11">
                  <c:v>60</c:v>
                </c:pt>
                <c:pt idx="12">
                  <c:v>70</c:v>
                </c:pt>
                <c:pt idx="13">
                  <c:v>80</c:v>
                </c:pt>
              </c:numCache>
            </c:numRef>
          </c:xVal>
          <c:yVal>
            <c:numRef>
              <c:f>Wärmetransfer_Krupp!$AH$4:$AH$17</c:f>
              <c:numCache>
                <c:formatCode>General</c:formatCode>
                <c:ptCount val="14"/>
                <c:pt idx="0">
                  <c:v>17.3</c:v>
                </c:pt>
                <c:pt idx="1">
                  <c:v>19.5</c:v>
                </c:pt>
                <c:pt idx="2">
                  <c:v>23.5</c:v>
                </c:pt>
                <c:pt idx="3">
                  <c:v>27</c:v>
                </c:pt>
                <c:pt idx="4">
                  <c:v>31.5</c:v>
                </c:pt>
                <c:pt idx="5">
                  <c:v>35</c:v>
                </c:pt>
                <c:pt idx="6">
                  <c:v>46</c:v>
                </c:pt>
                <c:pt idx="7">
                  <c:v>57</c:v>
                </c:pt>
                <c:pt idx="8">
                  <c:v>70</c:v>
                </c:pt>
                <c:pt idx="9">
                  <c:v>80</c:v>
                </c:pt>
                <c:pt idx="10">
                  <c:v>109</c:v>
                </c:pt>
                <c:pt idx="11">
                  <c:v>136</c:v>
                </c:pt>
                <c:pt idx="12">
                  <c:v>155</c:v>
                </c:pt>
                <c:pt idx="13">
                  <c:v>195</c:v>
                </c:pt>
              </c:numCache>
            </c:numRef>
          </c:yVal>
          <c:smooth val="0"/>
          <c:extLst>
            <c:ext xmlns:c16="http://schemas.microsoft.com/office/drawing/2014/chart" uri="{C3380CC4-5D6E-409C-BE32-E72D297353CC}">
              <c16:uniqueId val="{00000007-3020-47A2-B7E1-7493FD9462A8}"/>
            </c:ext>
          </c:extLst>
        </c:ser>
        <c:dLbls>
          <c:showLegendKey val="0"/>
          <c:showVal val="0"/>
          <c:showCatName val="0"/>
          <c:showSerName val="0"/>
          <c:showPercent val="0"/>
          <c:showBubbleSize val="0"/>
        </c:dLbls>
        <c:axId val="65454624"/>
        <c:axId val="65455104"/>
      </c:scatterChart>
      <c:valAx>
        <c:axId val="65454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5455104"/>
        <c:crosses val="autoZero"/>
        <c:crossBetween val="midCat"/>
      </c:valAx>
      <c:valAx>
        <c:axId val="6545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5454624"/>
        <c:crosses val="autoZero"/>
        <c:crossBetween val="midCat"/>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17" Type="http://schemas.openxmlformats.org/officeDocument/2006/relationships/image" Target="../media/image122.png"/><Relationship Id="rId21" Type="http://schemas.openxmlformats.org/officeDocument/2006/relationships/image" Target="../media/image26.png"/><Relationship Id="rId42" Type="http://schemas.openxmlformats.org/officeDocument/2006/relationships/image" Target="../media/image47.png"/><Relationship Id="rId63" Type="http://schemas.openxmlformats.org/officeDocument/2006/relationships/image" Target="../media/image68.png"/><Relationship Id="rId84" Type="http://schemas.openxmlformats.org/officeDocument/2006/relationships/image" Target="../media/image89.png"/><Relationship Id="rId16" Type="http://schemas.openxmlformats.org/officeDocument/2006/relationships/image" Target="../media/image21.png"/><Relationship Id="rId107" Type="http://schemas.openxmlformats.org/officeDocument/2006/relationships/image" Target="../media/image112.png"/><Relationship Id="rId11" Type="http://schemas.openxmlformats.org/officeDocument/2006/relationships/image" Target="../media/image16.png"/><Relationship Id="rId32" Type="http://schemas.openxmlformats.org/officeDocument/2006/relationships/image" Target="../media/image37.png"/><Relationship Id="rId37" Type="http://schemas.openxmlformats.org/officeDocument/2006/relationships/image" Target="../media/image42.png"/><Relationship Id="rId53" Type="http://schemas.openxmlformats.org/officeDocument/2006/relationships/image" Target="../media/image58.png"/><Relationship Id="rId58" Type="http://schemas.openxmlformats.org/officeDocument/2006/relationships/image" Target="../media/image63.png"/><Relationship Id="rId74" Type="http://schemas.openxmlformats.org/officeDocument/2006/relationships/image" Target="../media/image79.png"/><Relationship Id="rId79" Type="http://schemas.openxmlformats.org/officeDocument/2006/relationships/image" Target="../media/image84.png"/><Relationship Id="rId102" Type="http://schemas.openxmlformats.org/officeDocument/2006/relationships/image" Target="../media/image107.png"/><Relationship Id="rId123" Type="http://schemas.openxmlformats.org/officeDocument/2006/relationships/image" Target="../media/image128.png"/><Relationship Id="rId128" Type="http://schemas.openxmlformats.org/officeDocument/2006/relationships/image" Target="../media/image133.png"/><Relationship Id="rId5" Type="http://schemas.openxmlformats.org/officeDocument/2006/relationships/image" Target="../media/image10.png"/><Relationship Id="rId90" Type="http://schemas.openxmlformats.org/officeDocument/2006/relationships/image" Target="../media/image95.png"/><Relationship Id="rId95" Type="http://schemas.openxmlformats.org/officeDocument/2006/relationships/image" Target="../media/image100.png"/><Relationship Id="rId22" Type="http://schemas.openxmlformats.org/officeDocument/2006/relationships/image" Target="../media/image27.png"/><Relationship Id="rId27" Type="http://schemas.openxmlformats.org/officeDocument/2006/relationships/image" Target="../media/image32.png"/><Relationship Id="rId43" Type="http://schemas.openxmlformats.org/officeDocument/2006/relationships/image" Target="../media/image48.png"/><Relationship Id="rId48" Type="http://schemas.openxmlformats.org/officeDocument/2006/relationships/image" Target="../media/image53.png"/><Relationship Id="rId64" Type="http://schemas.openxmlformats.org/officeDocument/2006/relationships/image" Target="../media/image69.png"/><Relationship Id="rId69" Type="http://schemas.openxmlformats.org/officeDocument/2006/relationships/image" Target="../media/image74.png"/><Relationship Id="rId113" Type="http://schemas.openxmlformats.org/officeDocument/2006/relationships/image" Target="../media/image118.png"/><Relationship Id="rId118" Type="http://schemas.openxmlformats.org/officeDocument/2006/relationships/image" Target="../media/image123.png"/><Relationship Id="rId80" Type="http://schemas.openxmlformats.org/officeDocument/2006/relationships/image" Target="../media/image85.png"/><Relationship Id="rId85" Type="http://schemas.openxmlformats.org/officeDocument/2006/relationships/image" Target="../media/image90.png"/><Relationship Id="rId12" Type="http://schemas.openxmlformats.org/officeDocument/2006/relationships/image" Target="../media/image17.png"/><Relationship Id="rId17" Type="http://schemas.openxmlformats.org/officeDocument/2006/relationships/image" Target="../media/image22.png"/><Relationship Id="rId33" Type="http://schemas.openxmlformats.org/officeDocument/2006/relationships/image" Target="../media/image38.png"/><Relationship Id="rId38" Type="http://schemas.openxmlformats.org/officeDocument/2006/relationships/image" Target="../media/image43.png"/><Relationship Id="rId59" Type="http://schemas.openxmlformats.org/officeDocument/2006/relationships/image" Target="../media/image64.png"/><Relationship Id="rId103" Type="http://schemas.openxmlformats.org/officeDocument/2006/relationships/image" Target="../media/image108.png"/><Relationship Id="rId108" Type="http://schemas.openxmlformats.org/officeDocument/2006/relationships/image" Target="../media/image113.png"/><Relationship Id="rId124" Type="http://schemas.openxmlformats.org/officeDocument/2006/relationships/image" Target="../media/image129.png"/><Relationship Id="rId129" Type="http://schemas.openxmlformats.org/officeDocument/2006/relationships/image" Target="../media/image134.png"/><Relationship Id="rId54" Type="http://schemas.openxmlformats.org/officeDocument/2006/relationships/image" Target="../media/image59.png"/><Relationship Id="rId70" Type="http://schemas.openxmlformats.org/officeDocument/2006/relationships/image" Target="../media/image75.png"/><Relationship Id="rId75" Type="http://schemas.openxmlformats.org/officeDocument/2006/relationships/image" Target="../media/image80.png"/><Relationship Id="rId91" Type="http://schemas.openxmlformats.org/officeDocument/2006/relationships/image" Target="../media/image96.png"/><Relationship Id="rId96" Type="http://schemas.openxmlformats.org/officeDocument/2006/relationships/image" Target="../media/image101.png"/><Relationship Id="rId1" Type="http://schemas.openxmlformats.org/officeDocument/2006/relationships/image" Target="../media/image6.png"/><Relationship Id="rId6" Type="http://schemas.openxmlformats.org/officeDocument/2006/relationships/image" Target="../media/image11.png"/><Relationship Id="rId23" Type="http://schemas.openxmlformats.org/officeDocument/2006/relationships/image" Target="../media/image28.png"/><Relationship Id="rId28" Type="http://schemas.openxmlformats.org/officeDocument/2006/relationships/image" Target="../media/image33.png"/><Relationship Id="rId49" Type="http://schemas.openxmlformats.org/officeDocument/2006/relationships/image" Target="../media/image54.png"/><Relationship Id="rId114" Type="http://schemas.openxmlformats.org/officeDocument/2006/relationships/image" Target="../media/image119.png"/><Relationship Id="rId119" Type="http://schemas.openxmlformats.org/officeDocument/2006/relationships/image" Target="../media/image124.png"/><Relationship Id="rId44" Type="http://schemas.openxmlformats.org/officeDocument/2006/relationships/image" Target="../media/image49.png"/><Relationship Id="rId60" Type="http://schemas.openxmlformats.org/officeDocument/2006/relationships/image" Target="../media/image65.png"/><Relationship Id="rId65" Type="http://schemas.openxmlformats.org/officeDocument/2006/relationships/image" Target="../media/image70.png"/><Relationship Id="rId81" Type="http://schemas.openxmlformats.org/officeDocument/2006/relationships/image" Target="../media/image86.png"/><Relationship Id="rId86" Type="http://schemas.openxmlformats.org/officeDocument/2006/relationships/image" Target="../media/image91.png"/><Relationship Id="rId130" Type="http://schemas.openxmlformats.org/officeDocument/2006/relationships/image" Target="../media/image135.png"/><Relationship Id="rId13" Type="http://schemas.openxmlformats.org/officeDocument/2006/relationships/image" Target="../media/image18.png"/><Relationship Id="rId18" Type="http://schemas.openxmlformats.org/officeDocument/2006/relationships/image" Target="../media/image23.png"/><Relationship Id="rId39" Type="http://schemas.openxmlformats.org/officeDocument/2006/relationships/image" Target="../media/image44.png"/><Relationship Id="rId109" Type="http://schemas.openxmlformats.org/officeDocument/2006/relationships/image" Target="../media/image114.png"/><Relationship Id="rId34" Type="http://schemas.openxmlformats.org/officeDocument/2006/relationships/image" Target="../media/image39.png"/><Relationship Id="rId50" Type="http://schemas.openxmlformats.org/officeDocument/2006/relationships/image" Target="../media/image55.png"/><Relationship Id="rId55" Type="http://schemas.openxmlformats.org/officeDocument/2006/relationships/image" Target="../media/image60.png"/><Relationship Id="rId76" Type="http://schemas.openxmlformats.org/officeDocument/2006/relationships/image" Target="../media/image81.png"/><Relationship Id="rId97" Type="http://schemas.openxmlformats.org/officeDocument/2006/relationships/image" Target="../media/image102.png"/><Relationship Id="rId104" Type="http://schemas.openxmlformats.org/officeDocument/2006/relationships/image" Target="../media/image109.png"/><Relationship Id="rId120" Type="http://schemas.openxmlformats.org/officeDocument/2006/relationships/image" Target="../media/image125.png"/><Relationship Id="rId125" Type="http://schemas.openxmlformats.org/officeDocument/2006/relationships/image" Target="../media/image130.png"/><Relationship Id="rId7" Type="http://schemas.openxmlformats.org/officeDocument/2006/relationships/image" Target="../media/image12.png"/><Relationship Id="rId71" Type="http://schemas.openxmlformats.org/officeDocument/2006/relationships/image" Target="../media/image76.png"/><Relationship Id="rId92" Type="http://schemas.openxmlformats.org/officeDocument/2006/relationships/image" Target="../media/image97.png"/><Relationship Id="rId2" Type="http://schemas.openxmlformats.org/officeDocument/2006/relationships/image" Target="../media/image7.png"/><Relationship Id="rId29" Type="http://schemas.openxmlformats.org/officeDocument/2006/relationships/image" Target="../media/image34.png"/><Relationship Id="rId24" Type="http://schemas.openxmlformats.org/officeDocument/2006/relationships/image" Target="../media/image29.png"/><Relationship Id="rId40" Type="http://schemas.openxmlformats.org/officeDocument/2006/relationships/image" Target="../media/image45.png"/><Relationship Id="rId45" Type="http://schemas.openxmlformats.org/officeDocument/2006/relationships/image" Target="../media/image50.png"/><Relationship Id="rId66" Type="http://schemas.openxmlformats.org/officeDocument/2006/relationships/image" Target="../media/image71.png"/><Relationship Id="rId87" Type="http://schemas.openxmlformats.org/officeDocument/2006/relationships/image" Target="../media/image92.png"/><Relationship Id="rId110" Type="http://schemas.openxmlformats.org/officeDocument/2006/relationships/image" Target="../media/image115.png"/><Relationship Id="rId115" Type="http://schemas.openxmlformats.org/officeDocument/2006/relationships/image" Target="../media/image120.png"/><Relationship Id="rId131" Type="http://schemas.openxmlformats.org/officeDocument/2006/relationships/image" Target="../media/image136.png"/><Relationship Id="rId61" Type="http://schemas.openxmlformats.org/officeDocument/2006/relationships/image" Target="../media/image66.png"/><Relationship Id="rId82" Type="http://schemas.openxmlformats.org/officeDocument/2006/relationships/image" Target="../media/image87.png"/><Relationship Id="rId19" Type="http://schemas.openxmlformats.org/officeDocument/2006/relationships/image" Target="../media/image24.png"/><Relationship Id="rId14" Type="http://schemas.openxmlformats.org/officeDocument/2006/relationships/image" Target="../media/image19.png"/><Relationship Id="rId30" Type="http://schemas.openxmlformats.org/officeDocument/2006/relationships/image" Target="../media/image35.png"/><Relationship Id="rId35" Type="http://schemas.openxmlformats.org/officeDocument/2006/relationships/image" Target="../media/image40.png"/><Relationship Id="rId56" Type="http://schemas.openxmlformats.org/officeDocument/2006/relationships/image" Target="../media/image61.png"/><Relationship Id="rId77" Type="http://schemas.openxmlformats.org/officeDocument/2006/relationships/image" Target="../media/image82.png"/><Relationship Id="rId100" Type="http://schemas.openxmlformats.org/officeDocument/2006/relationships/image" Target="../media/image105.png"/><Relationship Id="rId105" Type="http://schemas.openxmlformats.org/officeDocument/2006/relationships/image" Target="../media/image110.png"/><Relationship Id="rId126" Type="http://schemas.openxmlformats.org/officeDocument/2006/relationships/image" Target="../media/image131.png"/><Relationship Id="rId8" Type="http://schemas.openxmlformats.org/officeDocument/2006/relationships/image" Target="../media/image13.png"/><Relationship Id="rId51" Type="http://schemas.openxmlformats.org/officeDocument/2006/relationships/image" Target="../media/image56.png"/><Relationship Id="rId72" Type="http://schemas.openxmlformats.org/officeDocument/2006/relationships/image" Target="../media/image77.png"/><Relationship Id="rId93" Type="http://schemas.openxmlformats.org/officeDocument/2006/relationships/image" Target="../media/image98.png"/><Relationship Id="rId98" Type="http://schemas.openxmlformats.org/officeDocument/2006/relationships/image" Target="../media/image103.png"/><Relationship Id="rId121" Type="http://schemas.openxmlformats.org/officeDocument/2006/relationships/image" Target="../media/image126.png"/><Relationship Id="rId3" Type="http://schemas.openxmlformats.org/officeDocument/2006/relationships/image" Target="../media/image8.png"/><Relationship Id="rId25" Type="http://schemas.openxmlformats.org/officeDocument/2006/relationships/image" Target="../media/image30.png"/><Relationship Id="rId46" Type="http://schemas.openxmlformats.org/officeDocument/2006/relationships/image" Target="../media/image51.png"/><Relationship Id="rId67" Type="http://schemas.openxmlformats.org/officeDocument/2006/relationships/image" Target="../media/image72.png"/><Relationship Id="rId116" Type="http://schemas.openxmlformats.org/officeDocument/2006/relationships/image" Target="../media/image121.png"/><Relationship Id="rId20" Type="http://schemas.openxmlformats.org/officeDocument/2006/relationships/image" Target="../media/image25.png"/><Relationship Id="rId41" Type="http://schemas.openxmlformats.org/officeDocument/2006/relationships/image" Target="../media/image46.png"/><Relationship Id="rId62" Type="http://schemas.openxmlformats.org/officeDocument/2006/relationships/image" Target="../media/image67.png"/><Relationship Id="rId83" Type="http://schemas.openxmlformats.org/officeDocument/2006/relationships/image" Target="../media/image88.png"/><Relationship Id="rId88" Type="http://schemas.openxmlformats.org/officeDocument/2006/relationships/image" Target="../media/image93.png"/><Relationship Id="rId111" Type="http://schemas.openxmlformats.org/officeDocument/2006/relationships/image" Target="../media/image116.png"/><Relationship Id="rId132" Type="http://schemas.openxmlformats.org/officeDocument/2006/relationships/image" Target="../media/image137.png"/><Relationship Id="rId15" Type="http://schemas.openxmlformats.org/officeDocument/2006/relationships/image" Target="../media/image20.png"/><Relationship Id="rId36" Type="http://schemas.openxmlformats.org/officeDocument/2006/relationships/image" Target="../media/image41.png"/><Relationship Id="rId57" Type="http://schemas.openxmlformats.org/officeDocument/2006/relationships/image" Target="../media/image62.png"/><Relationship Id="rId106" Type="http://schemas.openxmlformats.org/officeDocument/2006/relationships/image" Target="../media/image111.png"/><Relationship Id="rId127" Type="http://schemas.openxmlformats.org/officeDocument/2006/relationships/image" Target="../media/image132.png"/><Relationship Id="rId10" Type="http://schemas.openxmlformats.org/officeDocument/2006/relationships/image" Target="../media/image15.png"/><Relationship Id="rId31" Type="http://schemas.openxmlformats.org/officeDocument/2006/relationships/image" Target="../media/image36.png"/><Relationship Id="rId52" Type="http://schemas.openxmlformats.org/officeDocument/2006/relationships/image" Target="../media/image57.png"/><Relationship Id="rId73" Type="http://schemas.openxmlformats.org/officeDocument/2006/relationships/image" Target="../media/image78.png"/><Relationship Id="rId78" Type="http://schemas.openxmlformats.org/officeDocument/2006/relationships/image" Target="../media/image83.png"/><Relationship Id="rId94" Type="http://schemas.openxmlformats.org/officeDocument/2006/relationships/image" Target="../media/image99.png"/><Relationship Id="rId99" Type="http://schemas.openxmlformats.org/officeDocument/2006/relationships/image" Target="../media/image104.png"/><Relationship Id="rId101" Type="http://schemas.openxmlformats.org/officeDocument/2006/relationships/image" Target="../media/image106.png"/><Relationship Id="rId122" Type="http://schemas.openxmlformats.org/officeDocument/2006/relationships/image" Target="../media/image127.png"/><Relationship Id="rId4" Type="http://schemas.openxmlformats.org/officeDocument/2006/relationships/image" Target="../media/image9.png"/><Relationship Id="rId9" Type="http://schemas.openxmlformats.org/officeDocument/2006/relationships/image" Target="../media/image14.png"/><Relationship Id="rId26" Type="http://schemas.openxmlformats.org/officeDocument/2006/relationships/image" Target="../media/image31.png"/><Relationship Id="rId47" Type="http://schemas.openxmlformats.org/officeDocument/2006/relationships/image" Target="../media/image52.png"/><Relationship Id="rId68" Type="http://schemas.openxmlformats.org/officeDocument/2006/relationships/image" Target="../media/image73.png"/><Relationship Id="rId89" Type="http://schemas.openxmlformats.org/officeDocument/2006/relationships/image" Target="../media/image94.png"/><Relationship Id="rId112" Type="http://schemas.openxmlformats.org/officeDocument/2006/relationships/image" Target="../media/image117.png"/><Relationship Id="rId133" Type="http://schemas.openxmlformats.org/officeDocument/2006/relationships/image" Target="../media/image13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41.jpeg"/><Relationship Id="rId2" Type="http://schemas.openxmlformats.org/officeDocument/2006/relationships/image" Target="../media/image140.png"/><Relationship Id="rId1" Type="http://schemas.openxmlformats.org/officeDocument/2006/relationships/image" Target="../media/image13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44.png"/><Relationship Id="rId2" Type="http://schemas.openxmlformats.org/officeDocument/2006/relationships/image" Target="../media/image143.png"/><Relationship Id="rId1" Type="http://schemas.openxmlformats.org/officeDocument/2006/relationships/image" Target="../media/image142.png"/><Relationship Id="rId5" Type="http://schemas.openxmlformats.org/officeDocument/2006/relationships/image" Target="../media/image146.png"/><Relationship Id="rId4" Type="http://schemas.openxmlformats.org/officeDocument/2006/relationships/image" Target="../media/image145.png"/></Relationships>
</file>

<file path=xl/drawings/drawing1.xml><?xml version="1.0" encoding="utf-8"?>
<xdr:wsDr xmlns:xdr="http://schemas.openxmlformats.org/drawingml/2006/spreadsheetDrawing" xmlns:a="http://schemas.openxmlformats.org/drawingml/2006/main">
  <xdr:twoCellAnchor editAs="oneCell">
    <xdr:from>
      <xdr:col>10</xdr:col>
      <xdr:colOff>174625</xdr:colOff>
      <xdr:row>3</xdr:row>
      <xdr:rowOff>95250</xdr:rowOff>
    </xdr:from>
    <xdr:to>
      <xdr:col>11</xdr:col>
      <xdr:colOff>299432</xdr:colOff>
      <xdr:row>20</xdr:row>
      <xdr:rowOff>88900</xdr:rowOff>
    </xdr:to>
    <xdr:pic>
      <xdr:nvPicPr>
        <xdr:cNvPr id="2" name="Grafik 1">
          <a:extLst>
            <a:ext uri="{FF2B5EF4-FFF2-40B4-BE49-F238E27FC236}">
              <a16:creationId xmlns:a16="http://schemas.microsoft.com/office/drawing/2014/main" id="{67EE86CA-FC6A-B027-2F9F-6E7E429AFEAE}"/>
            </a:ext>
          </a:extLst>
        </xdr:cNvPr>
        <xdr:cNvPicPr>
          <a:picLocks noChangeAspect="1"/>
        </xdr:cNvPicPr>
      </xdr:nvPicPr>
      <xdr:blipFill>
        <a:blip xmlns:r="http://schemas.openxmlformats.org/officeDocument/2006/relationships" r:embed="rId1"/>
        <a:stretch>
          <a:fillRect/>
        </a:stretch>
      </xdr:blipFill>
      <xdr:spPr>
        <a:xfrm>
          <a:off x="7613650" y="581025"/>
          <a:ext cx="715357" cy="2746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106083</xdr:colOff>
      <xdr:row>0</xdr:row>
      <xdr:rowOff>0</xdr:rowOff>
    </xdr:from>
    <xdr:to>
      <xdr:col>8</xdr:col>
      <xdr:colOff>548045</xdr:colOff>
      <xdr:row>14</xdr:row>
      <xdr:rowOff>126253</xdr:rowOff>
    </xdr:to>
    <xdr:pic>
      <xdr:nvPicPr>
        <xdr:cNvPr id="4" name="Grafik 3">
          <a:extLst>
            <a:ext uri="{FF2B5EF4-FFF2-40B4-BE49-F238E27FC236}">
              <a16:creationId xmlns:a16="http://schemas.microsoft.com/office/drawing/2014/main" id="{28CC2886-942F-5752-C027-DB63576F2E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73183" y="0"/>
          <a:ext cx="3521712" cy="2367803"/>
        </a:xfrm>
        <a:prstGeom prst="rect">
          <a:avLst/>
        </a:prstGeom>
      </xdr:spPr>
    </xdr:pic>
    <xdr:clientData/>
  </xdr:twoCellAnchor>
  <xdr:twoCellAnchor editAs="oneCell">
    <xdr:from>
      <xdr:col>9</xdr:col>
      <xdr:colOff>270650</xdr:colOff>
      <xdr:row>0</xdr:row>
      <xdr:rowOff>0</xdr:rowOff>
    </xdr:from>
    <xdr:to>
      <xdr:col>14</xdr:col>
      <xdr:colOff>44450</xdr:colOff>
      <xdr:row>17</xdr:row>
      <xdr:rowOff>136867</xdr:rowOff>
    </xdr:to>
    <xdr:pic>
      <xdr:nvPicPr>
        <xdr:cNvPr id="6" name="Grafik 5">
          <a:extLst>
            <a:ext uri="{FF2B5EF4-FFF2-40B4-BE49-F238E27FC236}">
              <a16:creationId xmlns:a16="http://schemas.microsoft.com/office/drawing/2014/main" id="{4F503C26-53E2-3B47-5A48-F74A0F5B67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33450" y="0"/>
          <a:ext cx="2853550" cy="2861017"/>
        </a:xfrm>
        <a:prstGeom prst="rect">
          <a:avLst/>
        </a:prstGeom>
      </xdr:spPr>
    </xdr:pic>
    <xdr:clientData/>
  </xdr:twoCellAnchor>
  <xdr:twoCellAnchor editAs="oneCell">
    <xdr:from>
      <xdr:col>14</xdr:col>
      <xdr:colOff>592100</xdr:colOff>
      <xdr:row>1</xdr:row>
      <xdr:rowOff>25401</xdr:rowOff>
    </xdr:from>
    <xdr:to>
      <xdr:col>17</xdr:col>
      <xdr:colOff>563300</xdr:colOff>
      <xdr:row>12</xdr:row>
      <xdr:rowOff>91747</xdr:rowOff>
    </xdr:to>
    <xdr:pic>
      <xdr:nvPicPr>
        <xdr:cNvPr id="8" name="Grafik 7">
          <a:extLst>
            <a:ext uri="{FF2B5EF4-FFF2-40B4-BE49-F238E27FC236}">
              <a16:creationId xmlns:a16="http://schemas.microsoft.com/office/drawing/2014/main" id="{4E535BAA-7DF9-25FD-1E53-3FAE90854A6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834650" y="184151"/>
          <a:ext cx="1819050" cy="18252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368823</xdr:colOff>
      <xdr:row>0</xdr:row>
      <xdr:rowOff>3718587</xdr:rowOff>
    </xdr:to>
    <xdr:pic>
      <xdr:nvPicPr>
        <xdr:cNvPr id="9" name="Grafik 8">
          <a:extLst>
            <a:ext uri="{FF2B5EF4-FFF2-40B4-BE49-F238E27FC236}">
              <a16:creationId xmlns:a16="http://schemas.microsoft.com/office/drawing/2014/main" id="{5E0BEC13-EE85-4749-802B-B4C1364A8715}"/>
            </a:ext>
          </a:extLst>
        </xdr:cNvPr>
        <xdr:cNvPicPr>
          <a:picLocks noChangeAspect="1"/>
        </xdr:cNvPicPr>
      </xdr:nvPicPr>
      <xdr:blipFill>
        <a:blip xmlns:r="http://schemas.openxmlformats.org/officeDocument/2006/relationships" r:embed="rId1"/>
        <a:stretch>
          <a:fillRect/>
        </a:stretch>
      </xdr:blipFill>
      <xdr:spPr>
        <a:xfrm>
          <a:off x="0" y="0"/>
          <a:ext cx="6007623" cy="3718587"/>
        </a:xfrm>
        <a:prstGeom prst="rect">
          <a:avLst/>
        </a:prstGeom>
      </xdr:spPr>
    </xdr:pic>
    <xdr:clientData/>
  </xdr:twoCellAnchor>
  <xdr:twoCellAnchor>
    <xdr:from>
      <xdr:col>3</xdr:col>
      <xdr:colOff>196102</xdr:colOff>
      <xdr:row>22</xdr:row>
      <xdr:rowOff>152401</xdr:rowOff>
    </xdr:from>
    <xdr:to>
      <xdr:col>14</xdr:col>
      <xdr:colOff>240925</xdr:colOff>
      <xdr:row>41</xdr:row>
      <xdr:rowOff>99392</xdr:rowOff>
    </xdr:to>
    <xdr:graphicFrame macro="">
      <xdr:nvGraphicFramePr>
        <xdr:cNvPr id="10" name="Diagramm 9">
          <a:extLst>
            <a:ext uri="{FF2B5EF4-FFF2-40B4-BE49-F238E27FC236}">
              <a16:creationId xmlns:a16="http://schemas.microsoft.com/office/drawing/2014/main" id="{9D86A637-47A5-4AD2-507D-FF6207982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23</xdr:row>
      <xdr:rowOff>0</xdr:rowOff>
    </xdr:from>
    <xdr:to>
      <xdr:col>25</xdr:col>
      <xdr:colOff>225798</xdr:colOff>
      <xdr:row>41</xdr:row>
      <xdr:rowOff>108916</xdr:rowOff>
    </xdr:to>
    <xdr:graphicFrame macro="">
      <xdr:nvGraphicFramePr>
        <xdr:cNvPr id="11" name="Diagramm 10">
          <a:extLst>
            <a:ext uri="{FF2B5EF4-FFF2-40B4-BE49-F238E27FC236}">
              <a16:creationId xmlns:a16="http://schemas.microsoft.com/office/drawing/2014/main" id="{18274003-53C6-4ED9-BF3C-6E1DC3118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159929</xdr:rowOff>
    </xdr:from>
    <xdr:to>
      <xdr:col>5</xdr:col>
      <xdr:colOff>754845</xdr:colOff>
      <xdr:row>20</xdr:row>
      <xdr:rowOff>107674</xdr:rowOff>
    </xdr:to>
    <xdr:graphicFrame macro="">
      <xdr:nvGraphicFramePr>
        <xdr:cNvPr id="2" name="Diagramm 1">
          <a:extLst>
            <a:ext uri="{FF2B5EF4-FFF2-40B4-BE49-F238E27FC236}">
              <a16:creationId xmlns:a16="http://schemas.microsoft.com/office/drawing/2014/main" id="{5DBBFC56-193A-4A2D-AEB2-4D8AC95EA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xdr:row>
      <xdr:rowOff>0</xdr:rowOff>
    </xdr:from>
    <xdr:to>
      <xdr:col>12</xdr:col>
      <xdr:colOff>754845</xdr:colOff>
      <xdr:row>20</xdr:row>
      <xdr:rowOff>111030</xdr:rowOff>
    </xdr:to>
    <xdr:graphicFrame macro="">
      <xdr:nvGraphicFramePr>
        <xdr:cNvPr id="8" name="Diagramm 7">
          <a:extLst>
            <a:ext uri="{FF2B5EF4-FFF2-40B4-BE49-F238E27FC236}">
              <a16:creationId xmlns:a16="http://schemas.microsoft.com/office/drawing/2014/main" id="{5E679418-9668-4FB6-B7DD-B52E99CC5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xdr:row>
      <xdr:rowOff>0</xdr:rowOff>
    </xdr:from>
    <xdr:to>
      <xdr:col>19</xdr:col>
      <xdr:colOff>754845</xdr:colOff>
      <xdr:row>20</xdr:row>
      <xdr:rowOff>111030</xdr:rowOff>
    </xdr:to>
    <xdr:graphicFrame macro="">
      <xdr:nvGraphicFramePr>
        <xdr:cNvPr id="9" name="Diagramm 8">
          <a:extLst>
            <a:ext uri="{FF2B5EF4-FFF2-40B4-BE49-F238E27FC236}">
              <a16:creationId xmlns:a16="http://schemas.microsoft.com/office/drawing/2014/main" id="{9DC67AEB-DDAF-4CEC-A7C5-461C52E38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2</xdr:row>
      <xdr:rowOff>0</xdr:rowOff>
    </xdr:from>
    <xdr:to>
      <xdr:col>26</xdr:col>
      <xdr:colOff>754845</xdr:colOff>
      <xdr:row>20</xdr:row>
      <xdr:rowOff>111030</xdr:rowOff>
    </xdr:to>
    <xdr:graphicFrame macro="">
      <xdr:nvGraphicFramePr>
        <xdr:cNvPr id="14" name="Diagramm 13">
          <a:extLst>
            <a:ext uri="{FF2B5EF4-FFF2-40B4-BE49-F238E27FC236}">
              <a16:creationId xmlns:a16="http://schemas.microsoft.com/office/drawing/2014/main" id="{07E7E82A-A14D-40AC-AE9F-84691E857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0</xdr:colOff>
      <xdr:row>2</xdr:row>
      <xdr:rowOff>0</xdr:rowOff>
    </xdr:from>
    <xdr:to>
      <xdr:col>33</xdr:col>
      <xdr:colOff>754845</xdr:colOff>
      <xdr:row>20</xdr:row>
      <xdr:rowOff>111030</xdr:rowOff>
    </xdr:to>
    <xdr:graphicFrame macro="">
      <xdr:nvGraphicFramePr>
        <xdr:cNvPr id="15" name="Diagramm 14">
          <a:extLst>
            <a:ext uri="{FF2B5EF4-FFF2-40B4-BE49-F238E27FC236}">
              <a16:creationId xmlns:a16="http://schemas.microsoft.com/office/drawing/2014/main" id="{CD3EB826-7177-464A-B4B5-386C6FE6D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159929</xdr:rowOff>
    </xdr:from>
    <xdr:to>
      <xdr:col>5</xdr:col>
      <xdr:colOff>754845</xdr:colOff>
      <xdr:row>20</xdr:row>
      <xdr:rowOff>107674</xdr:rowOff>
    </xdr:to>
    <xdr:graphicFrame macro="">
      <xdr:nvGraphicFramePr>
        <xdr:cNvPr id="2" name="Diagramm 1">
          <a:extLst>
            <a:ext uri="{FF2B5EF4-FFF2-40B4-BE49-F238E27FC236}">
              <a16:creationId xmlns:a16="http://schemas.microsoft.com/office/drawing/2014/main" id="{D6BC9D1A-5424-4983-977F-BA0845134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xdr:row>
      <xdr:rowOff>0</xdr:rowOff>
    </xdr:from>
    <xdr:to>
      <xdr:col>12</xdr:col>
      <xdr:colOff>754845</xdr:colOff>
      <xdr:row>20</xdr:row>
      <xdr:rowOff>104627</xdr:rowOff>
    </xdr:to>
    <xdr:graphicFrame macro="">
      <xdr:nvGraphicFramePr>
        <xdr:cNvPr id="7" name="Diagramm 6">
          <a:extLst>
            <a:ext uri="{FF2B5EF4-FFF2-40B4-BE49-F238E27FC236}">
              <a16:creationId xmlns:a16="http://schemas.microsoft.com/office/drawing/2014/main" id="{D4444367-0C7D-4B4F-B595-ED2F92E6C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xdr:row>
      <xdr:rowOff>0</xdr:rowOff>
    </xdr:from>
    <xdr:to>
      <xdr:col>19</xdr:col>
      <xdr:colOff>754845</xdr:colOff>
      <xdr:row>20</xdr:row>
      <xdr:rowOff>104627</xdr:rowOff>
    </xdr:to>
    <xdr:graphicFrame macro="">
      <xdr:nvGraphicFramePr>
        <xdr:cNvPr id="8" name="Diagramm 7">
          <a:extLst>
            <a:ext uri="{FF2B5EF4-FFF2-40B4-BE49-F238E27FC236}">
              <a16:creationId xmlns:a16="http://schemas.microsoft.com/office/drawing/2014/main" id="{E687AD8C-5668-45F8-914A-602F0B17C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2</xdr:row>
      <xdr:rowOff>0</xdr:rowOff>
    </xdr:from>
    <xdr:to>
      <xdr:col>26</xdr:col>
      <xdr:colOff>754845</xdr:colOff>
      <xdr:row>20</xdr:row>
      <xdr:rowOff>104627</xdr:rowOff>
    </xdr:to>
    <xdr:graphicFrame macro="">
      <xdr:nvGraphicFramePr>
        <xdr:cNvPr id="9" name="Diagramm 8">
          <a:extLst>
            <a:ext uri="{FF2B5EF4-FFF2-40B4-BE49-F238E27FC236}">
              <a16:creationId xmlns:a16="http://schemas.microsoft.com/office/drawing/2014/main" id="{B0048F9E-5F3E-47F6-A37B-899E3BE60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0</xdr:colOff>
      <xdr:row>2</xdr:row>
      <xdr:rowOff>0</xdr:rowOff>
    </xdr:from>
    <xdr:to>
      <xdr:col>33</xdr:col>
      <xdr:colOff>754845</xdr:colOff>
      <xdr:row>20</xdr:row>
      <xdr:rowOff>104627</xdr:rowOff>
    </xdr:to>
    <xdr:graphicFrame macro="">
      <xdr:nvGraphicFramePr>
        <xdr:cNvPr id="10" name="Diagramm 9">
          <a:extLst>
            <a:ext uri="{FF2B5EF4-FFF2-40B4-BE49-F238E27FC236}">
              <a16:creationId xmlns:a16="http://schemas.microsoft.com/office/drawing/2014/main" id="{5C37D0C0-AF8F-4D3E-8263-8C19CE826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159929</xdr:rowOff>
    </xdr:from>
    <xdr:to>
      <xdr:col>5</xdr:col>
      <xdr:colOff>754845</xdr:colOff>
      <xdr:row>20</xdr:row>
      <xdr:rowOff>107674</xdr:rowOff>
    </xdr:to>
    <xdr:graphicFrame macro="">
      <xdr:nvGraphicFramePr>
        <xdr:cNvPr id="2" name="Diagramm 1">
          <a:extLst>
            <a:ext uri="{FF2B5EF4-FFF2-40B4-BE49-F238E27FC236}">
              <a16:creationId xmlns:a16="http://schemas.microsoft.com/office/drawing/2014/main" id="{902F1139-AF88-470F-BC22-F7B510EFF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xdr:row>
      <xdr:rowOff>0</xdr:rowOff>
    </xdr:from>
    <xdr:to>
      <xdr:col>12</xdr:col>
      <xdr:colOff>754845</xdr:colOff>
      <xdr:row>20</xdr:row>
      <xdr:rowOff>104628</xdr:rowOff>
    </xdr:to>
    <xdr:graphicFrame macro="">
      <xdr:nvGraphicFramePr>
        <xdr:cNvPr id="7" name="Diagramm 6">
          <a:extLst>
            <a:ext uri="{FF2B5EF4-FFF2-40B4-BE49-F238E27FC236}">
              <a16:creationId xmlns:a16="http://schemas.microsoft.com/office/drawing/2014/main" id="{29CA8B8F-1465-42DC-9D8B-9BCB5AA33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xdr:row>
      <xdr:rowOff>0</xdr:rowOff>
    </xdr:from>
    <xdr:to>
      <xdr:col>19</xdr:col>
      <xdr:colOff>754845</xdr:colOff>
      <xdr:row>20</xdr:row>
      <xdr:rowOff>104628</xdr:rowOff>
    </xdr:to>
    <xdr:graphicFrame macro="">
      <xdr:nvGraphicFramePr>
        <xdr:cNvPr id="8" name="Diagramm 7">
          <a:extLst>
            <a:ext uri="{FF2B5EF4-FFF2-40B4-BE49-F238E27FC236}">
              <a16:creationId xmlns:a16="http://schemas.microsoft.com/office/drawing/2014/main" id="{C51DDFC5-C53F-4F60-A9D6-1E931396A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2</xdr:row>
      <xdr:rowOff>0</xdr:rowOff>
    </xdr:from>
    <xdr:to>
      <xdr:col>26</xdr:col>
      <xdr:colOff>754845</xdr:colOff>
      <xdr:row>20</xdr:row>
      <xdr:rowOff>104628</xdr:rowOff>
    </xdr:to>
    <xdr:graphicFrame macro="">
      <xdr:nvGraphicFramePr>
        <xdr:cNvPr id="9" name="Diagramm 8">
          <a:extLst>
            <a:ext uri="{FF2B5EF4-FFF2-40B4-BE49-F238E27FC236}">
              <a16:creationId xmlns:a16="http://schemas.microsoft.com/office/drawing/2014/main" id="{856CF48A-6527-4B52-A858-AAF10B14C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0</xdr:colOff>
      <xdr:row>2</xdr:row>
      <xdr:rowOff>0</xdr:rowOff>
    </xdr:from>
    <xdr:to>
      <xdr:col>33</xdr:col>
      <xdr:colOff>754845</xdr:colOff>
      <xdr:row>20</xdr:row>
      <xdr:rowOff>104628</xdr:rowOff>
    </xdr:to>
    <xdr:graphicFrame macro="">
      <xdr:nvGraphicFramePr>
        <xdr:cNvPr id="10" name="Diagramm 9">
          <a:extLst>
            <a:ext uri="{FF2B5EF4-FFF2-40B4-BE49-F238E27FC236}">
              <a16:creationId xmlns:a16="http://schemas.microsoft.com/office/drawing/2014/main" id="{AFE4A2BC-6DEF-4723-8E1A-26EAADD9A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9071</xdr:colOff>
      <xdr:row>55</xdr:row>
      <xdr:rowOff>2722</xdr:rowOff>
    </xdr:from>
    <xdr:to>
      <xdr:col>19</xdr:col>
      <xdr:colOff>9071</xdr:colOff>
      <xdr:row>71</xdr:row>
      <xdr:rowOff>133350</xdr:rowOff>
    </xdr:to>
    <xdr:graphicFrame macro="">
      <xdr:nvGraphicFramePr>
        <xdr:cNvPr id="3" name="Diagramm 2">
          <a:extLst>
            <a:ext uri="{FF2B5EF4-FFF2-40B4-BE49-F238E27FC236}">
              <a16:creationId xmlns:a16="http://schemas.microsoft.com/office/drawing/2014/main" id="{AF1AB24B-A83C-E93E-19BA-22FED2A13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15</xdr:col>
      <xdr:colOff>752475</xdr:colOff>
      <xdr:row>33</xdr:row>
      <xdr:rowOff>28575</xdr:rowOff>
    </xdr:from>
    <xdr:to>
      <xdr:col>21</xdr:col>
      <xdr:colOff>752475</xdr:colOff>
      <xdr:row>53</xdr:row>
      <xdr:rowOff>0</xdr:rowOff>
    </xdr:to>
    <xdr:graphicFrame macro="">
      <xdr:nvGraphicFramePr>
        <xdr:cNvPr id="2" name="Diagramm 1">
          <a:extLst>
            <a:ext uri="{FF2B5EF4-FFF2-40B4-BE49-F238E27FC236}">
              <a16:creationId xmlns:a16="http://schemas.microsoft.com/office/drawing/2014/main" id="{126CDE0C-6C66-2E3B-69F1-5B5B992F4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0</xdr:colOff>
      <xdr:row>33</xdr:row>
      <xdr:rowOff>0</xdr:rowOff>
    </xdr:from>
    <xdr:to>
      <xdr:col>33</xdr:col>
      <xdr:colOff>0</xdr:colOff>
      <xdr:row>52</xdr:row>
      <xdr:rowOff>134711</xdr:rowOff>
    </xdr:to>
    <xdr:graphicFrame macro="">
      <xdr:nvGraphicFramePr>
        <xdr:cNvPr id="3" name="Diagramm 2">
          <a:extLst>
            <a:ext uri="{FF2B5EF4-FFF2-40B4-BE49-F238E27FC236}">
              <a16:creationId xmlns:a16="http://schemas.microsoft.com/office/drawing/2014/main" id="{CF91D5C8-D33D-4492-89C2-C728E4536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absoluteAnchor>
    <xdr:pos x="248673" y="24880535"/>
    <xdr:ext cx="207645" cy="0"/>
    <xdr:sp macro="" textlink="">
      <xdr:nvSpPr>
        <xdr:cNvPr id="2" name="Shape 220">
          <a:extLst>
            <a:ext uri="{FF2B5EF4-FFF2-40B4-BE49-F238E27FC236}">
              <a16:creationId xmlns:a16="http://schemas.microsoft.com/office/drawing/2014/main" id="{8477BBF0-BA95-4E5C-A463-8FD0A21C0FD8}"/>
            </a:ext>
          </a:extLst>
        </xdr:cNvPr>
        <xdr:cNvSpPr/>
      </xdr:nvSpPr>
      <xdr:spPr>
        <a:xfrm>
          <a:off x="248673" y="24880535"/>
          <a:ext cx="207645" cy="0"/>
        </a:xfrm>
        <a:custGeom>
          <a:avLst/>
          <a:gdLst/>
          <a:ahLst/>
          <a:cxnLst/>
          <a:rect l="0" t="0" r="0" b="0"/>
          <a:pathLst>
            <a:path w="207645">
              <a:moveTo>
                <a:pt x="0" y="0"/>
              </a:moveTo>
              <a:lnTo>
                <a:pt x="207594" y="0"/>
              </a:lnTo>
            </a:path>
          </a:pathLst>
        </a:custGeom>
        <a:ln w="6350">
          <a:solidFill>
            <a:srgbClr val="000000"/>
          </a:solidFill>
        </a:ln>
      </xdr:spPr>
    </xdr:sp>
    <xdr:clientData/>
  </xdr:absoluteAnchor>
  <xdr:oneCellAnchor>
    <xdr:from>
      <xdr:col>7</xdr:col>
      <xdr:colOff>0</xdr:colOff>
      <xdr:row>1</xdr:row>
      <xdr:rowOff>0</xdr:rowOff>
    </xdr:from>
    <xdr:ext cx="219710" cy="0"/>
    <xdr:sp macro="" textlink="">
      <xdr:nvSpPr>
        <xdr:cNvPr id="3" name="Shape 221">
          <a:extLst>
            <a:ext uri="{FF2B5EF4-FFF2-40B4-BE49-F238E27FC236}">
              <a16:creationId xmlns:a16="http://schemas.microsoft.com/office/drawing/2014/main" id="{8948B870-3607-4164-B88E-D9F94AB589FF}"/>
            </a:ext>
          </a:extLst>
        </xdr:cNvPr>
        <xdr:cNvSpPr/>
      </xdr:nvSpPr>
      <xdr:spPr>
        <a:xfrm>
          <a:off x="3644900" y="0"/>
          <a:ext cx="219710" cy="0"/>
        </a:xfrm>
        <a:custGeom>
          <a:avLst/>
          <a:gdLst/>
          <a:ahLst/>
          <a:cxnLst/>
          <a:rect l="0" t="0" r="0" b="0"/>
          <a:pathLst>
            <a:path w="219710">
              <a:moveTo>
                <a:pt x="0" y="0"/>
              </a:moveTo>
              <a:lnTo>
                <a:pt x="219595" y="0"/>
              </a:lnTo>
            </a:path>
          </a:pathLst>
        </a:custGeom>
        <a:ln w="6350">
          <a:solidFill>
            <a:srgbClr val="000000"/>
          </a:solidFill>
        </a:ln>
      </xdr:spPr>
    </xdr:sp>
    <xdr:clientData/>
  </xdr:oneCellAnchor>
  <xdr:oneCellAnchor>
    <xdr:from>
      <xdr:col>7</xdr:col>
      <xdr:colOff>0</xdr:colOff>
      <xdr:row>1</xdr:row>
      <xdr:rowOff>0</xdr:rowOff>
    </xdr:from>
    <xdr:ext cx="205104" cy="0"/>
    <xdr:sp macro="" textlink="">
      <xdr:nvSpPr>
        <xdr:cNvPr id="5" name="Shape 223">
          <a:extLst>
            <a:ext uri="{FF2B5EF4-FFF2-40B4-BE49-F238E27FC236}">
              <a16:creationId xmlns:a16="http://schemas.microsoft.com/office/drawing/2014/main" id="{BA138673-9691-4CBB-8C7E-88E1A7987E8F}"/>
            </a:ext>
          </a:extLst>
        </xdr:cNvPr>
        <xdr:cNvSpPr/>
      </xdr:nvSpPr>
      <xdr:spPr>
        <a:xfrm>
          <a:off x="3644900" y="0"/>
          <a:ext cx="205104" cy="0"/>
        </a:xfrm>
        <a:custGeom>
          <a:avLst/>
          <a:gdLst/>
          <a:ahLst/>
          <a:cxnLst/>
          <a:rect l="0" t="0" r="0" b="0"/>
          <a:pathLst>
            <a:path w="205104">
              <a:moveTo>
                <a:pt x="0" y="0"/>
              </a:moveTo>
              <a:lnTo>
                <a:pt x="204927" y="0"/>
              </a:lnTo>
            </a:path>
          </a:pathLst>
        </a:custGeom>
        <a:ln w="6350">
          <a:solidFill>
            <a:srgbClr val="000000"/>
          </a:solidFill>
        </a:ln>
      </xdr:spPr>
    </xdr:sp>
    <xdr:clientData/>
  </xdr:oneCellAnchor>
  <xdr:absoluteAnchor>
    <xdr:pos x="2456999" y="21129394"/>
    <xdr:ext cx="233045" cy="0"/>
    <xdr:sp macro="" textlink="">
      <xdr:nvSpPr>
        <xdr:cNvPr id="6" name="Shape 224">
          <a:extLst>
            <a:ext uri="{FF2B5EF4-FFF2-40B4-BE49-F238E27FC236}">
              <a16:creationId xmlns:a16="http://schemas.microsoft.com/office/drawing/2014/main" id="{4013EA63-1615-410A-958C-84F0E12F48A1}"/>
            </a:ext>
          </a:extLst>
        </xdr:cNvPr>
        <xdr:cNvSpPr/>
      </xdr:nvSpPr>
      <xdr:spPr>
        <a:xfrm>
          <a:off x="2456999" y="21129394"/>
          <a:ext cx="233045" cy="0"/>
        </a:xfrm>
        <a:custGeom>
          <a:avLst/>
          <a:gdLst/>
          <a:ahLst/>
          <a:cxnLst/>
          <a:rect l="0" t="0" r="0" b="0"/>
          <a:pathLst>
            <a:path w="233045">
              <a:moveTo>
                <a:pt x="0" y="0"/>
              </a:moveTo>
              <a:lnTo>
                <a:pt x="232943" y="0"/>
              </a:lnTo>
            </a:path>
          </a:pathLst>
        </a:custGeom>
        <a:ln w="6350">
          <a:solidFill>
            <a:srgbClr val="000000"/>
          </a:solidFill>
        </a:ln>
      </xdr:spPr>
    </xdr:sp>
    <xdr:clientData/>
  </xdr:absoluteAnchor>
  <xdr:absoluteAnchor>
    <xdr:pos x="3459002" y="24935293"/>
    <xdr:ext cx="36830" cy="70485"/>
    <xdr:sp macro="" textlink="">
      <xdr:nvSpPr>
        <xdr:cNvPr id="7" name="Textbox 226">
          <a:extLst>
            <a:ext uri="{FF2B5EF4-FFF2-40B4-BE49-F238E27FC236}">
              <a16:creationId xmlns:a16="http://schemas.microsoft.com/office/drawing/2014/main" id="{40B31139-D744-4397-91CC-C39A55679266}"/>
            </a:ext>
          </a:extLst>
        </xdr:cNvPr>
        <xdr:cNvSpPr txBox="1"/>
      </xdr:nvSpPr>
      <xdr:spPr>
        <a:xfrm>
          <a:off x="3459002" y="24935293"/>
          <a:ext cx="36830" cy="70485"/>
        </a:xfrm>
        <a:prstGeom prst="rect">
          <a:avLst/>
        </a:prstGeom>
      </xdr:spPr>
      <xdr:txBody>
        <a:bodyPr vertOverflow="clip" lIns="0" tIns="0" rIns="0" bIns="0" anchor="t"/>
        <a:lstStyle/>
        <a:p>
          <a:r>
            <a:rPr sz="450" b="0">
              <a:latin typeface="Arial"/>
              <a:cs typeface="Arial"/>
            </a:rPr>
            <a:t>1</a:t>
          </a:r>
        </a:p>
      </xdr:txBody>
    </xdr:sp>
    <xdr:clientData/>
  </xdr:absoluteAnchor>
  <xdr:oneCellAnchor>
    <xdr:from>
      <xdr:col>1</xdr:col>
      <xdr:colOff>0</xdr:colOff>
      <xdr:row>1</xdr:row>
      <xdr:rowOff>0</xdr:rowOff>
    </xdr:from>
    <xdr:ext cx="210185" cy="0"/>
    <xdr:sp macro="" textlink="">
      <xdr:nvSpPr>
        <xdr:cNvPr id="8" name="Shape 227">
          <a:extLst>
            <a:ext uri="{FF2B5EF4-FFF2-40B4-BE49-F238E27FC236}">
              <a16:creationId xmlns:a16="http://schemas.microsoft.com/office/drawing/2014/main" id="{C22A1474-1C9E-49ED-AF6A-9FB5A7B20697}"/>
            </a:ext>
          </a:extLst>
        </xdr:cNvPr>
        <xdr:cNvSpPr/>
      </xdr:nvSpPr>
      <xdr:spPr>
        <a:xfrm>
          <a:off x="520700" y="0"/>
          <a:ext cx="210185" cy="0"/>
        </a:xfrm>
        <a:custGeom>
          <a:avLst/>
          <a:gdLst/>
          <a:ahLst/>
          <a:cxnLst/>
          <a:rect l="0" t="0" r="0" b="0"/>
          <a:pathLst>
            <a:path w="210185">
              <a:moveTo>
                <a:pt x="0" y="0"/>
              </a:moveTo>
              <a:lnTo>
                <a:pt x="209994" y="0"/>
              </a:lnTo>
            </a:path>
          </a:pathLst>
        </a:custGeom>
        <a:ln w="6350">
          <a:solidFill>
            <a:srgbClr val="000000"/>
          </a:solidFill>
        </a:ln>
      </xdr:spPr>
    </xdr:sp>
    <xdr:clientData/>
  </xdr:oneCellAnchor>
  <xdr:twoCellAnchor editAs="oneCell">
    <xdr:from>
      <xdr:col>1</xdr:col>
      <xdr:colOff>0</xdr:colOff>
      <xdr:row>1</xdr:row>
      <xdr:rowOff>0</xdr:rowOff>
    </xdr:from>
    <xdr:to>
      <xdr:col>1</xdr:col>
      <xdr:colOff>94615</xdr:colOff>
      <xdr:row>1</xdr:row>
      <xdr:rowOff>70485</xdr:rowOff>
    </xdr:to>
    <xdr:sp macro="" textlink="">
      <xdr:nvSpPr>
        <xdr:cNvPr id="9" name="Textbox 228">
          <a:extLst>
            <a:ext uri="{FF2B5EF4-FFF2-40B4-BE49-F238E27FC236}">
              <a16:creationId xmlns:a16="http://schemas.microsoft.com/office/drawing/2014/main" id="{49C48BFD-BB49-41CD-BD0B-69ABAB71B2A1}"/>
            </a:ext>
          </a:extLst>
        </xdr:cNvPr>
        <xdr:cNvSpPr txBox="1"/>
      </xdr:nvSpPr>
      <xdr:spPr>
        <a:xfrm>
          <a:off x="520700" y="0"/>
          <a:ext cx="94615" cy="70485"/>
        </a:xfrm>
        <a:prstGeom prst="rect">
          <a:avLst/>
        </a:prstGeom>
      </xdr:spPr>
      <xdr:txBody>
        <a:bodyPr vertOverflow="clip" lIns="0" tIns="0" rIns="0" bIns="0" anchor="t"/>
        <a:lstStyle/>
        <a:p>
          <a:endParaRPr sz="450" b="0">
            <a:latin typeface="Arial"/>
            <a:cs typeface="Arial"/>
          </a:endParaRPr>
        </a:p>
      </xdr:txBody>
    </xdr:sp>
    <xdr:clientData/>
  </xdr:twoCellAnchor>
  <xdr:twoCellAnchor editAs="oneCell">
    <xdr:from>
      <xdr:col>2</xdr:col>
      <xdr:colOff>0</xdr:colOff>
      <xdr:row>1</xdr:row>
      <xdr:rowOff>0</xdr:rowOff>
    </xdr:from>
    <xdr:to>
      <xdr:col>2</xdr:col>
      <xdr:colOff>45085</xdr:colOff>
      <xdr:row>1</xdr:row>
      <xdr:rowOff>70485</xdr:rowOff>
    </xdr:to>
    <xdr:sp macro="" textlink="">
      <xdr:nvSpPr>
        <xdr:cNvPr id="10" name="Textbox 229">
          <a:extLst>
            <a:ext uri="{FF2B5EF4-FFF2-40B4-BE49-F238E27FC236}">
              <a16:creationId xmlns:a16="http://schemas.microsoft.com/office/drawing/2014/main" id="{FF67FCF9-F6AC-4BAC-9DEA-065D39C91232}"/>
            </a:ext>
          </a:extLst>
        </xdr:cNvPr>
        <xdr:cNvSpPr txBox="1"/>
      </xdr:nvSpPr>
      <xdr:spPr>
        <a:xfrm>
          <a:off x="1041400" y="0"/>
          <a:ext cx="45085" cy="70485"/>
        </a:xfrm>
        <a:prstGeom prst="rect">
          <a:avLst/>
        </a:prstGeom>
      </xdr:spPr>
      <xdr:txBody>
        <a:bodyPr vertOverflow="clip" lIns="0" tIns="0" rIns="0" bIns="0" anchor="t"/>
        <a:lstStyle/>
        <a:p>
          <a:endParaRPr sz="450" b="0">
            <a:latin typeface="Arial"/>
            <a:cs typeface="Arial"/>
          </a:endParaRPr>
        </a:p>
      </xdr:txBody>
    </xdr:sp>
    <xdr:clientData/>
  </xdr:twoCellAnchor>
  <xdr:oneCellAnchor>
    <xdr:from>
      <xdr:col>0</xdr:col>
      <xdr:colOff>0</xdr:colOff>
      <xdr:row>1</xdr:row>
      <xdr:rowOff>0</xdr:rowOff>
    </xdr:from>
    <xdr:ext cx="2808605" cy="3175"/>
    <xdr:grpSp>
      <xdr:nvGrpSpPr>
        <xdr:cNvPr id="30" name="Group 277">
          <a:extLst>
            <a:ext uri="{FF2B5EF4-FFF2-40B4-BE49-F238E27FC236}">
              <a16:creationId xmlns:a16="http://schemas.microsoft.com/office/drawing/2014/main" id="{01795D85-B81C-4FEF-A51A-20E2CA27DD9E}"/>
            </a:ext>
          </a:extLst>
        </xdr:cNvPr>
        <xdr:cNvGrpSpPr/>
      </xdr:nvGrpSpPr>
      <xdr:grpSpPr>
        <a:xfrm>
          <a:off x="0" y="257175"/>
          <a:ext cx="2808605" cy="3175"/>
          <a:chOff x="0" y="0"/>
          <a:chExt cx="2808605" cy="3175"/>
        </a:xfrm>
      </xdr:grpSpPr>
      <xdr:sp macro="" textlink="">
        <xdr:nvSpPr>
          <xdr:cNvPr id="31" name="Shape 278">
            <a:extLst>
              <a:ext uri="{FF2B5EF4-FFF2-40B4-BE49-F238E27FC236}">
                <a16:creationId xmlns:a16="http://schemas.microsoft.com/office/drawing/2014/main" id="{9503756A-CADC-7CBD-16D7-BF5EE4771881}"/>
              </a:ext>
            </a:extLst>
          </xdr:cNvPr>
          <xdr:cNvSpPr/>
        </xdr:nvSpPr>
        <xdr:spPr>
          <a:xfrm>
            <a:off x="0" y="1587"/>
            <a:ext cx="936625" cy="0"/>
          </a:xfrm>
          <a:custGeom>
            <a:avLst/>
            <a:gdLst/>
            <a:ahLst/>
            <a:cxnLst/>
            <a:rect l="0" t="0" r="0" b="0"/>
            <a:pathLst>
              <a:path w="936625">
                <a:moveTo>
                  <a:pt x="0" y="0"/>
                </a:moveTo>
                <a:lnTo>
                  <a:pt x="936002" y="0"/>
                </a:lnTo>
              </a:path>
            </a:pathLst>
          </a:custGeom>
          <a:ln w="3175">
            <a:solidFill>
              <a:srgbClr val="000000"/>
            </a:solidFill>
          </a:ln>
        </xdr:spPr>
      </xdr:sp>
      <xdr:sp macro="" textlink="">
        <xdr:nvSpPr>
          <xdr:cNvPr id="32" name="Shape 279">
            <a:extLst>
              <a:ext uri="{FF2B5EF4-FFF2-40B4-BE49-F238E27FC236}">
                <a16:creationId xmlns:a16="http://schemas.microsoft.com/office/drawing/2014/main" id="{2956A673-2D65-A0A7-3DC9-38881903414F}"/>
              </a:ext>
            </a:extLst>
          </xdr:cNvPr>
          <xdr:cNvSpPr/>
        </xdr:nvSpPr>
        <xdr:spPr>
          <a:xfrm>
            <a:off x="936000" y="1587"/>
            <a:ext cx="936625" cy="0"/>
          </a:xfrm>
          <a:custGeom>
            <a:avLst/>
            <a:gdLst/>
            <a:ahLst/>
            <a:cxnLst/>
            <a:rect l="0" t="0" r="0" b="0"/>
            <a:pathLst>
              <a:path w="936625">
                <a:moveTo>
                  <a:pt x="0" y="0"/>
                </a:moveTo>
                <a:lnTo>
                  <a:pt x="936002" y="0"/>
                </a:lnTo>
              </a:path>
            </a:pathLst>
          </a:custGeom>
          <a:ln w="3175">
            <a:solidFill>
              <a:srgbClr val="000000"/>
            </a:solidFill>
          </a:ln>
        </xdr:spPr>
      </xdr:sp>
      <xdr:sp macro="" textlink="">
        <xdr:nvSpPr>
          <xdr:cNvPr id="33" name="Shape 280">
            <a:extLst>
              <a:ext uri="{FF2B5EF4-FFF2-40B4-BE49-F238E27FC236}">
                <a16:creationId xmlns:a16="http://schemas.microsoft.com/office/drawing/2014/main" id="{5D8210E6-41AC-E0D2-48C1-F68871A51104}"/>
              </a:ext>
            </a:extLst>
          </xdr:cNvPr>
          <xdr:cNvSpPr/>
        </xdr:nvSpPr>
        <xdr:spPr>
          <a:xfrm>
            <a:off x="1872000" y="1587"/>
            <a:ext cx="936625" cy="0"/>
          </a:xfrm>
          <a:custGeom>
            <a:avLst/>
            <a:gdLst/>
            <a:ahLst/>
            <a:cxnLst/>
            <a:rect l="0" t="0" r="0" b="0"/>
            <a:pathLst>
              <a:path w="936625">
                <a:moveTo>
                  <a:pt x="0" y="0"/>
                </a:moveTo>
                <a:lnTo>
                  <a:pt x="936002" y="0"/>
                </a:lnTo>
              </a:path>
            </a:pathLst>
          </a:custGeom>
          <a:ln w="3175">
            <a:solidFill>
              <a:srgbClr val="000000"/>
            </a:solidFill>
          </a:ln>
        </xdr:spPr>
      </xdr:sp>
    </xdr:grpSp>
    <xdr:clientData/>
  </xdr:oneCellAnchor>
  <xdr:oneCellAnchor>
    <xdr:from>
      <xdr:col>5</xdr:col>
      <xdr:colOff>0</xdr:colOff>
      <xdr:row>2</xdr:row>
      <xdr:rowOff>667824</xdr:rowOff>
    </xdr:from>
    <xdr:ext cx="424180" cy="1175385"/>
    <xdr:grpSp>
      <xdr:nvGrpSpPr>
        <xdr:cNvPr id="37" name="Group 293">
          <a:extLst>
            <a:ext uri="{FF2B5EF4-FFF2-40B4-BE49-F238E27FC236}">
              <a16:creationId xmlns:a16="http://schemas.microsoft.com/office/drawing/2014/main" id="{B0CFB263-1B9B-4FF8-87C4-8A09BB4A81AC}"/>
            </a:ext>
          </a:extLst>
        </xdr:cNvPr>
        <xdr:cNvGrpSpPr/>
      </xdr:nvGrpSpPr>
      <xdr:grpSpPr>
        <a:xfrm>
          <a:off x="2476500" y="1105974"/>
          <a:ext cx="424180" cy="1175385"/>
          <a:chOff x="0" y="0"/>
          <a:chExt cx="424180" cy="1175385"/>
        </a:xfrm>
      </xdr:grpSpPr>
      <xdr:sp macro="" textlink="">
        <xdr:nvSpPr>
          <xdr:cNvPr id="38" name="Shape 294">
            <a:extLst>
              <a:ext uri="{FF2B5EF4-FFF2-40B4-BE49-F238E27FC236}">
                <a16:creationId xmlns:a16="http://schemas.microsoft.com/office/drawing/2014/main" id="{00D18AA9-A4B5-461F-99A1-F8DB6718E50B}"/>
              </a:ext>
            </a:extLst>
          </xdr:cNvPr>
          <xdr:cNvSpPr/>
        </xdr:nvSpPr>
        <xdr:spPr>
          <a:xfrm>
            <a:off x="122227" y="315183"/>
            <a:ext cx="175895" cy="855344"/>
          </a:xfrm>
          <a:custGeom>
            <a:avLst/>
            <a:gdLst/>
            <a:ahLst/>
            <a:cxnLst/>
            <a:rect l="0" t="0" r="0" b="0"/>
            <a:pathLst>
              <a:path w="175895" h="855344">
                <a:moveTo>
                  <a:pt x="175514" y="35382"/>
                </a:moveTo>
                <a:lnTo>
                  <a:pt x="172732" y="21602"/>
                </a:lnTo>
                <a:lnTo>
                  <a:pt x="165150" y="10363"/>
                </a:lnTo>
                <a:lnTo>
                  <a:pt x="153911" y="2781"/>
                </a:lnTo>
                <a:lnTo>
                  <a:pt x="140131" y="0"/>
                </a:lnTo>
                <a:lnTo>
                  <a:pt x="35394" y="0"/>
                </a:lnTo>
                <a:lnTo>
                  <a:pt x="21615" y="2781"/>
                </a:lnTo>
                <a:lnTo>
                  <a:pt x="10363" y="10363"/>
                </a:lnTo>
                <a:lnTo>
                  <a:pt x="2781" y="21602"/>
                </a:lnTo>
                <a:lnTo>
                  <a:pt x="0" y="35382"/>
                </a:lnTo>
                <a:lnTo>
                  <a:pt x="0" y="819492"/>
                </a:lnTo>
                <a:lnTo>
                  <a:pt x="2781" y="833259"/>
                </a:lnTo>
                <a:lnTo>
                  <a:pt x="10363" y="844511"/>
                </a:lnTo>
                <a:lnTo>
                  <a:pt x="21615" y="852093"/>
                </a:lnTo>
                <a:lnTo>
                  <a:pt x="35394" y="854875"/>
                </a:lnTo>
                <a:lnTo>
                  <a:pt x="140131" y="854875"/>
                </a:lnTo>
                <a:lnTo>
                  <a:pt x="153911" y="852093"/>
                </a:lnTo>
                <a:lnTo>
                  <a:pt x="165150" y="844511"/>
                </a:lnTo>
                <a:lnTo>
                  <a:pt x="172732" y="833259"/>
                </a:lnTo>
                <a:lnTo>
                  <a:pt x="175514" y="819492"/>
                </a:lnTo>
                <a:lnTo>
                  <a:pt x="175514" y="35382"/>
                </a:lnTo>
                <a:close/>
              </a:path>
            </a:pathLst>
          </a:custGeom>
          <a:solidFill>
            <a:srgbClr val="E3E3E3"/>
          </a:solidFill>
        </xdr:spPr>
      </xdr:sp>
      <xdr:sp macro="" textlink="">
        <xdr:nvSpPr>
          <xdr:cNvPr id="39" name="Shape 295">
            <a:extLst>
              <a:ext uri="{FF2B5EF4-FFF2-40B4-BE49-F238E27FC236}">
                <a16:creationId xmlns:a16="http://schemas.microsoft.com/office/drawing/2014/main" id="{36ECAD71-A11A-BCA3-2C84-5C13E832401A}"/>
              </a:ext>
            </a:extLst>
          </xdr:cNvPr>
          <xdr:cNvSpPr/>
        </xdr:nvSpPr>
        <xdr:spPr>
          <a:xfrm>
            <a:off x="144899" y="330743"/>
            <a:ext cx="130810" cy="824230"/>
          </a:xfrm>
          <a:custGeom>
            <a:avLst/>
            <a:gdLst/>
            <a:ahLst/>
            <a:cxnLst/>
            <a:rect l="0" t="0" r="0" b="0"/>
            <a:pathLst>
              <a:path w="130810" h="824230">
                <a:moveTo>
                  <a:pt x="130187" y="65112"/>
                </a:moveTo>
                <a:lnTo>
                  <a:pt x="125073" y="39765"/>
                </a:lnTo>
                <a:lnTo>
                  <a:pt x="111126" y="19069"/>
                </a:lnTo>
                <a:lnTo>
                  <a:pt x="90438" y="5116"/>
                </a:lnTo>
                <a:lnTo>
                  <a:pt x="65100" y="0"/>
                </a:lnTo>
                <a:lnTo>
                  <a:pt x="39754" y="5116"/>
                </a:lnTo>
                <a:lnTo>
                  <a:pt x="19062" y="19069"/>
                </a:lnTo>
                <a:lnTo>
                  <a:pt x="5114" y="39765"/>
                </a:lnTo>
                <a:lnTo>
                  <a:pt x="0" y="65112"/>
                </a:lnTo>
                <a:lnTo>
                  <a:pt x="5114" y="90449"/>
                </a:lnTo>
                <a:lnTo>
                  <a:pt x="19062" y="111147"/>
                </a:lnTo>
                <a:lnTo>
                  <a:pt x="39754" y="125106"/>
                </a:lnTo>
                <a:lnTo>
                  <a:pt x="65100" y="130225"/>
                </a:lnTo>
                <a:lnTo>
                  <a:pt x="90438" y="125106"/>
                </a:lnTo>
                <a:lnTo>
                  <a:pt x="111126" y="111147"/>
                </a:lnTo>
                <a:lnTo>
                  <a:pt x="125073" y="90449"/>
                </a:lnTo>
                <a:lnTo>
                  <a:pt x="130187" y="65112"/>
                </a:lnTo>
                <a:close/>
              </a:path>
              <a:path w="130810" h="824230">
                <a:moveTo>
                  <a:pt x="130187" y="758621"/>
                </a:moveTo>
                <a:lnTo>
                  <a:pt x="125073" y="733283"/>
                </a:lnTo>
                <a:lnTo>
                  <a:pt x="111126" y="712595"/>
                </a:lnTo>
                <a:lnTo>
                  <a:pt x="90438" y="698648"/>
                </a:lnTo>
                <a:lnTo>
                  <a:pt x="65100" y="693534"/>
                </a:lnTo>
                <a:lnTo>
                  <a:pt x="39754" y="698648"/>
                </a:lnTo>
                <a:lnTo>
                  <a:pt x="19062" y="712595"/>
                </a:lnTo>
                <a:lnTo>
                  <a:pt x="5114" y="733283"/>
                </a:lnTo>
                <a:lnTo>
                  <a:pt x="0" y="758621"/>
                </a:lnTo>
                <a:lnTo>
                  <a:pt x="5114" y="783974"/>
                </a:lnTo>
                <a:lnTo>
                  <a:pt x="19062" y="804670"/>
                </a:lnTo>
                <a:lnTo>
                  <a:pt x="39754" y="818620"/>
                </a:lnTo>
                <a:lnTo>
                  <a:pt x="65100" y="823734"/>
                </a:lnTo>
                <a:lnTo>
                  <a:pt x="90438" y="818620"/>
                </a:lnTo>
                <a:lnTo>
                  <a:pt x="111126" y="804670"/>
                </a:lnTo>
                <a:lnTo>
                  <a:pt x="125073" y="783974"/>
                </a:lnTo>
                <a:lnTo>
                  <a:pt x="130187" y="758621"/>
                </a:lnTo>
                <a:close/>
              </a:path>
            </a:pathLst>
          </a:custGeom>
          <a:ln w="10083">
            <a:solidFill>
              <a:srgbClr val="000000"/>
            </a:solidFill>
          </a:ln>
        </xdr:spPr>
      </xdr:sp>
      <xdr:sp macro="" textlink="">
        <xdr:nvSpPr>
          <xdr:cNvPr id="40" name="Shape 296">
            <a:extLst>
              <a:ext uri="{FF2B5EF4-FFF2-40B4-BE49-F238E27FC236}">
                <a16:creationId xmlns:a16="http://schemas.microsoft.com/office/drawing/2014/main" id="{AF19255F-1F33-D116-E0BB-CF8573AF80B1}"/>
              </a:ext>
            </a:extLst>
          </xdr:cNvPr>
          <xdr:cNvSpPr/>
        </xdr:nvSpPr>
        <xdr:spPr>
          <a:xfrm>
            <a:off x="122238" y="315174"/>
            <a:ext cx="175895" cy="855344"/>
          </a:xfrm>
          <a:custGeom>
            <a:avLst/>
            <a:gdLst/>
            <a:ahLst/>
            <a:cxnLst/>
            <a:rect l="0" t="0" r="0" b="0"/>
            <a:pathLst>
              <a:path w="175895" h="855344">
                <a:moveTo>
                  <a:pt x="35382" y="0"/>
                </a:moveTo>
                <a:lnTo>
                  <a:pt x="21613" y="2779"/>
                </a:lnTo>
                <a:lnTo>
                  <a:pt x="10366" y="10361"/>
                </a:lnTo>
                <a:lnTo>
                  <a:pt x="2781" y="21608"/>
                </a:lnTo>
                <a:lnTo>
                  <a:pt x="0" y="35382"/>
                </a:lnTo>
              </a:path>
              <a:path w="175895" h="855344">
                <a:moveTo>
                  <a:pt x="175514" y="35382"/>
                </a:moveTo>
                <a:lnTo>
                  <a:pt x="172733" y="21608"/>
                </a:lnTo>
                <a:lnTo>
                  <a:pt x="165150" y="10361"/>
                </a:lnTo>
                <a:lnTo>
                  <a:pt x="153900" y="2779"/>
                </a:lnTo>
                <a:lnTo>
                  <a:pt x="140119" y="0"/>
                </a:lnTo>
              </a:path>
              <a:path w="175895" h="855344">
                <a:moveTo>
                  <a:pt x="0" y="819492"/>
                </a:moveTo>
                <a:lnTo>
                  <a:pt x="2781" y="833261"/>
                </a:lnTo>
                <a:lnTo>
                  <a:pt x="10366" y="844508"/>
                </a:lnTo>
                <a:lnTo>
                  <a:pt x="21613" y="852093"/>
                </a:lnTo>
                <a:lnTo>
                  <a:pt x="35382" y="854875"/>
                </a:lnTo>
              </a:path>
              <a:path w="175895" h="855344">
                <a:moveTo>
                  <a:pt x="140119" y="854875"/>
                </a:moveTo>
                <a:lnTo>
                  <a:pt x="153900" y="852093"/>
                </a:lnTo>
                <a:lnTo>
                  <a:pt x="165150" y="844508"/>
                </a:lnTo>
                <a:lnTo>
                  <a:pt x="172733" y="833261"/>
                </a:lnTo>
                <a:lnTo>
                  <a:pt x="175514" y="819492"/>
                </a:lnTo>
              </a:path>
              <a:path w="175895" h="855344">
                <a:moveTo>
                  <a:pt x="38201" y="774192"/>
                </a:moveTo>
                <a:lnTo>
                  <a:pt x="63004" y="817092"/>
                </a:lnTo>
              </a:path>
              <a:path w="175895" h="855344">
                <a:moveTo>
                  <a:pt x="38201" y="774192"/>
                </a:moveTo>
                <a:lnTo>
                  <a:pt x="63004" y="731291"/>
                </a:lnTo>
              </a:path>
              <a:path w="175895" h="855344">
                <a:moveTo>
                  <a:pt x="38201" y="80670"/>
                </a:moveTo>
                <a:lnTo>
                  <a:pt x="63004" y="123583"/>
                </a:lnTo>
              </a:path>
              <a:path w="175895" h="855344">
                <a:moveTo>
                  <a:pt x="38201" y="80670"/>
                </a:moveTo>
                <a:lnTo>
                  <a:pt x="63004" y="37769"/>
                </a:lnTo>
              </a:path>
              <a:path w="175895" h="855344">
                <a:moveTo>
                  <a:pt x="137287" y="774192"/>
                </a:moveTo>
                <a:lnTo>
                  <a:pt x="112522" y="817092"/>
                </a:lnTo>
              </a:path>
              <a:path w="175895" h="855344">
                <a:moveTo>
                  <a:pt x="137287" y="774192"/>
                </a:moveTo>
                <a:lnTo>
                  <a:pt x="112522" y="731291"/>
                </a:lnTo>
              </a:path>
              <a:path w="175895" h="855344">
                <a:moveTo>
                  <a:pt x="137287" y="80670"/>
                </a:moveTo>
                <a:lnTo>
                  <a:pt x="112522" y="123583"/>
                </a:lnTo>
              </a:path>
              <a:path w="175895" h="855344">
                <a:moveTo>
                  <a:pt x="137287" y="80670"/>
                </a:moveTo>
                <a:lnTo>
                  <a:pt x="112522" y="37769"/>
                </a:lnTo>
              </a:path>
            </a:pathLst>
          </a:custGeom>
          <a:ln w="10083">
            <a:solidFill>
              <a:srgbClr val="000000"/>
            </a:solidFill>
          </a:ln>
        </xdr:spPr>
      </xdr:sp>
      <xdr:sp macro="" textlink="">
        <xdr:nvSpPr>
          <xdr:cNvPr id="41" name="Shape 297">
            <a:extLst>
              <a:ext uri="{FF2B5EF4-FFF2-40B4-BE49-F238E27FC236}">
                <a16:creationId xmlns:a16="http://schemas.microsoft.com/office/drawing/2014/main" id="{D99A6BDC-56AB-AE77-CB49-8919970D46A7}"/>
              </a:ext>
            </a:extLst>
          </xdr:cNvPr>
          <xdr:cNvSpPr/>
        </xdr:nvSpPr>
        <xdr:spPr>
          <a:xfrm>
            <a:off x="0" y="43836"/>
            <a:ext cx="424180" cy="250190"/>
          </a:xfrm>
          <a:custGeom>
            <a:avLst/>
            <a:gdLst/>
            <a:ahLst/>
            <a:cxnLst/>
            <a:rect l="0" t="0" r="0" b="0"/>
            <a:pathLst>
              <a:path w="424180" h="250190">
                <a:moveTo>
                  <a:pt x="122237" y="250101"/>
                </a:moveTo>
                <a:lnTo>
                  <a:pt x="122237" y="0"/>
                </a:lnTo>
              </a:path>
              <a:path w="424180" h="250190">
                <a:moveTo>
                  <a:pt x="297751" y="250101"/>
                </a:moveTo>
                <a:lnTo>
                  <a:pt x="297751" y="0"/>
                </a:lnTo>
              </a:path>
              <a:path w="424180" h="250190">
                <a:moveTo>
                  <a:pt x="0" y="56616"/>
                </a:moveTo>
                <a:lnTo>
                  <a:pt x="62255" y="56616"/>
                </a:lnTo>
              </a:path>
              <a:path w="424180" h="250190">
                <a:moveTo>
                  <a:pt x="361657" y="56616"/>
                </a:moveTo>
                <a:lnTo>
                  <a:pt x="423913" y="56616"/>
                </a:lnTo>
              </a:path>
              <a:path w="424180" h="250190">
                <a:moveTo>
                  <a:pt x="123482" y="56616"/>
                </a:moveTo>
                <a:lnTo>
                  <a:pt x="299910" y="56616"/>
                </a:lnTo>
              </a:path>
            </a:pathLst>
          </a:custGeom>
          <a:ln w="6045">
            <a:solidFill>
              <a:srgbClr val="000000"/>
            </a:solidFill>
          </a:ln>
        </xdr:spPr>
      </xdr:sp>
      <xdr:sp macro="" textlink="">
        <xdr:nvSpPr>
          <xdr:cNvPr id="42" name="Shape 298">
            <a:extLst>
              <a:ext uri="{FF2B5EF4-FFF2-40B4-BE49-F238E27FC236}">
                <a16:creationId xmlns:a16="http://schemas.microsoft.com/office/drawing/2014/main" id="{5DF9DC3D-1EAA-4255-7108-36A1B97A5C42}"/>
              </a:ext>
            </a:extLst>
          </xdr:cNvPr>
          <xdr:cNvSpPr/>
        </xdr:nvSpPr>
        <xdr:spPr>
          <a:xfrm>
            <a:off x="21325" y="7"/>
            <a:ext cx="379095" cy="120650"/>
          </a:xfrm>
          <a:custGeom>
            <a:avLst/>
            <a:gdLst/>
            <a:ahLst/>
            <a:cxnLst/>
            <a:rect l="0" t="0" r="0" b="0"/>
            <a:pathLst>
              <a:path w="379095" h="120650">
                <a:moveTo>
                  <a:pt x="99999" y="100457"/>
                </a:moveTo>
                <a:lnTo>
                  <a:pt x="0" y="80441"/>
                </a:lnTo>
                <a:lnTo>
                  <a:pt x="0" y="120446"/>
                </a:lnTo>
                <a:lnTo>
                  <a:pt x="99999" y="100457"/>
                </a:lnTo>
                <a:close/>
              </a:path>
              <a:path w="379095" h="120650">
                <a:moveTo>
                  <a:pt x="187312" y="48755"/>
                </a:moveTo>
                <a:lnTo>
                  <a:pt x="185966" y="40462"/>
                </a:lnTo>
                <a:lnTo>
                  <a:pt x="185928" y="40259"/>
                </a:lnTo>
                <a:lnTo>
                  <a:pt x="185813" y="39547"/>
                </a:lnTo>
                <a:lnTo>
                  <a:pt x="182041" y="33108"/>
                </a:lnTo>
                <a:lnTo>
                  <a:pt x="181508" y="32181"/>
                </a:lnTo>
                <a:lnTo>
                  <a:pt x="178231" y="29870"/>
                </a:lnTo>
                <a:lnTo>
                  <a:pt x="178231" y="40462"/>
                </a:lnTo>
                <a:lnTo>
                  <a:pt x="178231" y="57823"/>
                </a:lnTo>
                <a:lnTo>
                  <a:pt x="173075" y="65189"/>
                </a:lnTo>
                <a:lnTo>
                  <a:pt x="154406" y="65189"/>
                </a:lnTo>
                <a:lnTo>
                  <a:pt x="148958" y="58127"/>
                </a:lnTo>
                <a:lnTo>
                  <a:pt x="148958" y="40259"/>
                </a:lnTo>
                <a:lnTo>
                  <a:pt x="152869" y="34912"/>
                </a:lnTo>
                <a:lnTo>
                  <a:pt x="154203" y="33108"/>
                </a:lnTo>
                <a:lnTo>
                  <a:pt x="173570" y="33108"/>
                </a:lnTo>
                <a:lnTo>
                  <a:pt x="178231" y="40462"/>
                </a:lnTo>
                <a:lnTo>
                  <a:pt x="178231" y="29870"/>
                </a:lnTo>
                <a:lnTo>
                  <a:pt x="174625" y="27305"/>
                </a:lnTo>
                <a:lnTo>
                  <a:pt x="165404" y="25539"/>
                </a:lnTo>
                <a:lnTo>
                  <a:pt x="157632" y="25539"/>
                </a:lnTo>
                <a:lnTo>
                  <a:pt x="151574" y="28359"/>
                </a:lnTo>
                <a:lnTo>
                  <a:pt x="147662" y="34721"/>
                </a:lnTo>
                <a:lnTo>
                  <a:pt x="147548" y="34912"/>
                </a:lnTo>
                <a:lnTo>
                  <a:pt x="147345" y="34721"/>
                </a:lnTo>
                <a:lnTo>
                  <a:pt x="148158" y="25844"/>
                </a:lnTo>
                <a:lnTo>
                  <a:pt x="150685" y="17030"/>
                </a:lnTo>
                <a:lnTo>
                  <a:pt x="155867" y="10274"/>
                </a:lnTo>
                <a:lnTo>
                  <a:pt x="164706" y="7581"/>
                </a:lnTo>
                <a:lnTo>
                  <a:pt x="171462" y="7581"/>
                </a:lnTo>
                <a:lnTo>
                  <a:pt x="175920" y="11811"/>
                </a:lnTo>
                <a:lnTo>
                  <a:pt x="176720" y="18275"/>
                </a:lnTo>
                <a:lnTo>
                  <a:pt x="185267" y="18275"/>
                </a:lnTo>
                <a:lnTo>
                  <a:pt x="183349" y="10528"/>
                </a:lnTo>
                <a:lnTo>
                  <a:pt x="181229" y="7581"/>
                </a:lnTo>
                <a:lnTo>
                  <a:pt x="179235" y="4787"/>
                </a:lnTo>
                <a:lnTo>
                  <a:pt x="173075" y="1231"/>
                </a:lnTo>
                <a:lnTo>
                  <a:pt x="165087" y="12"/>
                </a:lnTo>
                <a:lnTo>
                  <a:pt x="152374" y="3238"/>
                </a:lnTo>
                <a:lnTo>
                  <a:pt x="144284" y="11811"/>
                </a:lnTo>
                <a:lnTo>
                  <a:pt x="140017" y="24053"/>
                </a:lnTo>
                <a:lnTo>
                  <a:pt x="138772" y="38354"/>
                </a:lnTo>
                <a:lnTo>
                  <a:pt x="139534" y="48755"/>
                </a:lnTo>
                <a:lnTo>
                  <a:pt x="139636" y="50063"/>
                </a:lnTo>
                <a:lnTo>
                  <a:pt x="143129" y="61188"/>
                </a:lnTo>
                <a:lnTo>
                  <a:pt x="150596" y="69494"/>
                </a:lnTo>
                <a:lnTo>
                  <a:pt x="163372" y="72758"/>
                </a:lnTo>
                <a:lnTo>
                  <a:pt x="174739" y="70459"/>
                </a:lnTo>
                <a:lnTo>
                  <a:pt x="181432" y="65189"/>
                </a:lnTo>
                <a:lnTo>
                  <a:pt x="182118" y="64643"/>
                </a:lnTo>
                <a:lnTo>
                  <a:pt x="186105" y="56883"/>
                </a:lnTo>
                <a:lnTo>
                  <a:pt x="187109" y="50063"/>
                </a:lnTo>
                <a:lnTo>
                  <a:pt x="187236" y="49250"/>
                </a:lnTo>
                <a:lnTo>
                  <a:pt x="187312" y="48755"/>
                </a:lnTo>
                <a:close/>
              </a:path>
              <a:path w="379095" h="120650">
                <a:moveTo>
                  <a:pt x="240804" y="20586"/>
                </a:moveTo>
                <a:lnTo>
                  <a:pt x="239064" y="11747"/>
                </a:lnTo>
                <a:lnTo>
                  <a:pt x="234302" y="5295"/>
                </a:lnTo>
                <a:lnTo>
                  <a:pt x="227203" y="1346"/>
                </a:lnTo>
                <a:lnTo>
                  <a:pt x="218427" y="0"/>
                </a:lnTo>
                <a:lnTo>
                  <a:pt x="208343" y="1917"/>
                </a:lnTo>
                <a:lnTo>
                  <a:pt x="200977" y="7213"/>
                </a:lnTo>
                <a:lnTo>
                  <a:pt x="196570" y="15252"/>
                </a:lnTo>
                <a:lnTo>
                  <a:pt x="195402" y="25336"/>
                </a:lnTo>
                <a:lnTo>
                  <a:pt x="203987" y="25336"/>
                </a:lnTo>
                <a:lnTo>
                  <a:pt x="203669" y="16751"/>
                </a:lnTo>
                <a:lnTo>
                  <a:pt x="207924" y="7581"/>
                </a:lnTo>
                <a:lnTo>
                  <a:pt x="225463" y="7581"/>
                </a:lnTo>
                <a:lnTo>
                  <a:pt x="231736" y="12712"/>
                </a:lnTo>
                <a:lnTo>
                  <a:pt x="231736" y="20497"/>
                </a:lnTo>
                <a:lnTo>
                  <a:pt x="230593" y="27012"/>
                </a:lnTo>
                <a:lnTo>
                  <a:pt x="227152" y="32296"/>
                </a:lnTo>
                <a:lnTo>
                  <a:pt x="221449" y="37122"/>
                </a:lnTo>
                <a:lnTo>
                  <a:pt x="206286" y="47117"/>
                </a:lnTo>
                <a:lnTo>
                  <a:pt x="200177" y="52908"/>
                </a:lnTo>
                <a:lnTo>
                  <a:pt x="195707" y="60706"/>
                </a:lnTo>
                <a:lnTo>
                  <a:pt x="193408" y="71551"/>
                </a:lnTo>
                <a:lnTo>
                  <a:pt x="240118" y="71551"/>
                </a:lnTo>
                <a:lnTo>
                  <a:pt x="240118" y="63969"/>
                </a:lnTo>
                <a:lnTo>
                  <a:pt x="203390" y="63969"/>
                </a:lnTo>
                <a:lnTo>
                  <a:pt x="205994" y="58039"/>
                </a:lnTo>
                <a:lnTo>
                  <a:pt x="210705" y="53251"/>
                </a:lnTo>
                <a:lnTo>
                  <a:pt x="216789" y="49110"/>
                </a:lnTo>
                <a:lnTo>
                  <a:pt x="223469" y="45110"/>
                </a:lnTo>
                <a:lnTo>
                  <a:pt x="229920" y="40703"/>
                </a:lnTo>
                <a:lnTo>
                  <a:pt x="235458" y="35496"/>
                </a:lnTo>
                <a:lnTo>
                  <a:pt x="239344" y="28956"/>
                </a:lnTo>
                <a:lnTo>
                  <a:pt x="240804" y="20586"/>
                </a:lnTo>
                <a:close/>
              </a:path>
              <a:path w="379095" h="120650">
                <a:moveTo>
                  <a:pt x="378612" y="80441"/>
                </a:moveTo>
                <a:lnTo>
                  <a:pt x="278574" y="100457"/>
                </a:lnTo>
                <a:lnTo>
                  <a:pt x="378612" y="120446"/>
                </a:lnTo>
                <a:lnTo>
                  <a:pt x="378612" y="80441"/>
                </a:lnTo>
                <a:close/>
              </a:path>
            </a:pathLst>
          </a:custGeom>
          <a:solidFill>
            <a:srgbClr val="000000"/>
          </a:solidFill>
        </xdr:spPr>
      </xdr:sp>
    </xdr:grpSp>
    <xdr:clientData/>
  </xdr:oneCellAnchor>
  <xdr:oneCellAnchor>
    <xdr:from>
      <xdr:col>0</xdr:col>
      <xdr:colOff>57824</xdr:colOff>
      <xdr:row>2</xdr:row>
      <xdr:rowOff>497626</xdr:rowOff>
    </xdr:from>
    <xdr:ext cx="2096135" cy="1613535"/>
    <xdr:grpSp>
      <xdr:nvGrpSpPr>
        <xdr:cNvPr id="43" name="Group 299">
          <a:extLst>
            <a:ext uri="{FF2B5EF4-FFF2-40B4-BE49-F238E27FC236}">
              <a16:creationId xmlns:a16="http://schemas.microsoft.com/office/drawing/2014/main" id="{7CB4F74C-2DEB-45D2-9A16-045AEAEA9453}"/>
            </a:ext>
          </a:extLst>
        </xdr:cNvPr>
        <xdr:cNvGrpSpPr/>
      </xdr:nvGrpSpPr>
      <xdr:grpSpPr>
        <a:xfrm>
          <a:off x="57824" y="935776"/>
          <a:ext cx="2096135" cy="1613535"/>
          <a:chOff x="0" y="0"/>
          <a:chExt cx="2096135" cy="1613535"/>
        </a:xfrm>
      </xdr:grpSpPr>
      <xdr:pic>
        <xdr:nvPicPr>
          <xdr:cNvPr id="44" name="image40.png">
            <a:extLst>
              <a:ext uri="{FF2B5EF4-FFF2-40B4-BE49-F238E27FC236}">
                <a16:creationId xmlns:a16="http://schemas.microsoft.com/office/drawing/2014/main" id="{4BEA8878-715A-5D45-D685-BEBF4A7320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80322"/>
            <a:ext cx="1874123" cy="865581"/>
          </a:xfrm>
          <a:prstGeom prst="rect">
            <a:avLst/>
          </a:prstGeom>
        </xdr:spPr>
      </xdr:pic>
      <xdr:sp macro="" textlink="">
        <xdr:nvSpPr>
          <xdr:cNvPr id="45" name="Shape 301">
            <a:extLst>
              <a:ext uri="{FF2B5EF4-FFF2-40B4-BE49-F238E27FC236}">
                <a16:creationId xmlns:a16="http://schemas.microsoft.com/office/drawing/2014/main" id="{1B693D50-9343-C1C4-C0C8-759B7623FDE9}"/>
              </a:ext>
            </a:extLst>
          </xdr:cNvPr>
          <xdr:cNvSpPr/>
        </xdr:nvSpPr>
        <xdr:spPr>
          <a:xfrm>
            <a:off x="257425" y="42584"/>
            <a:ext cx="1838960" cy="1570990"/>
          </a:xfrm>
          <a:custGeom>
            <a:avLst/>
            <a:gdLst/>
            <a:ahLst/>
            <a:cxnLst/>
            <a:rect l="0" t="0" r="0" b="0"/>
            <a:pathLst>
              <a:path w="1838960" h="1570990">
                <a:moveTo>
                  <a:pt x="269887" y="407771"/>
                </a:moveTo>
                <a:lnTo>
                  <a:pt x="269887" y="171449"/>
                </a:lnTo>
              </a:path>
              <a:path w="1838960" h="1570990">
                <a:moveTo>
                  <a:pt x="230263" y="425094"/>
                </a:moveTo>
                <a:lnTo>
                  <a:pt x="230263" y="14274"/>
                </a:lnTo>
              </a:path>
              <a:path w="1838960" h="1570990">
                <a:moveTo>
                  <a:pt x="326504" y="228066"/>
                </a:moveTo>
                <a:lnTo>
                  <a:pt x="411670" y="228066"/>
                </a:lnTo>
              </a:path>
              <a:path w="1838960" h="1570990">
                <a:moveTo>
                  <a:pt x="173647" y="228066"/>
                </a:moveTo>
                <a:lnTo>
                  <a:pt x="0" y="228066"/>
                </a:lnTo>
              </a:path>
              <a:path w="1838960" h="1570990">
                <a:moveTo>
                  <a:pt x="1571688" y="407771"/>
                </a:moveTo>
                <a:lnTo>
                  <a:pt x="1571688" y="171449"/>
                </a:lnTo>
              </a:path>
              <a:path w="1838960" h="1570990">
                <a:moveTo>
                  <a:pt x="1611299" y="425094"/>
                </a:moveTo>
                <a:lnTo>
                  <a:pt x="1611299" y="0"/>
                </a:lnTo>
              </a:path>
              <a:path w="1838960" h="1570990">
                <a:moveTo>
                  <a:pt x="1515084" y="228066"/>
                </a:moveTo>
                <a:lnTo>
                  <a:pt x="1429893" y="228066"/>
                </a:lnTo>
              </a:path>
              <a:path w="1838960" h="1570990">
                <a:moveTo>
                  <a:pt x="1667916" y="228066"/>
                </a:moveTo>
                <a:lnTo>
                  <a:pt x="1838464" y="228066"/>
                </a:lnTo>
              </a:path>
              <a:path w="1838960" h="1570990">
                <a:moveTo>
                  <a:pt x="230263" y="228066"/>
                </a:moveTo>
                <a:lnTo>
                  <a:pt x="269887" y="228066"/>
                </a:lnTo>
              </a:path>
              <a:path w="1838960" h="1570990">
                <a:moveTo>
                  <a:pt x="1571688" y="228066"/>
                </a:moveTo>
                <a:lnTo>
                  <a:pt x="1611299" y="228066"/>
                </a:lnTo>
              </a:path>
              <a:path w="1838960" h="1570990">
                <a:moveTo>
                  <a:pt x="269887" y="236308"/>
                </a:moveTo>
                <a:lnTo>
                  <a:pt x="269887" y="171449"/>
                </a:lnTo>
              </a:path>
              <a:path w="1838960" h="1570990">
                <a:moveTo>
                  <a:pt x="1571688" y="236308"/>
                </a:moveTo>
                <a:lnTo>
                  <a:pt x="1571688" y="171449"/>
                </a:lnTo>
              </a:path>
              <a:path w="1838960" h="1570990">
                <a:moveTo>
                  <a:pt x="326504" y="56616"/>
                </a:moveTo>
                <a:lnTo>
                  <a:pt x="1515084" y="56616"/>
                </a:lnTo>
              </a:path>
              <a:path w="1838960" h="1570990">
                <a:moveTo>
                  <a:pt x="400100" y="1329562"/>
                </a:moveTo>
                <a:lnTo>
                  <a:pt x="400100" y="1570850"/>
                </a:lnTo>
              </a:path>
              <a:path w="1838960" h="1570990">
                <a:moveTo>
                  <a:pt x="530301" y="1329562"/>
                </a:moveTo>
                <a:lnTo>
                  <a:pt x="530301" y="1570850"/>
                </a:lnTo>
              </a:path>
              <a:path w="1838960" h="1570990">
                <a:moveTo>
                  <a:pt x="343471" y="1514246"/>
                </a:moveTo>
                <a:lnTo>
                  <a:pt x="267131" y="1514246"/>
                </a:lnTo>
              </a:path>
              <a:path w="1838960" h="1570990">
                <a:moveTo>
                  <a:pt x="586955" y="1514246"/>
                </a:moveTo>
                <a:lnTo>
                  <a:pt x="769937" y="1514246"/>
                </a:lnTo>
              </a:path>
              <a:path w="1838960" h="1570990">
                <a:moveTo>
                  <a:pt x="400100" y="1514246"/>
                </a:moveTo>
                <a:lnTo>
                  <a:pt x="530301" y="1514246"/>
                </a:lnTo>
              </a:path>
            </a:pathLst>
          </a:custGeom>
          <a:ln w="6045">
            <a:solidFill>
              <a:srgbClr val="000000"/>
            </a:solidFill>
          </a:ln>
        </xdr:spPr>
      </xdr:sp>
      <xdr:sp macro="" textlink="">
        <xdr:nvSpPr>
          <xdr:cNvPr id="46" name="Shape 302">
            <a:extLst>
              <a:ext uri="{FF2B5EF4-FFF2-40B4-BE49-F238E27FC236}">
                <a16:creationId xmlns:a16="http://schemas.microsoft.com/office/drawing/2014/main" id="{E2F00C8B-AC6E-DBDE-99D6-ABD038701109}"/>
              </a:ext>
            </a:extLst>
          </xdr:cNvPr>
          <xdr:cNvSpPr/>
        </xdr:nvSpPr>
        <xdr:spPr>
          <a:xfrm>
            <a:off x="278141" y="0"/>
            <a:ext cx="1800860" cy="1577340"/>
          </a:xfrm>
          <a:custGeom>
            <a:avLst/>
            <a:gdLst/>
            <a:ahLst/>
            <a:cxnLst/>
            <a:rect l="0" t="0" r="0" b="0"/>
            <a:pathLst>
              <a:path w="1800860" h="1577340">
                <a:moveTo>
                  <a:pt x="27139" y="171970"/>
                </a:moveTo>
                <a:lnTo>
                  <a:pt x="20586" y="171970"/>
                </a:lnTo>
                <a:lnTo>
                  <a:pt x="18669" y="182765"/>
                </a:lnTo>
                <a:lnTo>
                  <a:pt x="9779" y="185381"/>
                </a:lnTo>
                <a:lnTo>
                  <a:pt x="0" y="185381"/>
                </a:lnTo>
                <a:lnTo>
                  <a:pt x="0" y="192252"/>
                </a:lnTo>
                <a:lnTo>
                  <a:pt x="18567" y="192252"/>
                </a:lnTo>
                <a:lnTo>
                  <a:pt x="18567" y="243509"/>
                </a:lnTo>
                <a:lnTo>
                  <a:pt x="27139" y="243509"/>
                </a:lnTo>
                <a:lnTo>
                  <a:pt x="27139" y="171970"/>
                </a:lnTo>
                <a:close/>
              </a:path>
              <a:path w="1800860" h="1577340">
                <a:moveTo>
                  <a:pt x="93065" y="214337"/>
                </a:moveTo>
                <a:lnTo>
                  <a:pt x="88823" y="207467"/>
                </a:lnTo>
                <a:lnTo>
                  <a:pt x="80149" y="205549"/>
                </a:lnTo>
                <a:lnTo>
                  <a:pt x="80149" y="205346"/>
                </a:lnTo>
                <a:lnTo>
                  <a:pt x="85598" y="202831"/>
                </a:lnTo>
                <a:lnTo>
                  <a:pt x="90030" y="197383"/>
                </a:lnTo>
                <a:lnTo>
                  <a:pt x="90030" y="191122"/>
                </a:lnTo>
                <a:lnTo>
                  <a:pt x="88366" y="182549"/>
                </a:lnTo>
                <a:lnTo>
                  <a:pt x="83794" y="176580"/>
                </a:lnTo>
                <a:lnTo>
                  <a:pt x="76873" y="173088"/>
                </a:lnTo>
                <a:lnTo>
                  <a:pt x="68237" y="171945"/>
                </a:lnTo>
                <a:lnTo>
                  <a:pt x="58813" y="173647"/>
                </a:lnTo>
                <a:lnTo>
                  <a:pt x="51993" y="178396"/>
                </a:lnTo>
                <a:lnTo>
                  <a:pt x="47790" y="185699"/>
                </a:lnTo>
                <a:lnTo>
                  <a:pt x="46139" y="195059"/>
                </a:lnTo>
                <a:lnTo>
                  <a:pt x="54711" y="195059"/>
                </a:lnTo>
                <a:lnTo>
                  <a:pt x="54800" y="186677"/>
                </a:lnTo>
                <a:lnTo>
                  <a:pt x="58839" y="179514"/>
                </a:lnTo>
                <a:lnTo>
                  <a:pt x="75501" y="179514"/>
                </a:lnTo>
                <a:lnTo>
                  <a:pt x="80949" y="183553"/>
                </a:lnTo>
                <a:lnTo>
                  <a:pt x="80949" y="198793"/>
                </a:lnTo>
                <a:lnTo>
                  <a:pt x="74599" y="202730"/>
                </a:lnTo>
                <a:lnTo>
                  <a:pt x="63588" y="202628"/>
                </a:lnTo>
                <a:lnTo>
                  <a:pt x="63588" y="209892"/>
                </a:lnTo>
                <a:lnTo>
                  <a:pt x="67017" y="209588"/>
                </a:lnTo>
                <a:lnTo>
                  <a:pt x="77216" y="209588"/>
                </a:lnTo>
                <a:lnTo>
                  <a:pt x="83985" y="214337"/>
                </a:lnTo>
                <a:lnTo>
                  <a:pt x="83985" y="231978"/>
                </a:lnTo>
                <a:lnTo>
                  <a:pt x="76822" y="237134"/>
                </a:lnTo>
                <a:lnTo>
                  <a:pt x="58648" y="237134"/>
                </a:lnTo>
                <a:lnTo>
                  <a:pt x="53505" y="230670"/>
                </a:lnTo>
                <a:lnTo>
                  <a:pt x="53187" y="221386"/>
                </a:lnTo>
                <a:lnTo>
                  <a:pt x="44627" y="221386"/>
                </a:lnTo>
                <a:lnTo>
                  <a:pt x="46177" y="231254"/>
                </a:lnTo>
                <a:lnTo>
                  <a:pt x="50965" y="238569"/>
                </a:lnTo>
                <a:lnTo>
                  <a:pt x="58534" y="243128"/>
                </a:lnTo>
                <a:lnTo>
                  <a:pt x="68427" y="244703"/>
                </a:lnTo>
                <a:lnTo>
                  <a:pt x="77952" y="243319"/>
                </a:lnTo>
                <a:lnTo>
                  <a:pt x="85788" y="239179"/>
                </a:lnTo>
                <a:lnTo>
                  <a:pt x="91109" y="232359"/>
                </a:lnTo>
                <a:lnTo>
                  <a:pt x="93065" y="222910"/>
                </a:lnTo>
                <a:lnTo>
                  <a:pt x="93065" y="214337"/>
                </a:lnTo>
                <a:close/>
              </a:path>
              <a:path w="1800860" h="1577340">
                <a:moveTo>
                  <a:pt x="209550" y="270662"/>
                </a:moveTo>
                <a:lnTo>
                  <a:pt x="109537" y="250647"/>
                </a:lnTo>
                <a:lnTo>
                  <a:pt x="109537" y="290652"/>
                </a:lnTo>
                <a:lnTo>
                  <a:pt x="209550" y="270662"/>
                </a:lnTo>
                <a:close/>
              </a:path>
              <a:path w="1800860" h="1577340">
                <a:moveTo>
                  <a:pt x="306324" y="79197"/>
                </a:moveTo>
                <a:lnTo>
                  <a:pt x="206298" y="99212"/>
                </a:lnTo>
                <a:lnTo>
                  <a:pt x="306324" y="119189"/>
                </a:lnTo>
                <a:lnTo>
                  <a:pt x="306324" y="79197"/>
                </a:lnTo>
                <a:close/>
              </a:path>
              <a:path w="1800860" h="1577340">
                <a:moveTo>
                  <a:pt x="349199" y="250647"/>
                </a:moveTo>
                <a:lnTo>
                  <a:pt x="249174" y="270662"/>
                </a:lnTo>
                <a:lnTo>
                  <a:pt x="349199" y="290652"/>
                </a:lnTo>
                <a:lnTo>
                  <a:pt x="349199" y="250647"/>
                </a:lnTo>
                <a:close/>
              </a:path>
              <a:path w="1800860" h="1577340">
                <a:moveTo>
                  <a:pt x="379374" y="1556842"/>
                </a:moveTo>
                <a:lnTo>
                  <a:pt x="279374" y="1536839"/>
                </a:lnTo>
                <a:lnTo>
                  <a:pt x="279374" y="1576844"/>
                </a:lnTo>
                <a:lnTo>
                  <a:pt x="379374" y="1556842"/>
                </a:lnTo>
                <a:close/>
              </a:path>
              <a:path w="1800860" h="1577340">
                <a:moveTo>
                  <a:pt x="609600" y="1536839"/>
                </a:moveTo>
                <a:lnTo>
                  <a:pt x="509574" y="1556842"/>
                </a:lnTo>
                <a:lnTo>
                  <a:pt x="609600" y="1576844"/>
                </a:lnTo>
                <a:lnTo>
                  <a:pt x="609600" y="1536839"/>
                </a:lnTo>
                <a:close/>
              </a:path>
              <a:path w="1800860" h="1577340">
                <a:moveTo>
                  <a:pt x="674852" y="1503540"/>
                </a:moveTo>
                <a:lnTo>
                  <a:pt x="665175" y="1503540"/>
                </a:lnTo>
                <a:lnTo>
                  <a:pt x="665175" y="1468539"/>
                </a:lnTo>
                <a:lnTo>
                  <a:pt x="665175" y="1456309"/>
                </a:lnTo>
                <a:lnTo>
                  <a:pt x="658317" y="1456309"/>
                </a:lnTo>
                <a:lnTo>
                  <a:pt x="657098" y="1458061"/>
                </a:lnTo>
                <a:lnTo>
                  <a:pt x="657098" y="1468539"/>
                </a:lnTo>
                <a:lnTo>
                  <a:pt x="657098" y="1503540"/>
                </a:lnTo>
                <a:lnTo>
                  <a:pt x="633095" y="1503540"/>
                </a:lnTo>
                <a:lnTo>
                  <a:pt x="656894" y="1468539"/>
                </a:lnTo>
                <a:lnTo>
                  <a:pt x="657098" y="1468539"/>
                </a:lnTo>
                <a:lnTo>
                  <a:pt x="657098" y="1458061"/>
                </a:lnTo>
                <a:lnTo>
                  <a:pt x="625729" y="1502829"/>
                </a:lnTo>
                <a:lnTo>
                  <a:pt x="625729" y="1511096"/>
                </a:lnTo>
                <a:lnTo>
                  <a:pt x="657098" y="1511096"/>
                </a:lnTo>
                <a:lnTo>
                  <a:pt x="657098" y="1527860"/>
                </a:lnTo>
                <a:lnTo>
                  <a:pt x="665175" y="1527860"/>
                </a:lnTo>
                <a:lnTo>
                  <a:pt x="665175" y="1511096"/>
                </a:lnTo>
                <a:lnTo>
                  <a:pt x="674852" y="1511096"/>
                </a:lnTo>
                <a:lnTo>
                  <a:pt x="674852" y="1503540"/>
                </a:lnTo>
                <a:close/>
              </a:path>
              <a:path w="1800860" h="1577340">
                <a:moveTo>
                  <a:pt x="731329" y="1505051"/>
                </a:moveTo>
                <a:lnTo>
                  <a:pt x="729983" y="1496771"/>
                </a:lnTo>
                <a:lnTo>
                  <a:pt x="729945" y="1496568"/>
                </a:lnTo>
                <a:lnTo>
                  <a:pt x="729830" y="1495844"/>
                </a:lnTo>
                <a:lnTo>
                  <a:pt x="726059" y="1489405"/>
                </a:lnTo>
                <a:lnTo>
                  <a:pt x="725512" y="1488478"/>
                </a:lnTo>
                <a:lnTo>
                  <a:pt x="722236" y="1486166"/>
                </a:lnTo>
                <a:lnTo>
                  <a:pt x="722236" y="1496771"/>
                </a:lnTo>
                <a:lnTo>
                  <a:pt x="722236" y="1514132"/>
                </a:lnTo>
                <a:lnTo>
                  <a:pt x="717092" y="1521498"/>
                </a:lnTo>
                <a:lnTo>
                  <a:pt x="698423" y="1521498"/>
                </a:lnTo>
                <a:lnTo>
                  <a:pt x="692975" y="1514424"/>
                </a:lnTo>
                <a:lnTo>
                  <a:pt x="692975" y="1496568"/>
                </a:lnTo>
                <a:lnTo>
                  <a:pt x="696887" y="1491234"/>
                </a:lnTo>
                <a:lnTo>
                  <a:pt x="698233" y="1489405"/>
                </a:lnTo>
                <a:lnTo>
                  <a:pt x="717600" y="1489405"/>
                </a:lnTo>
                <a:lnTo>
                  <a:pt x="722236" y="1496771"/>
                </a:lnTo>
                <a:lnTo>
                  <a:pt x="722236" y="1486166"/>
                </a:lnTo>
                <a:lnTo>
                  <a:pt x="718616" y="1483601"/>
                </a:lnTo>
                <a:lnTo>
                  <a:pt x="709409" y="1481836"/>
                </a:lnTo>
                <a:lnTo>
                  <a:pt x="701662" y="1481836"/>
                </a:lnTo>
                <a:lnTo>
                  <a:pt x="695591" y="1484680"/>
                </a:lnTo>
                <a:lnTo>
                  <a:pt x="691553" y="1491234"/>
                </a:lnTo>
                <a:lnTo>
                  <a:pt x="691362" y="1491018"/>
                </a:lnTo>
                <a:lnTo>
                  <a:pt x="692175" y="1482140"/>
                </a:lnTo>
                <a:lnTo>
                  <a:pt x="694702" y="1473327"/>
                </a:lnTo>
                <a:lnTo>
                  <a:pt x="699884" y="1466570"/>
                </a:lnTo>
                <a:lnTo>
                  <a:pt x="708723" y="1463878"/>
                </a:lnTo>
                <a:lnTo>
                  <a:pt x="715479" y="1463878"/>
                </a:lnTo>
                <a:lnTo>
                  <a:pt x="719912" y="1468120"/>
                </a:lnTo>
                <a:lnTo>
                  <a:pt x="720712" y="1474571"/>
                </a:lnTo>
                <a:lnTo>
                  <a:pt x="729297" y="1474571"/>
                </a:lnTo>
                <a:lnTo>
                  <a:pt x="709117" y="1456309"/>
                </a:lnTo>
                <a:lnTo>
                  <a:pt x="696404" y="1459534"/>
                </a:lnTo>
                <a:lnTo>
                  <a:pt x="688301" y="1468120"/>
                </a:lnTo>
                <a:lnTo>
                  <a:pt x="684022" y="1480375"/>
                </a:lnTo>
                <a:lnTo>
                  <a:pt x="682777" y="1494663"/>
                </a:lnTo>
                <a:lnTo>
                  <a:pt x="683539" y="1505051"/>
                </a:lnTo>
                <a:lnTo>
                  <a:pt x="683641" y="1506372"/>
                </a:lnTo>
                <a:lnTo>
                  <a:pt x="687146" y="1517497"/>
                </a:lnTo>
                <a:lnTo>
                  <a:pt x="694613" y="1525790"/>
                </a:lnTo>
                <a:lnTo>
                  <a:pt x="707402" y="1529054"/>
                </a:lnTo>
                <a:lnTo>
                  <a:pt x="718756" y="1526768"/>
                </a:lnTo>
                <a:lnTo>
                  <a:pt x="725436" y="1521498"/>
                </a:lnTo>
                <a:lnTo>
                  <a:pt x="726135" y="1520952"/>
                </a:lnTo>
                <a:lnTo>
                  <a:pt x="730123" y="1513192"/>
                </a:lnTo>
                <a:lnTo>
                  <a:pt x="731126" y="1506372"/>
                </a:lnTo>
                <a:lnTo>
                  <a:pt x="731253" y="1505546"/>
                </a:lnTo>
                <a:lnTo>
                  <a:pt x="731329" y="1505051"/>
                </a:lnTo>
                <a:close/>
              </a:path>
              <a:path w="1800860" h="1577340">
                <a:moveTo>
                  <a:pt x="894994" y="63982"/>
                </a:moveTo>
                <a:lnTo>
                  <a:pt x="856856" y="63982"/>
                </a:lnTo>
                <a:lnTo>
                  <a:pt x="856856" y="0"/>
                </a:lnTo>
                <a:lnTo>
                  <a:pt x="847267" y="0"/>
                </a:lnTo>
                <a:lnTo>
                  <a:pt x="847267" y="72047"/>
                </a:lnTo>
                <a:lnTo>
                  <a:pt x="894994" y="72047"/>
                </a:lnTo>
                <a:lnTo>
                  <a:pt x="894994" y="63982"/>
                </a:lnTo>
                <a:close/>
              </a:path>
              <a:path w="1800860" h="1577340">
                <a:moveTo>
                  <a:pt x="1550974" y="270662"/>
                </a:moveTo>
                <a:lnTo>
                  <a:pt x="1450949" y="250647"/>
                </a:lnTo>
                <a:lnTo>
                  <a:pt x="1450949" y="290652"/>
                </a:lnTo>
                <a:lnTo>
                  <a:pt x="1550974" y="270662"/>
                </a:lnTo>
                <a:close/>
              </a:path>
              <a:path w="1800860" h="1577340">
                <a:moveTo>
                  <a:pt x="1593837" y="99212"/>
                </a:moveTo>
                <a:lnTo>
                  <a:pt x="1493812" y="79197"/>
                </a:lnTo>
                <a:lnTo>
                  <a:pt x="1493812" y="119189"/>
                </a:lnTo>
                <a:lnTo>
                  <a:pt x="1593837" y="99212"/>
                </a:lnTo>
                <a:close/>
              </a:path>
              <a:path w="1800860" h="1577340">
                <a:moveTo>
                  <a:pt x="1690624" y="250647"/>
                </a:moveTo>
                <a:lnTo>
                  <a:pt x="1590586" y="270662"/>
                </a:lnTo>
                <a:lnTo>
                  <a:pt x="1690624" y="290652"/>
                </a:lnTo>
                <a:lnTo>
                  <a:pt x="1690624" y="250647"/>
                </a:lnTo>
                <a:close/>
              </a:path>
              <a:path w="1800860" h="1577340">
                <a:moveTo>
                  <a:pt x="1734705" y="171970"/>
                </a:moveTo>
                <a:lnTo>
                  <a:pt x="1728152" y="171970"/>
                </a:lnTo>
                <a:lnTo>
                  <a:pt x="1726234" y="182765"/>
                </a:lnTo>
                <a:lnTo>
                  <a:pt x="1717370" y="185381"/>
                </a:lnTo>
                <a:lnTo>
                  <a:pt x="1707565" y="185381"/>
                </a:lnTo>
                <a:lnTo>
                  <a:pt x="1707565" y="192252"/>
                </a:lnTo>
                <a:lnTo>
                  <a:pt x="1726158" y="192252"/>
                </a:lnTo>
                <a:lnTo>
                  <a:pt x="1726158" y="243509"/>
                </a:lnTo>
                <a:lnTo>
                  <a:pt x="1734705" y="243509"/>
                </a:lnTo>
                <a:lnTo>
                  <a:pt x="1734705" y="171970"/>
                </a:lnTo>
                <a:close/>
              </a:path>
              <a:path w="1800860" h="1577340">
                <a:moveTo>
                  <a:pt x="1800631" y="214337"/>
                </a:moveTo>
                <a:lnTo>
                  <a:pt x="1796402" y="207467"/>
                </a:lnTo>
                <a:lnTo>
                  <a:pt x="1787702" y="205549"/>
                </a:lnTo>
                <a:lnTo>
                  <a:pt x="1787702" y="205346"/>
                </a:lnTo>
                <a:lnTo>
                  <a:pt x="1793176" y="202831"/>
                </a:lnTo>
                <a:lnTo>
                  <a:pt x="1797608" y="197383"/>
                </a:lnTo>
                <a:lnTo>
                  <a:pt x="1797608" y="191122"/>
                </a:lnTo>
                <a:lnTo>
                  <a:pt x="1795945" y="182549"/>
                </a:lnTo>
                <a:lnTo>
                  <a:pt x="1791360" y="176580"/>
                </a:lnTo>
                <a:lnTo>
                  <a:pt x="1784438" y="173088"/>
                </a:lnTo>
                <a:lnTo>
                  <a:pt x="1775790" y="171945"/>
                </a:lnTo>
                <a:lnTo>
                  <a:pt x="1766366" y="173647"/>
                </a:lnTo>
                <a:lnTo>
                  <a:pt x="1759559" y="178396"/>
                </a:lnTo>
                <a:lnTo>
                  <a:pt x="1755355" y="185699"/>
                </a:lnTo>
                <a:lnTo>
                  <a:pt x="1753717" y="195059"/>
                </a:lnTo>
                <a:lnTo>
                  <a:pt x="1762277" y="195059"/>
                </a:lnTo>
                <a:lnTo>
                  <a:pt x="1762366" y="186677"/>
                </a:lnTo>
                <a:lnTo>
                  <a:pt x="1766417" y="179514"/>
                </a:lnTo>
                <a:lnTo>
                  <a:pt x="1783067" y="179514"/>
                </a:lnTo>
                <a:lnTo>
                  <a:pt x="1788515" y="183553"/>
                </a:lnTo>
                <a:lnTo>
                  <a:pt x="1788515" y="198793"/>
                </a:lnTo>
                <a:lnTo>
                  <a:pt x="1782165" y="202730"/>
                </a:lnTo>
                <a:lnTo>
                  <a:pt x="1771154" y="202628"/>
                </a:lnTo>
                <a:lnTo>
                  <a:pt x="1771154" y="209892"/>
                </a:lnTo>
                <a:lnTo>
                  <a:pt x="1774583" y="209588"/>
                </a:lnTo>
                <a:lnTo>
                  <a:pt x="1784781" y="209588"/>
                </a:lnTo>
                <a:lnTo>
                  <a:pt x="1791563" y="214337"/>
                </a:lnTo>
                <a:lnTo>
                  <a:pt x="1791563" y="231978"/>
                </a:lnTo>
                <a:lnTo>
                  <a:pt x="1784375" y="237134"/>
                </a:lnTo>
                <a:lnTo>
                  <a:pt x="1766214" y="237134"/>
                </a:lnTo>
                <a:lnTo>
                  <a:pt x="1761070" y="230670"/>
                </a:lnTo>
                <a:lnTo>
                  <a:pt x="1760753" y="221386"/>
                </a:lnTo>
                <a:lnTo>
                  <a:pt x="1752206" y="221386"/>
                </a:lnTo>
                <a:lnTo>
                  <a:pt x="1753743" y="231254"/>
                </a:lnTo>
                <a:lnTo>
                  <a:pt x="1758530" y="238569"/>
                </a:lnTo>
                <a:lnTo>
                  <a:pt x="1766100" y="243128"/>
                </a:lnTo>
                <a:lnTo>
                  <a:pt x="1775993" y="244703"/>
                </a:lnTo>
                <a:lnTo>
                  <a:pt x="1785505" y="243319"/>
                </a:lnTo>
                <a:lnTo>
                  <a:pt x="1793341" y="239179"/>
                </a:lnTo>
                <a:lnTo>
                  <a:pt x="1798662" y="232359"/>
                </a:lnTo>
                <a:lnTo>
                  <a:pt x="1800631" y="222910"/>
                </a:lnTo>
                <a:lnTo>
                  <a:pt x="1800631" y="214337"/>
                </a:lnTo>
                <a:close/>
              </a:path>
            </a:pathLst>
          </a:custGeom>
          <a:solidFill>
            <a:srgbClr val="000000"/>
          </a:solidFill>
        </xdr:spPr>
      </xdr:sp>
    </xdr:grpSp>
    <xdr:clientData/>
  </xdr:oneCellAnchor>
  <xdr:oneCellAnchor>
    <xdr:from>
      <xdr:col>0</xdr:col>
      <xdr:colOff>56561</xdr:colOff>
      <xdr:row>8</xdr:row>
      <xdr:rowOff>203761</xdr:rowOff>
    </xdr:from>
    <xdr:ext cx="1875388" cy="461683"/>
    <xdr:pic>
      <xdr:nvPicPr>
        <xdr:cNvPr id="47" name="image41.png">
          <a:extLst>
            <a:ext uri="{FF2B5EF4-FFF2-40B4-BE49-F238E27FC236}">
              <a16:creationId xmlns:a16="http://schemas.microsoft.com/office/drawing/2014/main" id="{D9CF2548-0084-406D-AD33-305D3080F5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61" y="2591361"/>
          <a:ext cx="1875388" cy="461683"/>
        </a:xfrm>
        <a:prstGeom prst="rect">
          <a:avLst/>
        </a:prstGeom>
      </xdr:spPr>
    </xdr:pic>
    <xdr:clientData/>
  </xdr:oneCellAnchor>
  <xdr:oneCellAnchor>
    <xdr:from>
      <xdr:col>5</xdr:col>
      <xdr:colOff>0</xdr:colOff>
      <xdr:row>7</xdr:row>
      <xdr:rowOff>207333</xdr:rowOff>
    </xdr:from>
    <xdr:ext cx="137160" cy="40005"/>
    <xdr:grpSp>
      <xdr:nvGrpSpPr>
        <xdr:cNvPr id="48" name="Group 304">
          <a:extLst>
            <a:ext uri="{FF2B5EF4-FFF2-40B4-BE49-F238E27FC236}">
              <a16:creationId xmlns:a16="http://schemas.microsoft.com/office/drawing/2014/main" id="{EE42E051-A9E2-4110-8135-4B3767AAB6F5}"/>
            </a:ext>
          </a:extLst>
        </xdr:cNvPr>
        <xdr:cNvGrpSpPr/>
      </xdr:nvGrpSpPr>
      <xdr:grpSpPr>
        <a:xfrm>
          <a:off x="2476500" y="2464758"/>
          <a:ext cx="137160" cy="40005"/>
          <a:chOff x="0" y="0"/>
          <a:chExt cx="137160" cy="40005"/>
        </a:xfrm>
      </xdr:grpSpPr>
      <xdr:sp macro="" textlink="">
        <xdr:nvSpPr>
          <xdr:cNvPr id="49" name="Shape 305">
            <a:extLst>
              <a:ext uri="{FF2B5EF4-FFF2-40B4-BE49-F238E27FC236}">
                <a16:creationId xmlns:a16="http://schemas.microsoft.com/office/drawing/2014/main" id="{52DCC606-475C-E4FA-9B48-22C3F56DC698}"/>
              </a:ext>
            </a:extLst>
          </xdr:cNvPr>
          <xdr:cNvSpPr/>
        </xdr:nvSpPr>
        <xdr:spPr>
          <a:xfrm>
            <a:off x="56588" y="20008"/>
            <a:ext cx="80645" cy="0"/>
          </a:xfrm>
          <a:custGeom>
            <a:avLst/>
            <a:gdLst/>
            <a:ahLst/>
            <a:cxnLst/>
            <a:rect l="0" t="0" r="0" b="0"/>
            <a:pathLst>
              <a:path w="80645">
                <a:moveTo>
                  <a:pt x="0" y="0"/>
                </a:moveTo>
                <a:lnTo>
                  <a:pt x="80543" y="0"/>
                </a:lnTo>
              </a:path>
            </a:pathLst>
          </a:custGeom>
          <a:ln w="6045">
            <a:solidFill>
              <a:srgbClr val="000000"/>
            </a:solidFill>
          </a:ln>
        </xdr:spPr>
      </xdr:sp>
      <xdr:sp macro="" textlink="">
        <xdr:nvSpPr>
          <xdr:cNvPr id="50" name="Shape 306">
            <a:extLst>
              <a:ext uri="{FF2B5EF4-FFF2-40B4-BE49-F238E27FC236}">
                <a16:creationId xmlns:a16="http://schemas.microsoft.com/office/drawing/2014/main" id="{93B43B01-CE06-2870-5971-7258F142996F}"/>
              </a:ext>
            </a:extLst>
          </xdr:cNvPr>
          <xdr:cNvSpPr/>
        </xdr:nvSpPr>
        <xdr:spPr>
          <a:xfrm>
            <a:off x="0" y="0"/>
            <a:ext cx="100330" cy="40005"/>
          </a:xfrm>
          <a:custGeom>
            <a:avLst/>
            <a:gdLst/>
            <a:ahLst/>
            <a:cxnLst/>
            <a:rect l="0" t="0" r="0" b="0"/>
            <a:pathLst>
              <a:path w="100330" h="40005">
                <a:moveTo>
                  <a:pt x="99999" y="0"/>
                </a:moveTo>
                <a:lnTo>
                  <a:pt x="0" y="20002"/>
                </a:lnTo>
                <a:lnTo>
                  <a:pt x="99999" y="40005"/>
                </a:lnTo>
                <a:lnTo>
                  <a:pt x="99999" y="0"/>
                </a:lnTo>
                <a:close/>
              </a:path>
            </a:pathLst>
          </a:custGeom>
          <a:solidFill>
            <a:srgbClr val="000000"/>
          </a:solidFill>
        </xdr:spPr>
      </xdr:sp>
    </xdr:grpSp>
    <xdr:clientData/>
  </xdr:oneCellAnchor>
  <xdr:oneCellAnchor>
    <xdr:from>
      <xdr:col>5</xdr:col>
      <xdr:colOff>0</xdr:colOff>
      <xdr:row>7</xdr:row>
      <xdr:rowOff>127599</xdr:rowOff>
    </xdr:from>
    <xdr:ext cx="217804" cy="120014"/>
    <xdr:grpSp>
      <xdr:nvGrpSpPr>
        <xdr:cNvPr id="51" name="Group 307">
          <a:extLst>
            <a:ext uri="{FF2B5EF4-FFF2-40B4-BE49-F238E27FC236}">
              <a16:creationId xmlns:a16="http://schemas.microsoft.com/office/drawing/2014/main" id="{ABB349C0-F917-4598-BACA-A21417072A1E}"/>
            </a:ext>
          </a:extLst>
        </xdr:cNvPr>
        <xdr:cNvGrpSpPr/>
      </xdr:nvGrpSpPr>
      <xdr:grpSpPr>
        <a:xfrm>
          <a:off x="2476500" y="2385024"/>
          <a:ext cx="217804" cy="120014"/>
          <a:chOff x="0" y="0"/>
          <a:chExt cx="217804" cy="120014"/>
        </a:xfrm>
      </xdr:grpSpPr>
      <xdr:sp macro="" textlink="">
        <xdr:nvSpPr>
          <xdr:cNvPr id="52" name="Shape 308">
            <a:extLst>
              <a:ext uri="{FF2B5EF4-FFF2-40B4-BE49-F238E27FC236}">
                <a16:creationId xmlns:a16="http://schemas.microsoft.com/office/drawing/2014/main" id="{BEDE92BD-855A-F82D-9EC0-86D5797F221F}"/>
              </a:ext>
            </a:extLst>
          </xdr:cNvPr>
          <xdr:cNvSpPr/>
        </xdr:nvSpPr>
        <xdr:spPr>
          <a:xfrm>
            <a:off x="0" y="99747"/>
            <a:ext cx="160655" cy="0"/>
          </a:xfrm>
          <a:custGeom>
            <a:avLst/>
            <a:gdLst/>
            <a:ahLst/>
            <a:cxnLst/>
            <a:rect l="0" t="0" r="0" b="0"/>
            <a:pathLst>
              <a:path w="160655">
                <a:moveTo>
                  <a:pt x="160642" y="0"/>
                </a:moveTo>
                <a:lnTo>
                  <a:pt x="0" y="0"/>
                </a:lnTo>
              </a:path>
            </a:pathLst>
          </a:custGeom>
          <a:ln w="6045">
            <a:solidFill>
              <a:srgbClr val="000000"/>
            </a:solidFill>
          </a:ln>
        </xdr:spPr>
      </xdr:sp>
      <xdr:sp macro="" textlink="">
        <xdr:nvSpPr>
          <xdr:cNvPr id="53" name="Shape 309">
            <a:extLst>
              <a:ext uri="{FF2B5EF4-FFF2-40B4-BE49-F238E27FC236}">
                <a16:creationId xmlns:a16="http://schemas.microsoft.com/office/drawing/2014/main" id="{D039E116-518C-3AA2-15E4-2E63F03315C6}"/>
              </a:ext>
            </a:extLst>
          </xdr:cNvPr>
          <xdr:cNvSpPr/>
        </xdr:nvSpPr>
        <xdr:spPr>
          <a:xfrm>
            <a:off x="27853" y="0"/>
            <a:ext cx="189865" cy="120014"/>
          </a:xfrm>
          <a:custGeom>
            <a:avLst/>
            <a:gdLst/>
            <a:ahLst/>
            <a:cxnLst/>
            <a:rect l="0" t="0" r="0" b="0"/>
            <a:pathLst>
              <a:path w="189865" h="120014">
                <a:moveTo>
                  <a:pt x="27139" y="495"/>
                </a:moveTo>
                <a:lnTo>
                  <a:pt x="20561" y="495"/>
                </a:lnTo>
                <a:lnTo>
                  <a:pt x="18669" y="11303"/>
                </a:lnTo>
                <a:lnTo>
                  <a:pt x="9779" y="13919"/>
                </a:lnTo>
                <a:lnTo>
                  <a:pt x="0" y="13919"/>
                </a:lnTo>
                <a:lnTo>
                  <a:pt x="0" y="20777"/>
                </a:lnTo>
                <a:lnTo>
                  <a:pt x="18567" y="20777"/>
                </a:lnTo>
                <a:lnTo>
                  <a:pt x="18567" y="72047"/>
                </a:lnTo>
                <a:lnTo>
                  <a:pt x="27139" y="72047"/>
                </a:lnTo>
                <a:lnTo>
                  <a:pt x="27139" y="495"/>
                </a:lnTo>
                <a:close/>
              </a:path>
              <a:path w="189865" h="120014">
                <a:moveTo>
                  <a:pt x="65125" y="0"/>
                </a:moveTo>
                <a:lnTo>
                  <a:pt x="58254" y="0"/>
                </a:lnTo>
                <a:lnTo>
                  <a:pt x="58254" y="26035"/>
                </a:lnTo>
                <a:lnTo>
                  <a:pt x="65125" y="26035"/>
                </a:lnTo>
                <a:lnTo>
                  <a:pt x="65125" y="0"/>
                </a:lnTo>
                <a:close/>
              </a:path>
              <a:path w="189865" h="120014">
                <a:moveTo>
                  <a:pt x="79248" y="0"/>
                </a:moveTo>
                <a:lnTo>
                  <a:pt x="72415" y="0"/>
                </a:lnTo>
                <a:lnTo>
                  <a:pt x="72415" y="26035"/>
                </a:lnTo>
                <a:lnTo>
                  <a:pt x="79248" y="26035"/>
                </a:lnTo>
                <a:lnTo>
                  <a:pt x="79248" y="0"/>
                </a:lnTo>
                <a:close/>
              </a:path>
              <a:path w="189865" h="120014">
                <a:moveTo>
                  <a:pt x="189382" y="99745"/>
                </a:moveTo>
                <a:lnTo>
                  <a:pt x="89357" y="79743"/>
                </a:lnTo>
                <a:lnTo>
                  <a:pt x="89357" y="119748"/>
                </a:lnTo>
                <a:lnTo>
                  <a:pt x="189382" y="99745"/>
                </a:lnTo>
                <a:close/>
              </a:path>
            </a:pathLst>
          </a:custGeom>
          <a:solidFill>
            <a:srgbClr val="000000"/>
          </a:solidFill>
        </xdr:spPr>
      </xdr:sp>
    </xdr:grpSp>
    <xdr:clientData/>
  </xdr:oneCellAnchor>
  <xdr:oneCellAnchor>
    <xdr:from>
      <xdr:col>4</xdr:col>
      <xdr:colOff>33670</xdr:colOff>
      <xdr:row>33</xdr:row>
      <xdr:rowOff>534986</xdr:rowOff>
    </xdr:from>
    <xdr:ext cx="586105" cy="1460500"/>
    <xdr:grpSp>
      <xdr:nvGrpSpPr>
        <xdr:cNvPr id="54" name="Group 310">
          <a:extLst>
            <a:ext uri="{FF2B5EF4-FFF2-40B4-BE49-F238E27FC236}">
              <a16:creationId xmlns:a16="http://schemas.microsoft.com/office/drawing/2014/main" id="{81B50075-631D-4A46-AEE5-F7DB0AAFE7FC}"/>
            </a:ext>
          </a:extLst>
        </xdr:cNvPr>
        <xdr:cNvGrpSpPr/>
      </xdr:nvGrpSpPr>
      <xdr:grpSpPr>
        <a:xfrm>
          <a:off x="2014870" y="7392986"/>
          <a:ext cx="586105" cy="1460500"/>
          <a:chOff x="0" y="0"/>
          <a:chExt cx="586105" cy="1460500"/>
        </a:xfrm>
      </xdr:grpSpPr>
      <xdr:sp macro="" textlink="">
        <xdr:nvSpPr>
          <xdr:cNvPr id="55" name="Shape 311">
            <a:extLst>
              <a:ext uri="{FF2B5EF4-FFF2-40B4-BE49-F238E27FC236}">
                <a16:creationId xmlns:a16="http://schemas.microsoft.com/office/drawing/2014/main" id="{83820C3E-1484-1596-D111-CD86D9C40B89}"/>
              </a:ext>
            </a:extLst>
          </xdr:cNvPr>
          <xdr:cNvSpPr/>
        </xdr:nvSpPr>
        <xdr:spPr>
          <a:xfrm>
            <a:off x="242108" y="321278"/>
            <a:ext cx="284480" cy="864235"/>
          </a:xfrm>
          <a:custGeom>
            <a:avLst/>
            <a:gdLst/>
            <a:ahLst/>
            <a:cxnLst/>
            <a:rect l="0" t="0" r="0" b="0"/>
            <a:pathLst>
              <a:path w="284480" h="864235">
                <a:moveTo>
                  <a:pt x="248450" y="0"/>
                </a:moveTo>
                <a:lnTo>
                  <a:pt x="35763" y="0"/>
                </a:lnTo>
                <a:lnTo>
                  <a:pt x="21843" y="2810"/>
                </a:lnTo>
                <a:lnTo>
                  <a:pt x="10475" y="10475"/>
                </a:lnTo>
                <a:lnTo>
                  <a:pt x="2810" y="21843"/>
                </a:lnTo>
                <a:lnTo>
                  <a:pt x="0" y="35763"/>
                </a:lnTo>
                <a:lnTo>
                  <a:pt x="0" y="828090"/>
                </a:lnTo>
                <a:lnTo>
                  <a:pt x="2810" y="842002"/>
                </a:lnTo>
                <a:lnTo>
                  <a:pt x="10475" y="853366"/>
                </a:lnTo>
                <a:lnTo>
                  <a:pt x="21843" y="861030"/>
                </a:lnTo>
                <a:lnTo>
                  <a:pt x="35763" y="863841"/>
                </a:lnTo>
                <a:lnTo>
                  <a:pt x="248450" y="863841"/>
                </a:lnTo>
                <a:lnTo>
                  <a:pt x="262365" y="861030"/>
                </a:lnTo>
                <a:lnTo>
                  <a:pt x="273724" y="853366"/>
                </a:lnTo>
                <a:lnTo>
                  <a:pt x="281381" y="842002"/>
                </a:lnTo>
                <a:lnTo>
                  <a:pt x="284187" y="828090"/>
                </a:lnTo>
                <a:lnTo>
                  <a:pt x="284187" y="35763"/>
                </a:lnTo>
                <a:lnTo>
                  <a:pt x="281381" y="21843"/>
                </a:lnTo>
                <a:lnTo>
                  <a:pt x="273724" y="10475"/>
                </a:lnTo>
                <a:lnTo>
                  <a:pt x="262365" y="2810"/>
                </a:lnTo>
                <a:lnTo>
                  <a:pt x="248450" y="0"/>
                </a:lnTo>
                <a:close/>
              </a:path>
            </a:pathLst>
          </a:custGeom>
          <a:solidFill>
            <a:srgbClr val="E3E3E3"/>
          </a:solidFill>
        </xdr:spPr>
      </xdr:sp>
      <xdr:sp macro="" textlink="">
        <xdr:nvSpPr>
          <xdr:cNvPr id="56" name="Shape 312">
            <a:extLst>
              <a:ext uri="{FF2B5EF4-FFF2-40B4-BE49-F238E27FC236}">
                <a16:creationId xmlns:a16="http://schemas.microsoft.com/office/drawing/2014/main" id="{587804DD-8BE3-83C9-1B9D-711DACF6BAEF}"/>
              </a:ext>
            </a:extLst>
          </xdr:cNvPr>
          <xdr:cNvSpPr/>
        </xdr:nvSpPr>
        <xdr:spPr>
          <a:xfrm>
            <a:off x="313636" y="520380"/>
            <a:ext cx="140335" cy="463550"/>
          </a:xfrm>
          <a:custGeom>
            <a:avLst/>
            <a:gdLst/>
            <a:ahLst/>
            <a:cxnLst/>
            <a:rect l="0" t="0" r="0" b="0"/>
            <a:pathLst>
              <a:path w="140335" h="463550">
                <a:moveTo>
                  <a:pt x="34328" y="7696"/>
                </a:moveTo>
                <a:lnTo>
                  <a:pt x="26631" y="0"/>
                </a:lnTo>
                <a:lnTo>
                  <a:pt x="7683" y="0"/>
                </a:lnTo>
                <a:lnTo>
                  <a:pt x="0" y="7696"/>
                </a:lnTo>
                <a:lnTo>
                  <a:pt x="0" y="455688"/>
                </a:lnTo>
                <a:lnTo>
                  <a:pt x="7683" y="463384"/>
                </a:lnTo>
                <a:lnTo>
                  <a:pt x="26631" y="463384"/>
                </a:lnTo>
                <a:lnTo>
                  <a:pt x="34328" y="455688"/>
                </a:lnTo>
                <a:lnTo>
                  <a:pt x="34328" y="17170"/>
                </a:lnTo>
                <a:lnTo>
                  <a:pt x="34328" y="7696"/>
                </a:lnTo>
                <a:close/>
              </a:path>
              <a:path w="140335" h="463550">
                <a:moveTo>
                  <a:pt x="139979" y="17170"/>
                </a:moveTo>
                <a:lnTo>
                  <a:pt x="105651" y="17170"/>
                </a:lnTo>
                <a:lnTo>
                  <a:pt x="105651" y="455320"/>
                </a:lnTo>
                <a:lnTo>
                  <a:pt x="109093" y="455320"/>
                </a:lnTo>
                <a:lnTo>
                  <a:pt x="109093" y="462940"/>
                </a:lnTo>
                <a:lnTo>
                  <a:pt x="136537" y="462940"/>
                </a:lnTo>
                <a:lnTo>
                  <a:pt x="136537" y="455320"/>
                </a:lnTo>
                <a:lnTo>
                  <a:pt x="139979" y="455320"/>
                </a:lnTo>
                <a:lnTo>
                  <a:pt x="139979" y="17170"/>
                </a:lnTo>
                <a:close/>
              </a:path>
            </a:pathLst>
          </a:custGeom>
          <a:solidFill>
            <a:srgbClr val="FFFFFF"/>
          </a:solidFill>
        </xdr:spPr>
      </xdr:sp>
      <xdr:pic>
        <xdr:nvPicPr>
          <xdr:cNvPr id="57" name="image42.png">
            <a:extLst>
              <a:ext uri="{FF2B5EF4-FFF2-40B4-BE49-F238E27FC236}">
                <a16:creationId xmlns:a16="http://schemas.microsoft.com/office/drawing/2014/main" id="{63D51B28-1A92-2DF2-CE34-238A4B37EFB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12761" y="1027532"/>
            <a:ext cx="141757" cy="124129"/>
          </a:xfrm>
          <a:prstGeom prst="rect">
            <a:avLst/>
          </a:prstGeom>
        </xdr:spPr>
      </xdr:pic>
      <xdr:pic>
        <xdr:nvPicPr>
          <xdr:cNvPr id="58" name="image43.png">
            <a:extLst>
              <a:ext uri="{FF2B5EF4-FFF2-40B4-BE49-F238E27FC236}">
                <a16:creationId xmlns:a16="http://schemas.microsoft.com/office/drawing/2014/main" id="{8FF4701C-B7A5-0528-91DD-D04B0712B3A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2761" y="352477"/>
            <a:ext cx="141757" cy="124117"/>
          </a:xfrm>
          <a:prstGeom prst="rect">
            <a:avLst/>
          </a:prstGeom>
        </xdr:spPr>
      </xdr:pic>
      <xdr:sp macro="" textlink="">
        <xdr:nvSpPr>
          <xdr:cNvPr id="59" name="Shape 315">
            <a:extLst>
              <a:ext uri="{FF2B5EF4-FFF2-40B4-BE49-F238E27FC236}">
                <a16:creationId xmlns:a16="http://schemas.microsoft.com/office/drawing/2014/main" id="{C426A9A5-9453-B996-0594-53767F6E8C39}"/>
              </a:ext>
            </a:extLst>
          </xdr:cNvPr>
          <xdr:cNvSpPr/>
        </xdr:nvSpPr>
        <xdr:spPr>
          <a:xfrm>
            <a:off x="242048" y="355906"/>
            <a:ext cx="283210" cy="792480"/>
          </a:xfrm>
          <a:custGeom>
            <a:avLst/>
            <a:gdLst/>
            <a:ahLst/>
            <a:cxnLst/>
            <a:rect l="0" t="0" r="0" b="0"/>
            <a:pathLst>
              <a:path w="283210" h="792480">
                <a:moveTo>
                  <a:pt x="0" y="0"/>
                </a:moveTo>
                <a:lnTo>
                  <a:pt x="0" y="792327"/>
                </a:lnTo>
              </a:path>
              <a:path w="283210" h="792480">
                <a:moveTo>
                  <a:pt x="283184" y="792327"/>
                </a:moveTo>
                <a:lnTo>
                  <a:pt x="283184" y="0"/>
                </a:lnTo>
              </a:path>
            </a:pathLst>
          </a:custGeom>
          <a:ln w="10185">
            <a:solidFill>
              <a:srgbClr val="000000"/>
            </a:solidFill>
          </a:ln>
        </xdr:spPr>
      </xdr:sp>
      <xdr:pic>
        <xdr:nvPicPr>
          <xdr:cNvPr id="60" name="image44.png">
            <a:extLst>
              <a:ext uri="{FF2B5EF4-FFF2-40B4-BE49-F238E27FC236}">
                <a16:creationId xmlns:a16="http://schemas.microsoft.com/office/drawing/2014/main" id="{DA1BADF2-FC44-2D97-9354-5896A71CA80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36955" y="315050"/>
            <a:ext cx="293370" cy="227583"/>
          </a:xfrm>
          <a:prstGeom prst="rect">
            <a:avLst/>
          </a:prstGeom>
        </xdr:spPr>
      </xdr:pic>
      <xdr:pic>
        <xdr:nvPicPr>
          <xdr:cNvPr id="61" name="image45.png">
            <a:extLst>
              <a:ext uri="{FF2B5EF4-FFF2-40B4-BE49-F238E27FC236}">
                <a16:creationId xmlns:a16="http://schemas.microsoft.com/office/drawing/2014/main" id="{321A69EE-9581-37CB-7B89-AC0659651EE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6955" y="961492"/>
            <a:ext cx="293370" cy="227583"/>
          </a:xfrm>
          <a:prstGeom prst="rect">
            <a:avLst/>
          </a:prstGeom>
        </xdr:spPr>
      </xdr:pic>
      <xdr:sp macro="" textlink="">
        <xdr:nvSpPr>
          <xdr:cNvPr id="62" name="Shape 318">
            <a:extLst>
              <a:ext uri="{FF2B5EF4-FFF2-40B4-BE49-F238E27FC236}">
                <a16:creationId xmlns:a16="http://schemas.microsoft.com/office/drawing/2014/main" id="{B716F801-83E9-1208-8E89-E005A9CCFECC}"/>
              </a:ext>
            </a:extLst>
          </xdr:cNvPr>
          <xdr:cNvSpPr/>
        </xdr:nvSpPr>
        <xdr:spPr>
          <a:xfrm>
            <a:off x="313587" y="537541"/>
            <a:ext cx="140335" cy="429259"/>
          </a:xfrm>
          <a:custGeom>
            <a:avLst/>
            <a:gdLst/>
            <a:ahLst/>
            <a:cxnLst/>
            <a:rect l="0" t="0" r="0" b="0"/>
            <a:pathLst>
              <a:path w="140335" h="429259">
                <a:moveTo>
                  <a:pt x="0" y="429044"/>
                </a:moveTo>
                <a:lnTo>
                  <a:pt x="0" y="0"/>
                </a:lnTo>
              </a:path>
              <a:path w="140335" h="429259">
                <a:moveTo>
                  <a:pt x="34302" y="429044"/>
                </a:moveTo>
                <a:lnTo>
                  <a:pt x="34302" y="0"/>
                </a:lnTo>
              </a:path>
              <a:path w="140335" h="429259">
                <a:moveTo>
                  <a:pt x="105829" y="429044"/>
                </a:moveTo>
                <a:lnTo>
                  <a:pt x="105829" y="0"/>
                </a:lnTo>
              </a:path>
              <a:path w="140335" h="429259">
                <a:moveTo>
                  <a:pt x="140157" y="429044"/>
                </a:moveTo>
                <a:lnTo>
                  <a:pt x="140157" y="0"/>
                </a:lnTo>
              </a:path>
            </a:pathLst>
          </a:custGeom>
          <a:ln w="10185">
            <a:solidFill>
              <a:srgbClr val="000000"/>
            </a:solidFill>
          </a:ln>
        </xdr:spPr>
      </xdr:sp>
      <xdr:sp macro="" textlink="">
        <xdr:nvSpPr>
          <xdr:cNvPr id="63" name="Shape 319">
            <a:extLst>
              <a:ext uri="{FF2B5EF4-FFF2-40B4-BE49-F238E27FC236}">
                <a16:creationId xmlns:a16="http://schemas.microsoft.com/office/drawing/2014/main" id="{963536E8-CDA2-3756-9CD9-764611262277}"/>
              </a:ext>
            </a:extLst>
          </xdr:cNvPr>
          <xdr:cNvSpPr/>
        </xdr:nvSpPr>
        <xdr:spPr>
          <a:xfrm>
            <a:off x="0" y="47096"/>
            <a:ext cx="586105" cy="1413510"/>
          </a:xfrm>
          <a:custGeom>
            <a:avLst/>
            <a:gdLst/>
            <a:ahLst/>
            <a:cxnLst/>
            <a:rect l="0" t="0" r="0" b="0"/>
            <a:pathLst>
              <a:path w="586105" h="1413510">
                <a:moveTo>
                  <a:pt x="242112" y="252729"/>
                </a:moveTo>
                <a:lnTo>
                  <a:pt x="242112" y="0"/>
                </a:lnTo>
              </a:path>
              <a:path w="586105" h="1413510">
                <a:moveTo>
                  <a:pt x="525602" y="252729"/>
                </a:moveTo>
                <a:lnTo>
                  <a:pt x="525602" y="0"/>
                </a:lnTo>
              </a:path>
              <a:path w="586105" h="1413510">
                <a:moveTo>
                  <a:pt x="302602" y="57213"/>
                </a:moveTo>
                <a:lnTo>
                  <a:pt x="468134" y="57213"/>
                </a:lnTo>
              </a:path>
              <a:path w="586105" h="1413510">
                <a:moveTo>
                  <a:pt x="504355" y="1354734"/>
                </a:moveTo>
                <a:lnTo>
                  <a:pt x="585749" y="1354734"/>
                </a:lnTo>
              </a:path>
              <a:path w="586105" h="1413510">
                <a:moveTo>
                  <a:pt x="230238" y="1354734"/>
                </a:moveTo>
                <a:lnTo>
                  <a:pt x="0" y="1354734"/>
                </a:lnTo>
              </a:path>
              <a:path w="586105" h="1413510">
                <a:moveTo>
                  <a:pt x="328193" y="1354734"/>
                </a:moveTo>
                <a:lnTo>
                  <a:pt x="440689" y="1354734"/>
                </a:lnTo>
              </a:path>
              <a:path w="586105" h="1413510">
                <a:moveTo>
                  <a:pt x="383628" y="455879"/>
                </a:moveTo>
                <a:lnTo>
                  <a:pt x="383628" y="278739"/>
                </a:lnTo>
              </a:path>
              <a:path w="586105" h="1413510">
                <a:moveTo>
                  <a:pt x="300075" y="367423"/>
                </a:moveTo>
                <a:lnTo>
                  <a:pt x="467232" y="367423"/>
                </a:lnTo>
              </a:path>
              <a:path w="586105" h="1413510">
                <a:moveTo>
                  <a:pt x="383628" y="954049"/>
                </a:moveTo>
                <a:lnTo>
                  <a:pt x="383628" y="1131214"/>
                </a:lnTo>
              </a:path>
              <a:path w="586105" h="1413510">
                <a:moveTo>
                  <a:pt x="302132" y="1042492"/>
                </a:moveTo>
                <a:lnTo>
                  <a:pt x="465175" y="1042492"/>
                </a:lnTo>
              </a:path>
              <a:path w="586105" h="1413510">
                <a:moveTo>
                  <a:pt x="440689" y="1099705"/>
                </a:moveTo>
                <a:lnTo>
                  <a:pt x="440689" y="1413103"/>
                </a:lnTo>
              </a:path>
              <a:path w="586105" h="1413510">
                <a:moveTo>
                  <a:pt x="326605" y="1099705"/>
                </a:moveTo>
                <a:lnTo>
                  <a:pt x="326605" y="1413103"/>
                </a:lnTo>
              </a:path>
            </a:pathLst>
          </a:custGeom>
          <a:ln w="6108">
            <a:solidFill>
              <a:srgbClr val="000000"/>
            </a:solidFill>
          </a:ln>
        </xdr:spPr>
      </xdr:sp>
      <xdr:sp macro="" textlink="">
        <xdr:nvSpPr>
          <xdr:cNvPr id="64" name="Shape 320">
            <a:extLst>
              <a:ext uri="{FF2B5EF4-FFF2-40B4-BE49-F238E27FC236}">
                <a16:creationId xmlns:a16="http://schemas.microsoft.com/office/drawing/2014/main" id="{BF02F11F-AB7E-5AF7-87C7-DE1E1EBB85BB}"/>
              </a:ext>
            </a:extLst>
          </xdr:cNvPr>
          <xdr:cNvSpPr/>
        </xdr:nvSpPr>
        <xdr:spPr>
          <a:xfrm>
            <a:off x="16088" y="11"/>
            <a:ext cx="525780" cy="1422400"/>
          </a:xfrm>
          <a:custGeom>
            <a:avLst/>
            <a:gdLst/>
            <a:ahLst/>
            <a:cxnLst/>
            <a:rect l="0" t="0" r="0" b="0"/>
            <a:pathLst>
              <a:path w="525780" h="1422400">
                <a:moveTo>
                  <a:pt x="27419" y="1301597"/>
                </a:moveTo>
                <a:lnTo>
                  <a:pt x="20802" y="1301597"/>
                </a:lnTo>
                <a:lnTo>
                  <a:pt x="18859" y="1312506"/>
                </a:lnTo>
                <a:lnTo>
                  <a:pt x="9893" y="1315148"/>
                </a:lnTo>
                <a:lnTo>
                  <a:pt x="0" y="1315148"/>
                </a:lnTo>
                <a:lnTo>
                  <a:pt x="0" y="1322070"/>
                </a:lnTo>
                <a:lnTo>
                  <a:pt x="18757" y="1322070"/>
                </a:lnTo>
                <a:lnTo>
                  <a:pt x="18757" y="1373822"/>
                </a:lnTo>
                <a:lnTo>
                  <a:pt x="27419" y="1373822"/>
                </a:lnTo>
                <a:lnTo>
                  <a:pt x="27419" y="1301597"/>
                </a:lnTo>
                <a:close/>
              </a:path>
              <a:path w="525780" h="1422400">
                <a:moveTo>
                  <a:pt x="73177" y="1302893"/>
                </a:moveTo>
                <a:lnTo>
                  <a:pt x="68554" y="1302893"/>
                </a:lnTo>
                <a:lnTo>
                  <a:pt x="67183" y="1310513"/>
                </a:lnTo>
                <a:lnTo>
                  <a:pt x="60909" y="1312392"/>
                </a:lnTo>
                <a:lnTo>
                  <a:pt x="54000" y="1312392"/>
                </a:lnTo>
                <a:lnTo>
                  <a:pt x="54000" y="1317218"/>
                </a:lnTo>
                <a:lnTo>
                  <a:pt x="67106" y="1317218"/>
                </a:lnTo>
                <a:lnTo>
                  <a:pt x="67106" y="1353451"/>
                </a:lnTo>
                <a:lnTo>
                  <a:pt x="73177" y="1353451"/>
                </a:lnTo>
                <a:lnTo>
                  <a:pt x="73177" y="1302893"/>
                </a:lnTo>
                <a:close/>
              </a:path>
              <a:path w="525780" h="1422400">
                <a:moveTo>
                  <a:pt x="123202" y="1299362"/>
                </a:moveTo>
                <a:lnTo>
                  <a:pt x="115760" y="1299362"/>
                </a:lnTo>
                <a:lnTo>
                  <a:pt x="85610" y="1375562"/>
                </a:lnTo>
                <a:lnTo>
                  <a:pt x="93040" y="1375562"/>
                </a:lnTo>
                <a:lnTo>
                  <a:pt x="123202" y="1299362"/>
                </a:lnTo>
                <a:close/>
              </a:path>
              <a:path w="525780" h="1422400">
                <a:moveTo>
                  <a:pt x="158076" y="1356639"/>
                </a:moveTo>
                <a:lnTo>
                  <a:pt x="151231" y="1356639"/>
                </a:lnTo>
                <a:lnTo>
                  <a:pt x="151231" y="1331912"/>
                </a:lnTo>
                <a:lnTo>
                  <a:pt x="151231" y="1323276"/>
                </a:lnTo>
                <a:lnTo>
                  <a:pt x="146380" y="1323276"/>
                </a:lnTo>
                <a:lnTo>
                  <a:pt x="145529" y="1324495"/>
                </a:lnTo>
                <a:lnTo>
                  <a:pt x="145529" y="1331912"/>
                </a:lnTo>
                <a:lnTo>
                  <a:pt x="145529" y="1356639"/>
                </a:lnTo>
                <a:lnTo>
                  <a:pt x="128562" y="1356639"/>
                </a:lnTo>
                <a:lnTo>
                  <a:pt x="145389" y="1331912"/>
                </a:lnTo>
                <a:lnTo>
                  <a:pt x="145529" y="1331912"/>
                </a:lnTo>
                <a:lnTo>
                  <a:pt x="145529" y="1324495"/>
                </a:lnTo>
                <a:lnTo>
                  <a:pt x="123367" y="1356144"/>
                </a:lnTo>
                <a:lnTo>
                  <a:pt x="123367" y="1361986"/>
                </a:lnTo>
                <a:lnTo>
                  <a:pt x="145529" y="1361986"/>
                </a:lnTo>
                <a:lnTo>
                  <a:pt x="145529" y="1373822"/>
                </a:lnTo>
                <a:lnTo>
                  <a:pt x="151231" y="1373822"/>
                </a:lnTo>
                <a:lnTo>
                  <a:pt x="151231" y="1361986"/>
                </a:lnTo>
                <a:lnTo>
                  <a:pt x="158076" y="1361986"/>
                </a:lnTo>
                <a:lnTo>
                  <a:pt x="158076" y="1356639"/>
                </a:lnTo>
                <a:close/>
              </a:path>
              <a:path w="525780" h="1422400">
                <a:moveTo>
                  <a:pt x="179044" y="1301102"/>
                </a:moveTo>
                <a:lnTo>
                  <a:pt x="172123" y="1301102"/>
                </a:lnTo>
                <a:lnTo>
                  <a:pt x="172123" y="1327365"/>
                </a:lnTo>
                <a:lnTo>
                  <a:pt x="179044" y="1327365"/>
                </a:lnTo>
                <a:lnTo>
                  <a:pt x="179044" y="1301102"/>
                </a:lnTo>
                <a:close/>
              </a:path>
              <a:path w="525780" h="1422400">
                <a:moveTo>
                  <a:pt x="193281" y="1301102"/>
                </a:moveTo>
                <a:lnTo>
                  <a:pt x="186372" y="1301102"/>
                </a:lnTo>
                <a:lnTo>
                  <a:pt x="186372" y="1327365"/>
                </a:lnTo>
                <a:lnTo>
                  <a:pt x="193281" y="1327365"/>
                </a:lnTo>
                <a:lnTo>
                  <a:pt x="193281" y="1301102"/>
                </a:lnTo>
                <a:close/>
              </a:path>
              <a:path w="525780" h="1422400">
                <a:moveTo>
                  <a:pt x="308648" y="1401826"/>
                </a:moveTo>
                <a:lnTo>
                  <a:pt x="207581" y="1381607"/>
                </a:lnTo>
                <a:lnTo>
                  <a:pt x="207581" y="1422031"/>
                </a:lnTo>
                <a:lnTo>
                  <a:pt x="308648" y="1401826"/>
                </a:lnTo>
                <a:close/>
              </a:path>
              <a:path w="525780" h="1422400">
                <a:moveTo>
                  <a:pt x="316293" y="0"/>
                </a:moveTo>
                <a:lnTo>
                  <a:pt x="309676" y="0"/>
                </a:lnTo>
                <a:lnTo>
                  <a:pt x="307733" y="10896"/>
                </a:lnTo>
                <a:lnTo>
                  <a:pt x="298767" y="13550"/>
                </a:lnTo>
                <a:lnTo>
                  <a:pt x="288874" y="13550"/>
                </a:lnTo>
                <a:lnTo>
                  <a:pt x="288874" y="20472"/>
                </a:lnTo>
                <a:lnTo>
                  <a:pt x="307632" y="20472"/>
                </a:lnTo>
                <a:lnTo>
                  <a:pt x="307632" y="72224"/>
                </a:lnTo>
                <a:lnTo>
                  <a:pt x="316293" y="72224"/>
                </a:lnTo>
                <a:lnTo>
                  <a:pt x="316293" y="0"/>
                </a:lnTo>
                <a:close/>
              </a:path>
              <a:path w="525780" h="1422400">
                <a:moveTo>
                  <a:pt x="328193" y="84086"/>
                </a:moveTo>
                <a:lnTo>
                  <a:pt x="227101" y="104305"/>
                </a:lnTo>
                <a:lnTo>
                  <a:pt x="328193" y="124498"/>
                </a:lnTo>
                <a:lnTo>
                  <a:pt x="328193" y="84086"/>
                </a:lnTo>
                <a:close/>
              </a:path>
              <a:path w="525780" h="1422400">
                <a:moveTo>
                  <a:pt x="389001" y="36766"/>
                </a:moveTo>
                <a:lnTo>
                  <a:pt x="388429" y="24269"/>
                </a:lnTo>
                <a:lnTo>
                  <a:pt x="385470" y="12382"/>
                </a:lnTo>
                <a:lnTo>
                  <a:pt x="381635" y="7645"/>
                </a:lnTo>
                <a:lnTo>
                  <a:pt x="379857" y="5448"/>
                </a:lnTo>
                <a:lnTo>
                  <a:pt x="379857" y="36766"/>
                </a:lnTo>
                <a:lnTo>
                  <a:pt x="379603" y="45770"/>
                </a:lnTo>
                <a:lnTo>
                  <a:pt x="377952" y="55283"/>
                </a:lnTo>
                <a:lnTo>
                  <a:pt x="373532" y="62763"/>
                </a:lnTo>
                <a:lnTo>
                  <a:pt x="364985" y="65798"/>
                </a:lnTo>
                <a:lnTo>
                  <a:pt x="356425" y="62763"/>
                </a:lnTo>
                <a:lnTo>
                  <a:pt x="352005" y="55283"/>
                </a:lnTo>
                <a:lnTo>
                  <a:pt x="350354" y="45770"/>
                </a:lnTo>
                <a:lnTo>
                  <a:pt x="350113" y="36766"/>
                </a:lnTo>
                <a:lnTo>
                  <a:pt x="350354" y="27609"/>
                </a:lnTo>
                <a:lnTo>
                  <a:pt x="379857" y="36766"/>
                </a:lnTo>
                <a:lnTo>
                  <a:pt x="379857" y="5448"/>
                </a:lnTo>
                <a:lnTo>
                  <a:pt x="378282" y="3492"/>
                </a:lnTo>
                <a:lnTo>
                  <a:pt x="364985" y="0"/>
                </a:lnTo>
                <a:lnTo>
                  <a:pt x="351675" y="3492"/>
                </a:lnTo>
                <a:lnTo>
                  <a:pt x="344474" y="12382"/>
                </a:lnTo>
                <a:lnTo>
                  <a:pt x="341515" y="24269"/>
                </a:lnTo>
                <a:lnTo>
                  <a:pt x="340944" y="36766"/>
                </a:lnTo>
                <a:lnTo>
                  <a:pt x="341515" y="49199"/>
                </a:lnTo>
                <a:lnTo>
                  <a:pt x="344474" y="61061"/>
                </a:lnTo>
                <a:lnTo>
                  <a:pt x="351675" y="69938"/>
                </a:lnTo>
                <a:lnTo>
                  <a:pt x="364985" y="73444"/>
                </a:lnTo>
                <a:lnTo>
                  <a:pt x="378282" y="69938"/>
                </a:lnTo>
                <a:lnTo>
                  <a:pt x="381635" y="65798"/>
                </a:lnTo>
                <a:lnTo>
                  <a:pt x="385470" y="61061"/>
                </a:lnTo>
                <a:lnTo>
                  <a:pt x="388429" y="49199"/>
                </a:lnTo>
                <a:lnTo>
                  <a:pt x="389001" y="36766"/>
                </a:lnTo>
                <a:close/>
              </a:path>
              <a:path w="525780" h="1422400">
                <a:moveTo>
                  <a:pt x="445643" y="36766"/>
                </a:moveTo>
                <a:lnTo>
                  <a:pt x="445071" y="24269"/>
                </a:lnTo>
                <a:lnTo>
                  <a:pt x="442112" y="12382"/>
                </a:lnTo>
                <a:lnTo>
                  <a:pt x="438264" y="7645"/>
                </a:lnTo>
                <a:lnTo>
                  <a:pt x="436473" y="5435"/>
                </a:lnTo>
                <a:lnTo>
                  <a:pt x="436473" y="36766"/>
                </a:lnTo>
                <a:lnTo>
                  <a:pt x="436232" y="45770"/>
                </a:lnTo>
                <a:lnTo>
                  <a:pt x="434581" y="55283"/>
                </a:lnTo>
                <a:lnTo>
                  <a:pt x="430161" y="62763"/>
                </a:lnTo>
                <a:lnTo>
                  <a:pt x="421627" y="65798"/>
                </a:lnTo>
                <a:lnTo>
                  <a:pt x="413054" y="62763"/>
                </a:lnTo>
                <a:lnTo>
                  <a:pt x="408635" y="55283"/>
                </a:lnTo>
                <a:lnTo>
                  <a:pt x="406971" y="45770"/>
                </a:lnTo>
                <a:lnTo>
                  <a:pt x="406730" y="36766"/>
                </a:lnTo>
                <a:lnTo>
                  <a:pt x="406971" y="27609"/>
                </a:lnTo>
                <a:lnTo>
                  <a:pt x="436473" y="36766"/>
                </a:lnTo>
                <a:lnTo>
                  <a:pt x="436473" y="5435"/>
                </a:lnTo>
                <a:lnTo>
                  <a:pt x="434911" y="3492"/>
                </a:lnTo>
                <a:lnTo>
                  <a:pt x="421627" y="0"/>
                </a:lnTo>
                <a:lnTo>
                  <a:pt x="408317" y="3492"/>
                </a:lnTo>
                <a:lnTo>
                  <a:pt x="401104" y="12382"/>
                </a:lnTo>
                <a:lnTo>
                  <a:pt x="398132" y="24269"/>
                </a:lnTo>
                <a:lnTo>
                  <a:pt x="397560" y="36766"/>
                </a:lnTo>
                <a:lnTo>
                  <a:pt x="398132" y="49199"/>
                </a:lnTo>
                <a:lnTo>
                  <a:pt x="401104" y="61061"/>
                </a:lnTo>
                <a:lnTo>
                  <a:pt x="408317" y="69938"/>
                </a:lnTo>
                <a:lnTo>
                  <a:pt x="421627" y="73444"/>
                </a:lnTo>
                <a:lnTo>
                  <a:pt x="434911" y="69938"/>
                </a:lnTo>
                <a:lnTo>
                  <a:pt x="438277" y="65798"/>
                </a:lnTo>
                <a:lnTo>
                  <a:pt x="442112" y="61061"/>
                </a:lnTo>
                <a:lnTo>
                  <a:pt x="445071" y="49199"/>
                </a:lnTo>
                <a:lnTo>
                  <a:pt x="445643" y="36766"/>
                </a:lnTo>
                <a:close/>
              </a:path>
              <a:path w="525780" h="1422400">
                <a:moveTo>
                  <a:pt x="506717" y="104305"/>
                </a:moveTo>
                <a:lnTo>
                  <a:pt x="405663" y="84086"/>
                </a:lnTo>
                <a:lnTo>
                  <a:pt x="405663" y="124498"/>
                </a:lnTo>
                <a:lnTo>
                  <a:pt x="506717" y="104305"/>
                </a:lnTo>
                <a:close/>
              </a:path>
              <a:path w="525780" h="1422400">
                <a:moveTo>
                  <a:pt x="525564" y="1381607"/>
                </a:moveTo>
                <a:lnTo>
                  <a:pt x="424510" y="1401826"/>
                </a:lnTo>
                <a:lnTo>
                  <a:pt x="525564" y="1422031"/>
                </a:lnTo>
                <a:lnTo>
                  <a:pt x="525564" y="1381607"/>
                </a:lnTo>
                <a:close/>
              </a:path>
            </a:pathLst>
          </a:custGeom>
          <a:solidFill>
            <a:srgbClr val="000000"/>
          </a:solidFill>
        </xdr:spPr>
      </xdr:sp>
    </xdr:grpSp>
    <xdr:clientData/>
  </xdr:oneCellAnchor>
  <xdr:oneCellAnchor>
    <xdr:from>
      <xdr:col>0</xdr:col>
      <xdr:colOff>61436</xdr:colOff>
      <xdr:row>33</xdr:row>
      <xdr:rowOff>2161615</xdr:rowOff>
    </xdr:from>
    <xdr:ext cx="1895475" cy="554355"/>
    <xdr:grpSp>
      <xdr:nvGrpSpPr>
        <xdr:cNvPr id="65" name="Group 321">
          <a:extLst>
            <a:ext uri="{FF2B5EF4-FFF2-40B4-BE49-F238E27FC236}">
              <a16:creationId xmlns:a16="http://schemas.microsoft.com/office/drawing/2014/main" id="{2F684BDA-91CE-47F7-B477-5A09B795F30B}"/>
            </a:ext>
          </a:extLst>
        </xdr:cNvPr>
        <xdr:cNvGrpSpPr/>
      </xdr:nvGrpSpPr>
      <xdr:grpSpPr>
        <a:xfrm>
          <a:off x="61436" y="9019615"/>
          <a:ext cx="1895475" cy="554355"/>
          <a:chOff x="0" y="0"/>
          <a:chExt cx="1895475" cy="554355"/>
        </a:xfrm>
      </xdr:grpSpPr>
      <xdr:sp macro="" textlink="">
        <xdr:nvSpPr>
          <xdr:cNvPr id="66" name="Shape 322">
            <a:extLst>
              <a:ext uri="{FF2B5EF4-FFF2-40B4-BE49-F238E27FC236}">
                <a16:creationId xmlns:a16="http://schemas.microsoft.com/office/drawing/2014/main" id="{65A15149-2DE2-B7B1-2607-A4A780D068E5}"/>
              </a:ext>
            </a:extLst>
          </xdr:cNvPr>
          <xdr:cNvSpPr/>
        </xdr:nvSpPr>
        <xdr:spPr>
          <a:xfrm>
            <a:off x="493947" y="130685"/>
            <a:ext cx="1396365" cy="281940"/>
          </a:xfrm>
          <a:custGeom>
            <a:avLst/>
            <a:gdLst/>
            <a:ahLst/>
            <a:cxnLst/>
            <a:rect l="0" t="0" r="0" b="0"/>
            <a:pathLst>
              <a:path w="1396365" h="281940">
                <a:moveTo>
                  <a:pt x="171640" y="214630"/>
                </a:moveTo>
                <a:lnTo>
                  <a:pt x="40055" y="214630"/>
                </a:lnTo>
                <a:lnTo>
                  <a:pt x="40055" y="218440"/>
                </a:lnTo>
                <a:lnTo>
                  <a:pt x="43611" y="222250"/>
                </a:lnTo>
                <a:lnTo>
                  <a:pt x="64122" y="223520"/>
                </a:lnTo>
                <a:lnTo>
                  <a:pt x="70091" y="229870"/>
                </a:lnTo>
                <a:lnTo>
                  <a:pt x="70091" y="246380"/>
                </a:lnTo>
                <a:lnTo>
                  <a:pt x="72898" y="260350"/>
                </a:lnTo>
                <a:lnTo>
                  <a:pt x="80556" y="271780"/>
                </a:lnTo>
                <a:lnTo>
                  <a:pt x="91919" y="279400"/>
                </a:lnTo>
                <a:lnTo>
                  <a:pt x="105841" y="281940"/>
                </a:lnTo>
                <a:lnTo>
                  <a:pt x="119753" y="279400"/>
                </a:lnTo>
                <a:lnTo>
                  <a:pt x="131117" y="271780"/>
                </a:lnTo>
                <a:lnTo>
                  <a:pt x="138781" y="260350"/>
                </a:lnTo>
                <a:lnTo>
                  <a:pt x="141592" y="246380"/>
                </a:lnTo>
                <a:lnTo>
                  <a:pt x="141592" y="229870"/>
                </a:lnTo>
                <a:lnTo>
                  <a:pt x="147548" y="223520"/>
                </a:lnTo>
                <a:lnTo>
                  <a:pt x="168059" y="222250"/>
                </a:lnTo>
                <a:lnTo>
                  <a:pt x="171640" y="218440"/>
                </a:lnTo>
                <a:lnTo>
                  <a:pt x="171640" y="214630"/>
                </a:lnTo>
                <a:close/>
              </a:path>
              <a:path w="1396365" h="281940">
                <a:moveTo>
                  <a:pt x="303199" y="214630"/>
                </a:moveTo>
                <a:lnTo>
                  <a:pt x="171640" y="214630"/>
                </a:lnTo>
                <a:lnTo>
                  <a:pt x="171640" y="218440"/>
                </a:lnTo>
                <a:lnTo>
                  <a:pt x="175221" y="222250"/>
                </a:lnTo>
                <a:lnTo>
                  <a:pt x="195694" y="223520"/>
                </a:lnTo>
                <a:lnTo>
                  <a:pt x="201676" y="229870"/>
                </a:lnTo>
                <a:lnTo>
                  <a:pt x="201676" y="246380"/>
                </a:lnTo>
                <a:lnTo>
                  <a:pt x="204481" y="260350"/>
                </a:lnTo>
                <a:lnTo>
                  <a:pt x="212136" y="271780"/>
                </a:lnTo>
                <a:lnTo>
                  <a:pt x="223498" y="279400"/>
                </a:lnTo>
                <a:lnTo>
                  <a:pt x="237426" y="281940"/>
                </a:lnTo>
                <a:lnTo>
                  <a:pt x="251331" y="279400"/>
                </a:lnTo>
                <a:lnTo>
                  <a:pt x="262691" y="271780"/>
                </a:lnTo>
                <a:lnTo>
                  <a:pt x="270353" y="260350"/>
                </a:lnTo>
                <a:lnTo>
                  <a:pt x="273164" y="246380"/>
                </a:lnTo>
                <a:lnTo>
                  <a:pt x="273164" y="229870"/>
                </a:lnTo>
                <a:lnTo>
                  <a:pt x="279107" y="223520"/>
                </a:lnTo>
                <a:lnTo>
                  <a:pt x="299643" y="222250"/>
                </a:lnTo>
                <a:lnTo>
                  <a:pt x="303199" y="218440"/>
                </a:lnTo>
                <a:lnTo>
                  <a:pt x="303199" y="214630"/>
                </a:lnTo>
                <a:close/>
              </a:path>
              <a:path w="1396365" h="281940">
                <a:moveTo>
                  <a:pt x="434797" y="214630"/>
                </a:moveTo>
                <a:lnTo>
                  <a:pt x="303199" y="214630"/>
                </a:lnTo>
                <a:lnTo>
                  <a:pt x="303199" y="218440"/>
                </a:lnTo>
                <a:lnTo>
                  <a:pt x="306781" y="222250"/>
                </a:lnTo>
                <a:lnTo>
                  <a:pt x="327291" y="223520"/>
                </a:lnTo>
                <a:lnTo>
                  <a:pt x="333248" y="229870"/>
                </a:lnTo>
                <a:lnTo>
                  <a:pt x="333248" y="246380"/>
                </a:lnTo>
                <a:lnTo>
                  <a:pt x="336056" y="260350"/>
                </a:lnTo>
                <a:lnTo>
                  <a:pt x="343717" y="271780"/>
                </a:lnTo>
                <a:lnTo>
                  <a:pt x="355081" y="279400"/>
                </a:lnTo>
                <a:lnTo>
                  <a:pt x="368998" y="281940"/>
                </a:lnTo>
                <a:lnTo>
                  <a:pt x="382921" y="279400"/>
                </a:lnTo>
                <a:lnTo>
                  <a:pt x="394284" y="271780"/>
                </a:lnTo>
                <a:lnTo>
                  <a:pt x="401941" y="260350"/>
                </a:lnTo>
                <a:lnTo>
                  <a:pt x="404749" y="246380"/>
                </a:lnTo>
                <a:lnTo>
                  <a:pt x="404749" y="229870"/>
                </a:lnTo>
                <a:lnTo>
                  <a:pt x="410705" y="223520"/>
                </a:lnTo>
                <a:lnTo>
                  <a:pt x="431215" y="222250"/>
                </a:lnTo>
                <a:lnTo>
                  <a:pt x="434797" y="218440"/>
                </a:lnTo>
                <a:lnTo>
                  <a:pt x="434797" y="214630"/>
                </a:lnTo>
                <a:close/>
              </a:path>
              <a:path w="1396365" h="281940">
                <a:moveTo>
                  <a:pt x="566369" y="214630"/>
                </a:moveTo>
                <a:lnTo>
                  <a:pt x="434797" y="214630"/>
                </a:lnTo>
                <a:lnTo>
                  <a:pt x="434797" y="218440"/>
                </a:lnTo>
                <a:lnTo>
                  <a:pt x="438353" y="222250"/>
                </a:lnTo>
                <a:lnTo>
                  <a:pt x="458851" y="223520"/>
                </a:lnTo>
                <a:lnTo>
                  <a:pt x="464820" y="229870"/>
                </a:lnTo>
                <a:lnTo>
                  <a:pt x="464820" y="246380"/>
                </a:lnTo>
                <a:lnTo>
                  <a:pt x="467627" y="260350"/>
                </a:lnTo>
                <a:lnTo>
                  <a:pt x="475287" y="271780"/>
                </a:lnTo>
                <a:lnTo>
                  <a:pt x="486658" y="279400"/>
                </a:lnTo>
                <a:lnTo>
                  <a:pt x="500595" y="281940"/>
                </a:lnTo>
                <a:lnTo>
                  <a:pt x="514493" y="279400"/>
                </a:lnTo>
                <a:lnTo>
                  <a:pt x="525849" y="271780"/>
                </a:lnTo>
                <a:lnTo>
                  <a:pt x="533510" y="260350"/>
                </a:lnTo>
                <a:lnTo>
                  <a:pt x="536321" y="246380"/>
                </a:lnTo>
                <a:lnTo>
                  <a:pt x="536321" y="229870"/>
                </a:lnTo>
                <a:lnTo>
                  <a:pt x="542277" y="223520"/>
                </a:lnTo>
                <a:lnTo>
                  <a:pt x="562800" y="222250"/>
                </a:lnTo>
                <a:lnTo>
                  <a:pt x="566369" y="218440"/>
                </a:lnTo>
                <a:lnTo>
                  <a:pt x="566369" y="214630"/>
                </a:lnTo>
                <a:close/>
              </a:path>
              <a:path w="1396365" h="281940">
                <a:moveTo>
                  <a:pt x="697953" y="214630"/>
                </a:moveTo>
                <a:lnTo>
                  <a:pt x="566369" y="214630"/>
                </a:lnTo>
                <a:lnTo>
                  <a:pt x="566369" y="218440"/>
                </a:lnTo>
                <a:lnTo>
                  <a:pt x="569950" y="222250"/>
                </a:lnTo>
                <a:lnTo>
                  <a:pt x="590423" y="223520"/>
                </a:lnTo>
                <a:lnTo>
                  <a:pt x="596404" y="229870"/>
                </a:lnTo>
                <a:lnTo>
                  <a:pt x="596404" y="246380"/>
                </a:lnTo>
                <a:lnTo>
                  <a:pt x="599210" y="260350"/>
                </a:lnTo>
                <a:lnTo>
                  <a:pt x="606864" y="271780"/>
                </a:lnTo>
                <a:lnTo>
                  <a:pt x="618227" y="279400"/>
                </a:lnTo>
                <a:lnTo>
                  <a:pt x="632155" y="281940"/>
                </a:lnTo>
                <a:lnTo>
                  <a:pt x="646059" y="279400"/>
                </a:lnTo>
                <a:lnTo>
                  <a:pt x="657420" y="271780"/>
                </a:lnTo>
                <a:lnTo>
                  <a:pt x="665082" y="260350"/>
                </a:lnTo>
                <a:lnTo>
                  <a:pt x="667893" y="246380"/>
                </a:lnTo>
                <a:lnTo>
                  <a:pt x="667893" y="229870"/>
                </a:lnTo>
                <a:lnTo>
                  <a:pt x="673836" y="223520"/>
                </a:lnTo>
                <a:lnTo>
                  <a:pt x="694372" y="222250"/>
                </a:lnTo>
                <a:lnTo>
                  <a:pt x="697953" y="218440"/>
                </a:lnTo>
                <a:lnTo>
                  <a:pt x="697953" y="214630"/>
                </a:lnTo>
                <a:close/>
              </a:path>
              <a:path w="1396365" h="281940">
                <a:moveTo>
                  <a:pt x="829525" y="214630"/>
                </a:moveTo>
                <a:lnTo>
                  <a:pt x="697953" y="214630"/>
                </a:lnTo>
                <a:lnTo>
                  <a:pt x="697953" y="218440"/>
                </a:lnTo>
                <a:lnTo>
                  <a:pt x="701509" y="222250"/>
                </a:lnTo>
                <a:lnTo>
                  <a:pt x="722033" y="223520"/>
                </a:lnTo>
                <a:lnTo>
                  <a:pt x="727976" y="229870"/>
                </a:lnTo>
                <a:lnTo>
                  <a:pt x="727976" y="246380"/>
                </a:lnTo>
                <a:lnTo>
                  <a:pt x="730785" y="260350"/>
                </a:lnTo>
                <a:lnTo>
                  <a:pt x="738446" y="271780"/>
                </a:lnTo>
                <a:lnTo>
                  <a:pt x="749809" y="279400"/>
                </a:lnTo>
                <a:lnTo>
                  <a:pt x="763727" y="281940"/>
                </a:lnTo>
                <a:lnTo>
                  <a:pt x="777649" y="279400"/>
                </a:lnTo>
                <a:lnTo>
                  <a:pt x="789012" y="271780"/>
                </a:lnTo>
                <a:lnTo>
                  <a:pt x="796670" y="260350"/>
                </a:lnTo>
                <a:lnTo>
                  <a:pt x="799477" y="246380"/>
                </a:lnTo>
                <a:lnTo>
                  <a:pt x="799477" y="229870"/>
                </a:lnTo>
                <a:lnTo>
                  <a:pt x="805434" y="223520"/>
                </a:lnTo>
                <a:lnTo>
                  <a:pt x="825944" y="222250"/>
                </a:lnTo>
                <a:lnTo>
                  <a:pt x="829525" y="218440"/>
                </a:lnTo>
                <a:lnTo>
                  <a:pt x="829525" y="214630"/>
                </a:lnTo>
                <a:close/>
              </a:path>
              <a:path w="1396365" h="281940">
                <a:moveTo>
                  <a:pt x="961097" y="214630"/>
                </a:moveTo>
                <a:lnTo>
                  <a:pt x="829525" y="214630"/>
                </a:lnTo>
                <a:lnTo>
                  <a:pt x="829525" y="218440"/>
                </a:lnTo>
                <a:lnTo>
                  <a:pt x="833081" y="222250"/>
                </a:lnTo>
                <a:lnTo>
                  <a:pt x="853579" y="223520"/>
                </a:lnTo>
                <a:lnTo>
                  <a:pt x="859561" y="229870"/>
                </a:lnTo>
                <a:lnTo>
                  <a:pt x="859561" y="246380"/>
                </a:lnTo>
                <a:lnTo>
                  <a:pt x="862366" y="260350"/>
                </a:lnTo>
                <a:lnTo>
                  <a:pt x="870023" y="271780"/>
                </a:lnTo>
                <a:lnTo>
                  <a:pt x="881389" y="279400"/>
                </a:lnTo>
                <a:lnTo>
                  <a:pt x="895324" y="281940"/>
                </a:lnTo>
                <a:lnTo>
                  <a:pt x="909221" y="279400"/>
                </a:lnTo>
                <a:lnTo>
                  <a:pt x="920578" y="271780"/>
                </a:lnTo>
                <a:lnTo>
                  <a:pt x="928239" y="260350"/>
                </a:lnTo>
                <a:lnTo>
                  <a:pt x="931049" y="246380"/>
                </a:lnTo>
                <a:lnTo>
                  <a:pt x="931049" y="229870"/>
                </a:lnTo>
                <a:lnTo>
                  <a:pt x="937006" y="223520"/>
                </a:lnTo>
                <a:lnTo>
                  <a:pt x="957529" y="222250"/>
                </a:lnTo>
                <a:lnTo>
                  <a:pt x="961097" y="218440"/>
                </a:lnTo>
                <a:lnTo>
                  <a:pt x="961097" y="214630"/>
                </a:lnTo>
                <a:close/>
              </a:path>
              <a:path w="1396365" h="281940">
                <a:moveTo>
                  <a:pt x="1092682" y="214630"/>
                </a:moveTo>
                <a:lnTo>
                  <a:pt x="961097" y="214630"/>
                </a:lnTo>
                <a:lnTo>
                  <a:pt x="961097" y="218440"/>
                </a:lnTo>
                <a:lnTo>
                  <a:pt x="964679" y="222250"/>
                </a:lnTo>
                <a:lnTo>
                  <a:pt x="985189" y="223520"/>
                </a:lnTo>
                <a:lnTo>
                  <a:pt x="991133" y="229870"/>
                </a:lnTo>
                <a:lnTo>
                  <a:pt x="991133" y="246380"/>
                </a:lnTo>
                <a:lnTo>
                  <a:pt x="993942" y="260350"/>
                </a:lnTo>
                <a:lnTo>
                  <a:pt x="1001602" y="271780"/>
                </a:lnTo>
                <a:lnTo>
                  <a:pt x="1012966" y="279400"/>
                </a:lnTo>
                <a:lnTo>
                  <a:pt x="1026883" y="281940"/>
                </a:lnTo>
                <a:lnTo>
                  <a:pt x="1040804" y="279400"/>
                </a:lnTo>
                <a:lnTo>
                  <a:pt x="1052163" y="271780"/>
                </a:lnTo>
                <a:lnTo>
                  <a:pt x="1059816" y="260350"/>
                </a:lnTo>
                <a:lnTo>
                  <a:pt x="1062621" y="246380"/>
                </a:lnTo>
                <a:lnTo>
                  <a:pt x="1062621" y="229870"/>
                </a:lnTo>
                <a:lnTo>
                  <a:pt x="1068590" y="223520"/>
                </a:lnTo>
                <a:lnTo>
                  <a:pt x="1089101" y="222250"/>
                </a:lnTo>
                <a:lnTo>
                  <a:pt x="1092682" y="218440"/>
                </a:lnTo>
                <a:lnTo>
                  <a:pt x="1092682" y="214630"/>
                </a:lnTo>
                <a:close/>
              </a:path>
              <a:path w="1396365" h="281940">
                <a:moveTo>
                  <a:pt x="1224254" y="214630"/>
                </a:moveTo>
                <a:lnTo>
                  <a:pt x="1092682" y="214630"/>
                </a:lnTo>
                <a:lnTo>
                  <a:pt x="1092682" y="218440"/>
                </a:lnTo>
                <a:lnTo>
                  <a:pt x="1096238" y="222250"/>
                </a:lnTo>
                <a:lnTo>
                  <a:pt x="1116761" y="223520"/>
                </a:lnTo>
                <a:lnTo>
                  <a:pt x="1122705" y="229870"/>
                </a:lnTo>
                <a:lnTo>
                  <a:pt x="1122705" y="246380"/>
                </a:lnTo>
                <a:lnTo>
                  <a:pt x="1125514" y="260350"/>
                </a:lnTo>
                <a:lnTo>
                  <a:pt x="1133174" y="271780"/>
                </a:lnTo>
                <a:lnTo>
                  <a:pt x="1144538" y="279400"/>
                </a:lnTo>
                <a:lnTo>
                  <a:pt x="1158455" y="281940"/>
                </a:lnTo>
                <a:lnTo>
                  <a:pt x="1172378" y="279400"/>
                </a:lnTo>
                <a:lnTo>
                  <a:pt x="1183741" y="271780"/>
                </a:lnTo>
                <a:lnTo>
                  <a:pt x="1191399" y="260350"/>
                </a:lnTo>
                <a:lnTo>
                  <a:pt x="1194206" y="246380"/>
                </a:lnTo>
                <a:lnTo>
                  <a:pt x="1194206" y="229870"/>
                </a:lnTo>
                <a:lnTo>
                  <a:pt x="1200162" y="223520"/>
                </a:lnTo>
                <a:lnTo>
                  <a:pt x="1220685" y="222250"/>
                </a:lnTo>
                <a:lnTo>
                  <a:pt x="1224254" y="218440"/>
                </a:lnTo>
                <a:lnTo>
                  <a:pt x="1224254" y="214630"/>
                </a:lnTo>
                <a:close/>
              </a:path>
              <a:path w="1396365" h="281940">
                <a:moveTo>
                  <a:pt x="1355826" y="214630"/>
                </a:moveTo>
                <a:lnTo>
                  <a:pt x="1224254" y="214630"/>
                </a:lnTo>
                <a:lnTo>
                  <a:pt x="1224254" y="218440"/>
                </a:lnTo>
                <a:lnTo>
                  <a:pt x="1227810" y="222250"/>
                </a:lnTo>
                <a:lnTo>
                  <a:pt x="1248308" y="223520"/>
                </a:lnTo>
                <a:lnTo>
                  <a:pt x="1254290" y="229870"/>
                </a:lnTo>
                <a:lnTo>
                  <a:pt x="1254290" y="246380"/>
                </a:lnTo>
                <a:lnTo>
                  <a:pt x="1257095" y="260350"/>
                </a:lnTo>
                <a:lnTo>
                  <a:pt x="1264751" y="271780"/>
                </a:lnTo>
                <a:lnTo>
                  <a:pt x="1276117" y="279400"/>
                </a:lnTo>
                <a:lnTo>
                  <a:pt x="1290053" y="281940"/>
                </a:lnTo>
                <a:lnTo>
                  <a:pt x="1303966" y="279400"/>
                </a:lnTo>
                <a:lnTo>
                  <a:pt x="1315321" y="271780"/>
                </a:lnTo>
                <a:lnTo>
                  <a:pt x="1322973" y="260350"/>
                </a:lnTo>
                <a:lnTo>
                  <a:pt x="1325778" y="246380"/>
                </a:lnTo>
                <a:lnTo>
                  <a:pt x="1325778" y="229870"/>
                </a:lnTo>
                <a:lnTo>
                  <a:pt x="1331734" y="223520"/>
                </a:lnTo>
                <a:lnTo>
                  <a:pt x="1347685" y="223520"/>
                </a:lnTo>
                <a:lnTo>
                  <a:pt x="1352257" y="222250"/>
                </a:lnTo>
                <a:lnTo>
                  <a:pt x="1355826" y="218440"/>
                </a:lnTo>
                <a:lnTo>
                  <a:pt x="1355826" y="214630"/>
                </a:lnTo>
                <a:close/>
              </a:path>
              <a:path w="1396365" h="281940">
                <a:moveTo>
                  <a:pt x="1367320" y="199390"/>
                </a:moveTo>
                <a:lnTo>
                  <a:pt x="28549" y="199390"/>
                </a:lnTo>
                <a:lnTo>
                  <a:pt x="31737" y="203200"/>
                </a:lnTo>
                <a:lnTo>
                  <a:pt x="31737" y="219710"/>
                </a:lnTo>
                <a:lnTo>
                  <a:pt x="33667" y="220980"/>
                </a:lnTo>
                <a:lnTo>
                  <a:pt x="40055" y="220980"/>
                </a:lnTo>
                <a:lnTo>
                  <a:pt x="40055" y="214630"/>
                </a:lnTo>
                <a:lnTo>
                  <a:pt x="1364145" y="214630"/>
                </a:lnTo>
                <a:lnTo>
                  <a:pt x="1364145" y="203200"/>
                </a:lnTo>
                <a:lnTo>
                  <a:pt x="1367320" y="199390"/>
                </a:lnTo>
                <a:close/>
              </a:path>
              <a:path w="1396365" h="281940">
                <a:moveTo>
                  <a:pt x="1364145" y="214630"/>
                </a:moveTo>
                <a:lnTo>
                  <a:pt x="1355826" y="214630"/>
                </a:lnTo>
                <a:lnTo>
                  <a:pt x="1355826" y="220980"/>
                </a:lnTo>
                <a:lnTo>
                  <a:pt x="1362189" y="220980"/>
                </a:lnTo>
                <a:lnTo>
                  <a:pt x="1364145" y="219710"/>
                </a:lnTo>
                <a:lnTo>
                  <a:pt x="1364145" y="214630"/>
                </a:lnTo>
                <a:close/>
              </a:path>
              <a:path w="1396365" h="281940">
                <a:moveTo>
                  <a:pt x="1393748" y="82550"/>
                </a:moveTo>
                <a:lnTo>
                  <a:pt x="2133" y="82550"/>
                </a:lnTo>
                <a:lnTo>
                  <a:pt x="342" y="83820"/>
                </a:lnTo>
                <a:lnTo>
                  <a:pt x="0" y="86360"/>
                </a:lnTo>
                <a:lnTo>
                  <a:pt x="0" y="195580"/>
                </a:lnTo>
                <a:lnTo>
                  <a:pt x="342" y="198120"/>
                </a:lnTo>
                <a:lnTo>
                  <a:pt x="2133" y="199390"/>
                </a:lnTo>
                <a:lnTo>
                  <a:pt x="1393748" y="199390"/>
                </a:lnTo>
                <a:lnTo>
                  <a:pt x="1395539" y="198120"/>
                </a:lnTo>
                <a:lnTo>
                  <a:pt x="1395869" y="195580"/>
                </a:lnTo>
                <a:lnTo>
                  <a:pt x="1395869" y="86360"/>
                </a:lnTo>
                <a:lnTo>
                  <a:pt x="1395539" y="83820"/>
                </a:lnTo>
                <a:lnTo>
                  <a:pt x="1393748" y="82550"/>
                </a:lnTo>
                <a:close/>
              </a:path>
              <a:path w="1396365" h="281940">
                <a:moveTo>
                  <a:pt x="40055" y="60960"/>
                </a:moveTo>
                <a:lnTo>
                  <a:pt x="33667" y="60960"/>
                </a:lnTo>
                <a:lnTo>
                  <a:pt x="31737" y="62230"/>
                </a:lnTo>
                <a:lnTo>
                  <a:pt x="31737" y="78740"/>
                </a:lnTo>
                <a:lnTo>
                  <a:pt x="28549" y="82550"/>
                </a:lnTo>
                <a:lnTo>
                  <a:pt x="1367320" y="82550"/>
                </a:lnTo>
                <a:lnTo>
                  <a:pt x="1364145" y="78740"/>
                </a:lnTo>
                <a:lnTo>
                  <a:pt x="1364145" y="67310"/>
                </a:lnTo>
                <a:lnTo>
                  <a:pt x="40055" y="67310"/>
                </a:lnTo>
                <a:lnTo>
                  <a:pt x="40055" y="60960"/>
                </a:lnTo>
                <a:close/>
              </a:path>
              <a:path w="1396365" h="281940">
                <a:moveTo>
                  <a:pt x="105841" y="0"/>
                </a:moveTo>
                <a:lnTo>
                  <a:pt x="91919" y="2540"/>
                </a:lnTo>
                <a:lnTo>
                  <a:pt x="80556" y="10160"/>
                </a:lnTo>
                <a:lnTo>
                  <a:pt x="72898" y="21590"/>
                </a:lnTo>
                <a:lnTo>
                  <a:pt x="70091" y="35560"/>
                </a:lnTo>
                <a:lnTo>
                  <a:pt x="70091" y="52070"/>
                </a:lnTo>
                <a:lnTo>
                  <a:pt x="64122" y="58420"/>
                </a:lnTo>
                <a:lnTo>
                  <a:pt x="43611" y="59690"/>
                </a:lnTo>
                <a:lnTo>
                  <a:pt x="40055" y="63500"/>
                </a:lnTo>
                <a:lnTo>
                  <a:pt x="40055" y="67310"/>
                </a:lnTo>
                <a:lnTo>
                  <a:pt x="171640" y="67310"/>
                </a:lnTo>
                <a:lnTo>
                  <a:pt x="171640" y="63500"/>
                </a:lnTo>
                <a:lnTo>
                  <a:pt x="168059" y="59690"/>
                </a:lnTo>
                <a:lnTo>
                  <a:pt x="147548" y="58420"/>
                </a:lnTo>
                <a:lnTo>
                  <a:pt x="141592" y="52070"/>
                </a:lnTo>
                <a:lnTo>
                  <a:pt x="141592" y="35560"/>
                </a:lnTo>
                <a:lnTo>
                  <a:pt x="138781" y="21590"/>
                </a:lnTo>
                <a:lnTo>
                  <a:pt x="131117" y="10160"/>
                </a:lnTo>
                <a:lnTo>
                  <a:pt x="119753" y="2540"/>
                </a:lnTo>
                <a:lnTo>
                  <a:pt x="105841" y="0"/>
                </a:lnTo>
                <a:close/>
              </a:path>
              <a:path w="1396365" h="281940">
                <a:moveTo>
                  <a:pt x="237426" y="0"/>
                </a:moveTo>
                <a:lnTo>
                  <a:pt x="223498" y="2540"/>
                </a:lnTo>
                <a:lnTo>
                  <a:pt x="212136" y="10160"/>
                </a:lnTo>
                <a:lnTo>
                  <a:pt x="204481" y="21590"/>
                </a:lnTo>
                <a:lnTo>
                  <a:pt x="201676" y="35560"/>
                </a:lnTo>
                <a:lnTo>
                  <a:pt x="201676" y="52070"/>
                </a:lnTo>
                <a:lnTo>
                  <a:pt x="195694" y="58420"/>
                </a:lnTo>
                <a:lnTo>
                  <a:pt x="175221" y="59690"/>
                </a:lnTo>
                <a:lnTo>
                  <a:pt x="171640" y="63500"/>
                </a:lnTo>
                <a:lnTo>
                  <a:pt x="171640" y="67310"/>
                </a:lnTo>
                <a:lnTo>
                  <a:pt x="303199" y="67310"/>
                </a:lnTo>
                <a:lnTo>
                  <a:pt x="303199" y="63500"/>
                </a:lnTo>
                <a:lnTo>
                  <a:pt x="299643" y="59690"/>
                </a:lnTo>
                <a:lnTo>
                  <a:pt x="279107" y="58420"/>
                </a:lnTo>
                <a:lnTo>
                  <a:pt x="273164" y="52070"/>
                </a:lnTo>
                <a:lnTo>
                  <a:pt x="273164" y="35560"/>
                </a:lnTo>
                <a:lnTo>
                  <a:pt x="270353" y="21590"/>
                </a:lnTo>
                <a:lnTo>
                  <a:pt x="262691" y="10160"/>
                </a:lnTo>
                <a:lnTo>
                  <a:pt x="251331" y="2540"/>
                </a:lnTo>
                <a:lnTo>
                  <a:pt x="237426" y="0"/>
                </a:lnTo>
                <a:close/>
              </a:path>
              <a:path w="1396365" h="281940">
                <a:moveTo>
                  <a:pt x="368998" y="0"/>
                </a:moveTo>
                <a:lnTo>
                  <a:pt x="355081" y="2540"/>
                </a:lnTo>
                <a:lnTo>
                  <a:pt x="343717" y="10160"/>
                </a:lnTo>
                <a:lnTo>
                  <a:pt x="336056" y="21590"/>
                </a:lnTo>
                <a:lnTo>
                  <a:pt x="333248" y="35560"/>
                </a:lnTo>
                <a:lnTo>
                  <a:pt x="333248" y="52070"/>
                </a:lnTo>
                <a:lnTo>
                  <a:pt x="327291" y="58420"/>
                </a:lnTo>
                <a:lnTo>
                  <a:pt x="306781" y="59690"/>
                </a:lnTo>
                <a:lnTo>
                  <a:pt x="303199" y="63500"/>
                </a:lnTo>
                <a:lnTo>
                  <a:pt x="303199" y="67310"/>
                </a:lnTo>
                <a:lnTo>
                  <a:pt x="434797" y="67310"/>
                </a:lnTo>
                <a:lnTo>
                  <a:pt x="434797" y="63500"/>
                </a:lnTo>
                <a:lnTo>
                  <a:pt x="431215" y="59690"/>
                </a:lnTo>
                <a:lnTo>
                  <a:pt x="410705" y="58420"/>
                </a:lnTo>
                <a:lnTo>
                  <a:pt x="404749" y="52070"/>
                </a:lnTo>
                <a:lnTo>
                  <a:pt x="404749" y="35560"/>
                </a:lnTo>
                <a:lnTo>
                  <a:pt x="401941" y="21590"/>
                </a:lnTo>
                <a:lnTo>
                  <a:pt x="394284" y="10160"/>
                </a:lnTo>
                <a:lnTo>
                  <a:pt x="382921" y="2540"/>
                </a:lnTo>
                <a:lnTo>
                  <a:pt x="368998" y="0"/>
                </a:lnTo>
                <a:close/>
              </a:path>
              <a:path w="1396365" h="281940">
                <a:moveTo>
                  <a:pt x="500595" y="0"/>
                </a:moveTo>
                <a:lnTo>
                  <a:pt x="486658" y="2540"/>
                </a:lnTo>
                <a:lnTo>
                  <a:pt x="475287" y="10160"/>
                </a:lnTo>
                <a:lnTo>
                  <a:pt x="467627" y="21590"/>
                </a:lnTo>
                <a:lnTo>
                  <a:pt x="464820" y="35560"/>
                </a:lnTo>
                <a:lnTo>
                  <a:pt x="464820" y="52070"/>
                </a:lnTo>
                <a:lnTo>
                  <a:pt x="458851" y="58420"/>
                </a:lnTo>
                <a:lnTo>
                  <a:pt x="438353" y="59690"/>
                </a:lnTo>
                <a:lnTo>
                  <a:pt x="434797" y="63500"/>
                </a:lnTo>
                <a:lnTo>
                  <a:pt x="434797" y="67310"/>
                </a:lnTo>
                <a:lnTo>
                  <a:pt x="566369" y="67310"/>
                </a:lnTo>
                <a:lnTo>
                  <a:pt x="566369" y="63500"/>
                </a:lnTo>
                <a:lnTo>
                  <a:pt x="562800" y="59690"/>
                </a:lnTo>
                <a:lnTo>
                  <a:pt x="542277" y="58420"/>
                </a:lnTo>
                <a:lnTo>
                  <a:pt x="536321" y="52070"/>
                </a:lnTo>
                <a:lnTo>
                  <a:pt x="536321" y="35560"/>
                </a:lnTo>
                <a:lnTo>
                  <a:pt x="533510" y="21590"/>
                </a:lnTo>
                <a:lnTo>
                  <a:pt x="525849" y="10160"/>
                </a:lnTo>
                <a:lnTo>
                  <a:pt x="514493" y="2540"/>
                </a:lnTo>
                <a:lnTo>
                  <a:pt x="500595" y="0"/>
                </a:lnTo>
                <a:close/>
              </a:path>
              <a:path w="1396365" h="281940">
                <a:moveTo>
                  <a:pt x="632155" y="0"/>
                </a:moveTo>
                <a:lnTo>
                  <a:pt x="618227" y="2540"/>
                </a:lnTo>
                <a:lnTo>
                  <a:pt x="606864" y="10160"/>
                </a:lnTo>
                <a:lnTo>
                  <a:pt x="599210" y="21590"/>
                </a:lnTo>
                <a:lnTo>
                  <a:pt x="596404" y="35560"/>
                </a:lnTo>
                <a:lnTo>
                  <a:pt x="596404" y="52070"/>
                </a:lnTo>
                <a:lnTo>
                  <a:pt x="590423" y="58420"/>
                </a:lnTo>
                <a:lnTo>
                  <a:pt x="569950" y="59690"/>
                </a:lnTo>
                <a:lnTo>
                  <a:pt x="566369" y="63500"/>
                </a:lnTo>
                <a:lnTo>
                  <a:pt x="566369" y="67310"/>
                </a:lnTo>
                <a:lnTo>
                  <a:pt x="697953" y="67310"/>
                </a:lnTo>
                <a:lnTo>
                  <a:pt x="697953" y="63500"/>
                </a:lnTo>
                <a:lnTo>
                  <a:pt x="694372" y="59690"/>
                </a:lnTo>
                <a:lnTo>
                  <a:pt x="673836" y="58420"/>
                </a:lnTo>
                <a:lnTo>
                  <a:pt x="667893" y="52070"/>
                </a:lnTo>
                <a:lnTo>
                  <a:pt x="667893" y="35560"/>
                </a:lnTo>
                <a:lnTo>
                  <a:pt x="665082" y="21590"/>
                </a:lnTo>
                <a:lnTo>
                  <a:pt x="657420" y="10160"/>
                </a:lnTo>
                <a:lnTo>
                  <a:pt x="646059" y="2540"/>
                </a:lnTo>
                <a:lnTo>
                  <a:pt x="632155" y="0"/>
                </a:lnTo>
                <a:close/>
              </a:path>
              <a:path w="1396365" h="281940">
                <a:moveTo>
                  <a:pt x="763727" y="0"/>
                </a:moveTo>
                <a:lnTo>
                  <a:pt x="749809" y="2540"/>
                </a:lnTo>
                <a:lnTo>
                  <a:pt x="738446" y="10160"/>
                </a:lnTo>
                <a:lnTo>
                  <a:pt x="730785" y="21590"/>
                </a:lnTo>
                <a:lnTo>
                  <a:pt x="727976" y="35560"/>
                </a:lnTo>
                <a:lnTo>
                  <a:pt x="727976" y="52070"/>
                </a:lnTo>
                <a:lnTo>
                  <a:pt x="722033" y="58420"/>
                </a:lnTo>
                <a:lnTo>
                  <a:pt x="701509" y="59690"/>
                </a:lnTo>
                <a:lnTo>
                  <a:pt x="697953" y="63500"/>
                </a:lnTo>
                <a:lnTo>
                  <a:pt x="697953" y="67310"/>
                </a:lnTo>
                <a:lnTo>
                  <a:pt x="829525" y="67310"/>
                </a:lnTo>
                <a:lnTo>
                  <a:pt x="829525" y="63500"/>
                </a:lnTo>
                <a:lnTo>
                  <a:pt x="825944" y="59690"/>
                </a:lnTo>
                <a:lnTo>
                  <a:pt x="805434" y="58420"/>
                </a:lnTo>
                <a:lnTo>
                  <a:pt x="799477" y="52070"/>
                </a:lnTo>
                <a:lnTo>
                  <a:pt x="799477" y="35560"/>
                </a:lnTo>
                <a:lnTo>
                  <a:pt x="796670" y="21590"/>
                </a:lnTo>
                <a:lnTo>
                  <a:pt x="789012" y="10160"/>
                </a:lnTo>
                <a:lnTo>
                  <a:pt x="777649" y="2540"/>
                </a:lnTo>
                <a:lnTo>
                  <a:pt x="763727" y="0"/>
                </a:lnTo>
                <a:close/>
              </a:path>
              <a:path w="1396365" h="281940">
                <a:moveTo>
                  <a:pt x="895324" y="0"/>
                </a:moveTo>
                <a:lnTo>
                  <a:pt x="881389" y="2540"/>
                </a:lnTo>
                <a:lnTo>
                  <a:pt x="870023" y="10160"/>
                </a:lnTo>
                <a:lnTo>
                  <a:pt x="862366" y="21590"/>
                </a:lnTo>
                <a:lnTo>
                  <a:pt x="859561" y="35560"/>
                </a:lnTo>
                <a:lnTo>
                  <a:pt x="859561" y="52070"/>
                </a:lnTo>
                <a:lnTo>
                  <a:pt x="853579" y="58420"/>
                </a:lnTo>
                <a:lnTo>
                  <a:pt x="833081" y="59690"/>
                </a:lnTo>
                <a:lnTo>
                  <a:pt x="829525" y="63500"/>
                </a:lnTo>
                <a:lnTo>
                  <a:pt x="829525" y="67310"/>
                </a:lnTo>
                <a:lnTo>
                  <a:pt x="961097" y="67310"/>
                </a:lnTo>
                <a:lnTo>
                  <a:pt x="961097" y="63500"/>
                </a:lnTo>
                <a:lnTo>
                  <a:pt x="957529" y="59690"/>
                </a:lnTo>
                <a:lnTo>
                  <a:pt x="937006" y="58420"/>
                </a:lnTo>
                <a:lnTo>
                  <a:pt x="931049" y="52070"/>
                </a:lnTo>
                <a:lnTo>
                  <a:pt x="931049" y="35560"/>
                </a:lnTo>
                <a:lnTo>
                  <a:pt x="928239" y="21590"/>
                </a:lnTo>
                <a:lnTo>
                  <a:pt x="920578" y="10160"/>
                </a:lnTo>
                <a:lnTo>
                  <a:pt x="909221" y="2540"/>
                </a:lnTo>
                <a:lnTo>
                  <a:pt x="895324" y="0"/>
                </a:lnTo>
                <a:close/>
              </a:path>
              <a:path w="1396365" h="281940">
                <a:moveTo>
                  <a:pt x="1026883" y="0"/>
                </a:moveTo>
                <a:lnTo>
                  <a:pt x="1012966" y="2540"/>
                </a:lnTo>
                <a:lnTo>
                  <a:pt x="1001602" y="10160"/>
                </a:lnTo>
                <a:lnTo>
                  <a:pt x="993942" y="21590"/>
                </a:lnTo>
                <a:lnTo>
                  <a:pt x="991133" y="35560"/>
                </a:lnTo>
                <a:lnTo>
                  <a:pt x="991133" y="52070"/>
                </a:lnTo>
                <a:lnTo>
                  <a:pt x="985189" y="58420"/>
                </a:lnTo>
                <a:lnTo>
                  <a:pt x="964679" y="59690"/>
                </a:lnTo>
                <a:lnTo>
                  <a:pt x="961097" y="63500"/>
                </a:lnTo>
                <a:lnTo>
                  <a:pt x="961097" y="67310"/>
                </a:lnTo>
                <a:lnTo>
                  <a:pt x="1092682" y="67310"/>
                </a:lnTo>
                <a:lnTo>
                  <a:pt x="1092682" y="63500"/>
                </a:lnTo>
                <a:lnTo>
                  <a:pt x="1089101" y="59690"/>
                </a:lnTo>
                <a:lnTo>
                  <a:pt x="1068590" y="58420"/>
                </a:lnTo>
                <a:lnTo>
                  <a:pt x="1062621" y="52070"/>
                </a:lnTo>
                <a:lnTo>
                  <a:pt x="1062621" y="35560"/>
                </a:lnTo>
                <a:lnTo>
                  <a:pt x="1059816" y="21590"/>
                </a:lnTo>
                <a:lnTo>
                  <a:pt x="1052163" y="10160"/>
                </a:lnTo>
                <a:lnTo>
                  <a:pt x="1040804" y="2540"/>
                </a:lnTo>
                <a:lnTo>
                  <a:pt x="1026883" y="0"/>
                </a:lnTo>
                <a:close/>
              </a:path>
              <a:path w="1396365" h="281940">
                <a:moveTo>
                  <a:pt x="1158455" y="0"/>
                </a:moveTo>
                <a:lnTo>
                  <a:pt x="1144538" y="2540"/>
                </a:lnTo>
                <a:lnTo>
                  <a:pt x="1133174" y="10160"/>
                </a:lnTo>
                <a:lnTo>
                  <a:pt x="1125514" y="21590"/>
                </a:lnTo>
                <a:lnTo>
                  <a:pt x="1122705" y="35560"/>
                </a:lnTo>
                <a:lnTo>
                  <a:pt x="1122705" y="52070"/>
                </a:lnTo>
                <a:lnTo>
                  <a:pt x="1116761" y="58420"/>
                </a:lnTo>
                <a:lnTo>
                  <a:pt x="1096238" y="59690"/>
                </a:lnTo>
                <a:lnTo>
                  <a:pt x="1092682" y="63500"/>
                </a:lnTo>
                <a:lnTo>
                  <a:pt x="1092682" y="67310"/>
                </a:lnTo>
                <a:lnTo>
                  <a:pt x="1224254" y="67310"/>
                </a:lnTo>
                <a:lnTo>
                  <a:pt x="1224254" y="63500"/>
                </a:lnTo>
                <a:lnTo>
                  <a:pt x="1220685" y="59690"/>
                </a:lnTo>
                <a:lnTo>
                  <a:pt x="1200162" y="58420"/>
                </a:lnTo>
                <a:lnTo>
                  <a:pt x="1194206" y="52070"/>
                </a:lnTo>
                <a:lnTo>
                  <a:pt x="1194206" y="35560"/>
                </a:lnTo>
                <a:lnTo>
                  <a:pt x="1191399" y="21590"/>
                </a:lnTo>
                <a:lnTo>
                  <a:pt x="1183741" y="10160"/>
                </a:lnTo>
                <a:lnTo>
                  <a:pt x="1172378" y="2540"/>
                </a:lnTo>
                <a:lnTo>
                  <a:pt x="1158455" y="0"/>
                </a:lnTo>
                <a:close/>
              </a:path>
              <a:path w="1396365" h="281940">
                <a:moveTo>
                  <a:pt x="1290053" y="0"/>
                </a:moveTo>
                <a:lnTo>
                  <a:pt x="1276117" y="2540"/>
                </a:lnTo>
                <a:lnTo>
                  <a:pt x="1264751" y="10160"/>
                </a:lnTo>
                <a:lnTo>
                  <a:pt x="1257095" y="21590"/>
                </a:lnTo>
                <a:lnTo>
                  <a:pt x="1254290" y="35560"/>
                </a:lnTo>
                <a:lnTo>
                  <a:pt x="1254290" y="52070"/>
                </a:lnTo>
                <a:lnTo>
                  <a:pt x="1248308" y="58420"/>
                </a:lnTo>
                <a:lnTo>
                  <a:pt x="1227810" y="59690"/>
                </a:lnTo>
                <a:lnTo>
                  <a:pt x="1224254" y="63500"/>
                </a:lnTo>
                <a:lnTo>
                  <a:pt x="1224254" y="67310"/>
                </a:lnTo>
                <a:lnTo>
                  <a:pt x="1355826" y="67310"/>
                </a:lnTo>
                <a:lnTo>
                  <a:pt x="1355826" y="63500"/>
                </a:lnTo>
                <a:lnTo>
                  <a:pt x="1352257" y="59690"/>
                </a:lnTo>
                <a:lnTo>
                  <a:pt x="1331734" y="58420"/>
                </a:lnTo>
                <a:lnTo>
                  <a:pt x="1325778" y="52070"/>
                </a:lnTo>
                <a:lnTo>
                  <a:pt x="1325778" y="35560"/>
                </a:lnTo>
                <a:lnTo>
                  <a:pt x="1322973" y="21590"/>
                </a:lnTo>
                <a:lnTo>
                  <a:pt x="1315321" y="10160"/>
                </a:lnTo>
                <a:lnTo>
                  <a:pt x="1303966" y="2540"/>
                </a:lnTo>
                <a:lnTo>
                  <a:pt x="1290053" y="0"/>
                </a:lnTo>
                <a:close/>
              </a:path>
              <a:path w="1396365" h="281940">
                <a:moveTo>
                  <a:pt x="1362189" y="60960"/>
                </a:moveTo>
                <a:lnTo>
                  <a:pt x="1355826" y="60960"/>
                </a:lnTo>
                <a:lnTo>
                  <a:pt x="1355826" y="67310"/>
                </a:lnTo>
                <a:lnTo>
                  <a:pt x="1364145" y="67310"/>
                </a:lnTo>
                <a:lnTo>
                  <a:pt x="1364145" y="62230"/>
                </a:lnTo>
                <a:lnTo>
                  <a:pt x="1362189" y="60960"/>
                </a:lnTo>
                <a:close/>
              </a:path>
            </a:pathLst>
          </a:custGeom>
          <a:solidFill>
            <a:srgbClr val="E3E3E3"/>
          </a:solidFill>
        </xdr:spPr>
      </xdr:sp>
      <xdr:sp macro="" textlink="">
        <xdr:nvSpPr>
          <xdr:cNvPr id="67" name="Shape 323">
            <a:extLst>
              <a:ext uri="{FF2B5EF4-FFF2-40B4-BE49-F238E27FC236}">
                <a16:creationId xmlns:a16="http://schemas.microsoft.com/office/drawing/2014/main" id="{E27BD2DF-50E3-83DA-D7A6-6DC6482A19F2}"/>
              </a:ext>
            </a:extLst>
          </xdr:cNvPr>
          <xdr:cNvSpPr/>
        </xdr:nvSpPr>
        <xdr:spPr>
          <a:xfrm>
            <a:off x="493949" y="129435"/>
            <a:ext cx="1396365" cy="283210"/>
          </a:xfrm>
          <a:custGeom>
            <a:avLst/>
            <a:gdLst/>
            <a:ahLst/>
            <a:cxnLst/>
            <a:rect l="0" t="0" r="0" b="0"/>
            <a:pathLst>
              <a:path w="1396365" h="283210">
                <a:moveTo>
                  <a:pt x="40055" y="61506"/>
                </a:moveTo>
                <a:lnTo>
                  <a:pt x="40055" y="221678"/>
                </a:lnTo>
              </a:path>
              <a:path w="1396365" h="283210">
                <a:moveTo>
                  <a:pt x="31737" y="217385"/>
                </a:moveTo>
                <a:lnTo>
                  <a:pt x="31737" y="219748"/>
                </a:lnTo>
                <a:lnTo>
                  <a:pt x="33667" y="221678"/>
                </a:lnTo>
                <a:lnTo>
                  <a:pt x="36029" y="221678"/>
                </a:lnTo>
              </a:path>
              <a:path w="1396365" h="283210">
                <a:moveTo>
                  <a:pt x="36029" y="221678"/>
                </a:moveTo>
                <a:lnTo>
                  <a:pt x="40055" y="221678"/>
                </a:lnTo>
              </a:path>
              <a:path w="1396365" h="283210">
                <a:moveTo>
                  <a:pt x="31737" y="207378"/>
                </a:moveTo>
                <a:lnTo>
                  <a:pt x="31737" y="217385"/>
                </a:lnTo>
              </a:path>
              <a:path w="1396365" h="283210">
                <a:moveTo>
                  <a:pt x="31737" y="75806"/>
                </a:moveTo>
                <a:lnTo>
                  <a:pt x="31737" y="207378"/>
                </a:lnTo>
              </a:path>
              <a:path w="1396365" h="283210">
                <a:moveTo>
                  <a:pt x="0" y="86537"/>
                </a:moveTo>
                <a:lnTo>
                  <a:pt x="0" y="196646"/>
                </a:lnTo>
              </a:path>
              <a:path w="1396365" h="283210">
                <a:moveTo>
                  <a:pt x="6667" y="82956"/>
                </a:moveTo>
                <a:lnTo>
                  <a:pt x="1666" y="97324"/>
                </a:lnTo>
                <a:lnTo>
                  <a:pt x="0" y="112268"/>
                </a:lnTo>
                <a:lnTo>
                  <a:pt x="1666" y="127211"/>
                </a:lnTo>
                <a:lnTo>
                  <a:pt x="6667" y="141579"/>
                </a:lnTo>
              </a:path>
              <a:path w="1396365" h="283210">
                <a:moveTo>
                  <a:pt x="6667" y="141579"/>
                </a:moveTo>
                <a:lnTo>
                  <a:pt x="1666" y="155958"/>
                </a:lnTo>
                <a:lnTo>
                  <a:pt x="0" y="170903"/>
                </a:lnTo>
                <a:lnTo>
                  <a:pt x="1666" y="185849"/>
                </a:lnTo>
                <a:lnTo>
                  <a:pt x="6667" y="200228"/>
                </a:lnTo>
              </a:path>
              <a:path w="1396365" h="283210">
                <a:moveTo>
                  <a:pt x="31737" y="207378"/>
                </a:moveTo>
                <a:lnTo>
                  <a:pt x="31737" y="203403"/>
                </a:lnTo>
                <a:lnTo>
                  <a:pt x="28549" y="200228"/>
                </a:lnTo>
                <a:lnTo>
                  <a:pt x="24587" y="200228"/>
                </a:lnTo>
              </a:path>
              <a:path w="1396365" h="283210">
                <a:moveTo>
                  <a:pt x="0" y="196646"/>
                </a:moveTo>
                <a:lnTo>
                  <a:pt x="342" y="198716"/>
                </a:lnTo>
                <a:lnTo>
                  <a:pt x="2133" y="200228"/>
                </a:lnTo>
                <a:lnTo>
                  <a:pt x="4241" y="200228"/>
                </a:lnTo>
              </a:path>
              <a:path w="1396365" h="283210">
                <a:moveTo>
                  <a:pt x="4241" y="200228"/>
                </a:moveTo>
                <a:lnTo>
                  <a:pt x="24587" y="200228"/>
                </a:lnTo>
              </a:path>
              <a:path w="1396365" h="283210">
                <a:moveTo>
                  <a:pt x="6667" y="141579"/>
                </a:moveTo>
                <a:lnTo>
                  <a:pt x="31737" y="141579"/>
                </a:lnTo>
              </a:path>
              <a:path w="1396365" h="283210">
                <a:moveTo>
                  <a:pt x="24587" y="82956"/>
                </a:moveTo>
                <a:lnTo>
                  <a:pt x="28549" y="82956"/>
                </a:lnTo>
                <a:lnTo>
                  <a:pt x="31737" y="79743"/>
                </a:lnTo>
                <a:lnTo>
                  <a:pt x="31737" y="75806"/>
                </a:lnTo>
              </a:path>
              <a:path w="1396365" h="283210">
                <a:moveTo>
                  <a:pt x="36029" y="61506"/>
                </a:moveTo>
                <a:lnTo>
                  <a:pt x="33667" y="61506"/>
                </a:lnTo>
                <a:lnTo>
                  <a:pt x="31737" y="63411"/>
                </a:lnTo>
                <a:lnTo>
                  <a:pt x="31737" y="65786"/>
                </a:lnTo>
              </a:path>
              <a:path w="1396365" h="283210">
                <a:moveTo>
                  <a:pt x="36029" y="61506"/>
                </a:moveTo>
                <a:lnTo>
                  <a:pt x="40055" y="61506"/>
                </a:lnTo>
              </a:path>
              <a:path w="1396365" h="283210">
                <a:moveTo>
                  <a:pt x="31737" y="65786"/>
                </a:moveTo>
                <a:lnTo>
                  <a:pt x="31737" y="75806"/>
                </a:lnTo>
              </a:path>
              <a:path w="1396365" h="283210">
                <a:moveTo>
                  <a:pt x="4241" y="82956"/>
                </a:moveTo>
                <a:lnTo>
                  <a:pt x="2133" y="82956"/>
                </a:lnTo>
                <a:lnTo>
                  <a:pt x="342" y="84467"/>
                </a:lnTo>
                <a:lnTo>
                  <a:pt x="0" y="86537"/>
                </a:lnTo>
              </a:path>
              <a:path w="1396365" h="283210">
                <a:moveTo>
                  <a:pt x="4241" y="82956"/>
                </a:moveTo>
                <a:lnTo>
                  <a:pt x="24587" y="82956"/>
                </a:lnTo>
              </a:path>
              <a:path w="1396365" h="283210">
                <a:moveTo>
                  <a:pt x="1389189" y="141579"/>
                </a:moveTo>
                <a:lnTo>
                  <a:pt x="1394197" y="127211"/>
                </a:lnTo>
                <a:lnTo>
                  <a:pt x="1395866" y="112268"/>
                </a:lnTo>
                <a:lnTo>
                  <a:pt x="1394197" y="97324"/>
                </a:lnTo>
                <a:lnTo>
                  <a:pt x="1389189" y="82956"/>
                </a:lnTo>
              </a:path>
              <a:path w="1396365" h="283210">
                <a:moveTo>
                  <a:pt x="1395869" y="86537"/>
                </a:moveTo>
                <a:lnTo>
                  <a:pt x="1395869" y="196646"/>
                </a:lnTo>
              </a:path>
              <a:path w="1396365" h="283210">
                <a:moveTo>
                  <a:pt x="1364132" y="75806"/>
                </a:moveTo>
                <a:lnTo>
                  <a:pt x="1364132" y="207378"/>
                </a:lnTo>
              </a:path>
              <a:path w="1396365" h="283210">
                <a:moveTo>
                  <a:pt x="1355813" y="61506"/>
                </a:moveTo>
                <a:lnTo>
                  <a:pt x="1355813" y="221678"/>
                </a:lnTo>
              </a:path>
              <a:path w="1396365" h="283210">
                <a:moveTo>
                  <a:pt x="1389189" y="141579"/>
                </a:moveTo>
                <a:lnTo>
                  <a:pt x="1364132" y="141579"/>
                </a:lnTo>
              </a:path>
              <a:path w="1396365" h="283210">
                <a:moveTo>
                  <a:pt x="1391653" y="200228"/>
                </a:moveTo>
                <a:lnTo>
                  <a:pt x="1371282" y="200228"/>
                </a:lnTo>
              </a:path>
              <a:path w="1396365" h="283210">
                <a:moveTo>
                  <a:pt x="1391653" y="200228"/>
                </a:moveTo>
                <a:lnTo>
                  <a:pt x="1393736" y="200228"/>
                </a:lnTo>
                <a:lnTo>
                  <a:pt x="1395526" y="198716"/>
                </a:lnTo>
                <a:lnTo>
                  <a:pt x="1395869" y="196646"/>
                </a:lnTo>
              </a:path>
              <a:path w="1396365" h="283210">
                <a:moveTo>
                  <a:pt x="1371282" y="200228"/>
                </a:moveTo>
                <a:lnTo>
                  <a:pt x="1367320" y="200228"/>
                </a:lnTo>
                <a:lnTo>
                  <a:pt x="1364132" y="203403"/>
                </a:lnTo>
                <a:lnTo>
                  <a:pt x="1364132" y="207378"/>
                </a:lnTo>
              </a:path>
              <a:path w="1396365" h="283210">
                <a:moveTo>
                  <a:pt x="1389189" y="200228"/>
                </a:moveTo>
                <a:lnTo>
                  <a:pt x="1394197" y="185849"/>
                </a:lnTo>
                <a:lnTo>
                  <a:pt x="1395866" y="170903"/>
                </a:lnTo>
                <a:lnTo>
                  <a:pt x="1394197" y="155958"/>
                </a:lnTo>
                <a:lnTo>
                  <a:pt x="1389189" y="141579"/>
                </a:lnTo>
              </a:path>
              <a:path w="1396365" h="283210">
                <a:moveTo>
                  <a:pt x="1364132" y="207378"/>
                </a:moveTo>
                <a:lnTo>
                  <a:pt x="1364132" y="217385"/>
                </a:lnTo>
              </a:path>
              <a:path w="1396365" h="283210">
                <a:moveTo>
                  <a:pt x="1359814" y="221678"/>
                </a:moveTo>
                <a:lnTo>
                  <a:pt x="1355813" y="221678"/>
                </a:lnTo>
              </a:path>
              <a:path w="1396365" h="283210">
                <a:moveTo>
                  <a:pt x="1359814" y="221678"/>
                </a:moveTo>
                <a:lnTo>
                  <a:pt x="1362189" y="221678"/>
                </a:lnTo>
                <a:lnTo>
                  <a:pt x="1364132" y="219748"/>
                </a:lnTo>
                <a:lnTo>
                  <a:pt x="1364132" y="217385"/>
                </a:lnTo>
              </a:path>
              <a:path w="1396365" h="283210">
                <a:moveTo>
                  <a:pt x="1391653" y="82956"/>
                </a:moveTo>
                <a:lnTo>
                  <a:pt x="1371282" y="82956"/>
                </a:lnTo>
              </a:path>
              <a:path w="1396365" h="283210">
                <a:moveTo>
                  <a:pt x="1395869" y="86537"/>
                </a:moveTo>
                <a:lnTo>
                  <a:pt x="1395526" y="84467"/>
                </a:lnTo>
                <a:lnTo>
                  <a:pt x="1393736" y="82956"/>
                </a:lnTo>
                <a:lnTo>
                  <a:pt x="1391653" y="82956"/>
                </a:lnTo>
              </a:path>
              <a:path w="1396365" h="283210">
                <a:moveTo>
                  <a:pt x="1364132" y="65786"/>
                </a:moveTo>
                <a:lnTo>
                  <a:pt x="1364132" y="75806"/>
                </a:lnTo>
              </a:path>
              <a:path w="1396365" h="283210">
                <a:moveTo>
                  <a:pt x="1359814" y="61506"/>
                </a:moveTo>
                <a:lnTo>
                  <a:pt x="1355813" y="61506"/>
                </a:lnTo>
              </a:path>
              <a:path w="1396365" h="283210">
                <a:moveTo>
                  <a:pt x="1364132" y="65786"/>
                </a:moveTo>
                <a:lnTo>
                  <a:pt x="1364132" y="63411"/>
                </a:lnTo>
                <a:lnTo>
                  <a:pt x="1362189" y="61506"/>
                </a:lnTo>
                <a:lnTo>
                  <a:pt x="1359814" y="61506"/>
                </a:lnTo>
              </a:path>
              <a:path w="1396365" h="283210">
                <a:moveTo>
                  <a:pt x="1364132" y="75806"/>
                </a:moveTo>
                <a:lnTo>
                  <a:pt x="1364132" y="79743"/>
                </a:lnTo>
                <a:lnTo>
                  <a:pt x="1367320" y="82956"/>
                </a:lnTo>
                <a:lnTo>
                  <a:pt x="1371282" y="82956"/>
                </a:lnTo>
              </a:path>
              <a:path w="1396365" h="283210">
                <a:moveTo>
                  <a:pt x="171627" y="68211"/>
                </a:moveTo>
                <a:lnTo>
                  <a:pt x="171627" y="214960"/>
                </a:lnTo>
              </a:path>
              <a:path w="1396365" h="283210">
                <a:moveTo>
                  <a:pt x="141592" y="247434"/>
                </a:moveTo>
                <a:lnTo>
                  <a:pt x="141592" y="35763"/>
                </a:lnTo>
              </a:path>
              <a:path w="1396365" h="283210">
                <a:moveTo>
                  <a:pt x="70078" y="247434"/>
                </a:moveTo>
                <a:lnTo>
                  <a:pt x="70078" y="35763"/>
                </a:lnTo>
              </a:path>
              <a:path w="1396365" h="283210">
                <a:moveTo>
                  <a:pt x="40055" y="68211"/>
                </a:moveTo>
                <a:lnTo>
                  <a:pt x="40055" y="214960"/>
                </a:lnTo>
              </a:path>
              <a:path w="1396365" h="283210">
                <a:moveTo>
                  <a:pt x="105841" y="0"/>
                </a:moveTo>
                <a:lnTo>
                  <a:pt x="91917" y="2809"/>
                </a:lnTo>
                <a:lnTo>
                  <a:pt x="80549" y="10471"/>
                </a:lnTo>
                <a:lnTo>
                  <a:pt x="72887" y="21838"/>
                </a:lnTo>
                <a:lnTo>
                  <a:pt x="70078" y="35763"/>
                </a:lnTo>
              </a:path>
              <a:path w="1396365" h="283210">
                <a:moveTo>
                  <a:pt x="70078" y="44932"/>
                </a:moveTo>
                <a:lnTo>
                  <a:pt x="70078" y="35763"/>
                </a:lnTo>
              </a:path>
              <a:path w="1396365" h="283210">
                <a:moveTo>
                  <a:pt x="141592" y="35763"/>
                </a:moveTo>
                <a:lnTo>
                  <a:pt x="138781" y="21838"/>
                </a:lnTo>
                <a:lnTo>
                  <a:pt x="131117" y="10471"/>
                </a:lnTo>
                <a:lnTo>
                  <a:pt x="119753" y="2809"/>
                </a:lnTo>
                <a:lnTo>
                  <a:pt x="105841" y="0"/>
                </a:lnTo>
              </a:path>
              <a:path w="1396365" h="283210">
                <a:moveTo>
                  <a:pt x="141592" y="44932"/>
                </a:moveTo>
                <a:lnTo>
                  <a:pt x="141592" y="35763"/>
                </a:lnTo>
              </a:path>
              <a:path w="1396365" h="283210">
                <a:moveTo>
                  <a:pt x="56527" y="59194"/>
                </a:moveTo>
                <a:lnTo>
                  <a:pt x="64122" y="58801"/>
                </a:lnTo>
                <a:lnTo>
                  <a:pt x="70078" y="52527"/>
                </a:lnTo>
                <a:lnTo>
                  <a:pt x="70078" y="44932"/>
                </a:lnTo>
              </a:path>
              <a:path w="1396365" h="283210">
                <a:moveTo>
                  <a:pt x="48171" y="59639"/>
                </a:moveTo>
                <a:lnTo>
                  <a:pt x="43611" y="59867"/>
                </a:lnTo>
                <a:lnTo>
                  <a:pt x="40055" y="63652"/>
                </a:lnTo>
                <a:lnTo>
                  <a:pt x="40055" y="68211"/>
                </a:lnTo>
              </a:path>
              <a:path w="1396365" h="283210">
                <a:moveTo>
                  <a:pt x="48171" y="59639"/>
                </a:moveTo>
                <a:lnTo>
                  <a:pt x="56527" y="59194"/>
                </a:lnTo>
              </a:path>
              <a:path w="1396365" h="283210">
                <a:moveTo>
                  <a:pt x="163499" y="59639"/>
                </a:moveTo>
                <a:lnTo>
                  <a:pt x="155155" y="59194"/>
                </a:lnTo>
              </a:path>
              <a:path w="1396365" h="283210">
                <a:moveTo>
                  <a:pt x="171627" y="68211"/>
                </a:moveTo>
                <a:lnTo>
                  <a:pt x="171627" y="63652"/>
                </a:lnTo>
                <a:lnTo>
                  <a:pt x="168046" y="59867"/>
                </a:lnTo>
                <a:lnTo>
                  <a:pt x="163499" y="59639"/>
                </a:lnTo>
              </a:path>
              <a:path w="1396365" h="283210">
                <a:moveTo>
                  <a:pt x="141592" y="44932"/>
                </a:moveTo>
                <a:lnTo>
                  <a:pt x="141592" y="52527"/>
                </a:lnTo>
                <a:lnTo>
                  <a:pt x="147535" y="58801"/>
                </a:lnTo>
                <a:lnTo>
                  <a:pt x="155155" y="59194"/>
                </a:lnTo>
              </a:path>
              <a:path w="1396365" h="283210">
                <a:moveTo>
                  <a:pt x="70078" y="247434"/>
                </a:moveTo>
                <a:lnTo>
                  <a:pt x="72887" y="261340"/>
                </a:lnTo>
                <a:lnTo>
                  <a:pt x="80549" y="272705"/>
                </a:lnTo>
                <a:lnTo>
                  <a:pt x="91917" y="280372"/>
                </a:lnTo>
                <a:lnTo>
                  <a:pt x="105841" y="283184"/>
                </a:lnTo>
              </a:path>
              <a:path w="1396365" h="283210">
                <a:moveTo>
                  <a:pt x="105841" y="283184"/>
                </a:moveTo>
                <a:lnTo>
                  <a:pt x="119753" y="280372"/>
                </a:lnTo>
                <a:lnTo>
                  <a:pt x="131117" y="272705"/>
                </a:lnTo>
                <a:lnTo>
                  <a:pt x="138781" y="261340"/>
                </a:lnTo>
                <a:lnTo>
                  <a:pt x="141592" y="247434"/>
                </a:lnTo>
              </a:path>
              <a:path w="1396365" h="283210">
                <a:moveTo>
                  <a:pt x="70078" y="238252"/>
                </a:moveTo>
                <a:lnTo>
                  <a:pt x="70078" y="230644"/>
                </a:lnTo>
                <a:lnTo>
                  <a:pt x="64122" y="224370"/>
                </a:lnTo>
                <a:lnTo>
                  <a:pt x="56527" y="223964"/>
                </a:lnTo>
              </a:path>
              <a:path w="1396365" h="283210">
                <a:moveTo>
                  <a:pt x="40055" y="214960"/>
                </a:moveTo>
                <a:lnTo>
                  <a:pt x="40055" y="219544"/>
                </a:lnTo>
                <a:lnTo>
                  <a:pt x="43611" y="223291"/>
                </a:lnTo>
                <a:lnTo>
                  <a:pt x="48171" y="223532"/>
                </a:lnTo>
              </a:path>
              <a:path w="1396365" h="283210">
                <a:moveTo>
                  <a:pt x="48171" y="223532"/>
                </a:moveTo>
                <a:lnTo>
                  <a:pt x="56527" y="223964"/>
                </a:lnTo>
              </a:path>
              <a:path w="1396365" h="283210">
                <a:moveTo>
                  <a:pt x="70078" y="247434"/>
                </a:moveTo>
                <a:lnTo>
                  <a:pt x="70078" y="238252"/>
                </a:lnTo>
              </a:path>
              <a:path w="1396365" h="283210">
                <a:moveTo>
                  <a:pt x="141592" y="247434"/>
                </a:moveTo>
                <a:lnTo>
                  <a:pt x="141592" y="238252"/>
                </a:lnTo>
              </a:path>
              <a:path w="1396365" h="283210">
                <a:moveTo>
                  <a:pt x="163499" y="223532"/>
                </a:moveTo>
                <a:lnTo>
                  <a:pt x="155155" y="223964"/>
                </a:lnTo>
              </a:path>
              <a:path w="1396365" h="283210">
                <a:moveTo>
                  <a:pt x="163499" y="223532"/>
                </a:moveTo>
                <a:lnTo>
                  <a:pt x="168046" y="223291"/>
                </a:lnTo>
                <a:lnTo>
                  <a:pt x="171627" y="219544"/>
                </a:lnTo>
                <a:lnTo>
                  <a:pt x="171627" y="214960"/>
                </a:lnTo>
              </a:path>
              <a:path w="1396365" h="283210">
                <a:moveTo>
                  <a:pt x="155155" y="223964"/>
                </a:moveTo>
                <a:lnTo>
                  <a:pt x="147535" y="224370"/>
                </a:lnTo>
                <a:lnTo>
                  <a:pt x="141592" y="230644"/>
                </a:lnTo>
                <a:lnTo>
                  <a:pt x="141592" y="238252"/>
                </a:lnTo>
              </a:path>
              <a:path w="1396365" h="283210">
                <a:moveTo>
                  <a:pt x="1224254" y="68211"/>
                </a:moveTo>
                <a:lnTo>
                  <a:pt x="1224254" y="214960"/>
                </a:lnTo>
              </a:path>
              <a:path w="1396365" h="283210">
                <a:moveTo>
                  <a:pt x="1355813" y="68211"/>
                </a:moveTo>
                <a:lnTo>
                  <a:pt x="1355813" y="214960"/>
                </a:lnTo>
              </a:path>
              <a:path w="1396365" h="283210">
                <a:moveTo>
                  <a:pt x="1254290" y="247434"/>
                </a:moveTo>
                <a:lnTo>
                  <a:pt x="1254290" y="35763"/>
                </a:lnTo>
              </a:path>
              <a:path w="1396365" h="283210">
                <a:moveTo>
                  <a:pt x="1325778" y="247434"/>
                </a:moveTo>
                <a:lnTo>
                  <a:pt x="1325778" y="35763"/>
                </a:lnTo>
              </a:path>
              <a:path w="1396365" h="283210">
                <a:moveTo>
                  <a:pt x="1290040" y="283184"/>
                </a:moveTo>
                <a:lnTo>
                  <a:pt x="1303961" y="280372"/>
                </a:lnTo>
                <a:lnTo>
                  <a:pt x="1315319" y="272705"/>
                </a:lnTo>
                <a:lnTo>
                  <a:pt x="1322973" y="261340"/>
                </a:lnTo>
                <a:lnTo>
                  <a:pt x="1325778" y="247434"/>
                </a:lnTo>
              </a:path>
              <a:path w="1396365" h="283210">
                <a:moveTo>
                  <a:pt x="1339342" y="223964"/>
                </a:moveTo>
                <a:lnTo>
                  <a:pt x="1331722" y="224370"/>
                </a:lnTo>
                <a:lnTo>
                  <a:pt x="1325778" y="230644"/>
                </a:lnTo>
                <a:lnTo>
                  <a:pt x="1325778" y="238252"/>
                </a:lnTo>
              </a:path>
              <a:path w="1396365" h="283210">
                <a:moveTo>
                  <a:pt x="1325778" y="247434"/>
                </a:moveTo>
                <a:lnTo>
                  <a:pt x="1325778" y="238252"/>
                </a:lnTo>
              </a:path>
              <a:path w="1396365" h="283210">
                <a:moveTo>
                  <a:pt x="1347685" y="223532"/>
                </a:moveTo>
                <a:lnTo>
                  <a:pt x="1339342" y="223964"/>
                </a:lnTo>
              </a:path>
              <a:path w="1396365" h="283210">
                <a:moveTo>
                  <a:pt x="1347685" y="223532"/>
                </a:moveTo>
                <a:lnTo>
                  <a:pt x="1352257" y="223291"/>
                </a:lnTo>
                <a:lnTo>
                  <a:pt x="1355813" y="219544"/>
                </a:lnTo>
                <a:lnTo>
                  <a:pt x="1355813" y="214960"/>
                </a:lnTo>
              </a:path>
              <a:path w="1396365" h="283210">
                <a:moveTo>
                  <a:pt x="1254290" y="247434"/>
                </a:moveTo>
                <a:lnTo>
                  <a:pt x="1257095" y="261340"/>
                </a:lnTo>
                <a:lnTo>
                  <a:pt x="1264750" y="272705"/>
                </a:lnTo>
                <a:lnTo>
                  <a:pt x="1276112" y="280372"/>
                </a:lnTo>
                <a:lnTo>
                  <a:pt x="1290040" y="283184"/>
                </a:lnTo>
              </a:path>
              <a:path w="1396365" h="283210">
                <a:moveTo>
                  <a:pt x="1254290" y="238252"/>
                </a:moveTo>
                <a:lnTo>
                  <a:pt x="1254290" y="230644"/>
                </a:lnTo>
                <a:lnTo>
                  <a:pt x="1248308" y="224370"/>
                </a:lnTo>
                <a:lnTo>
                  <a:pt x="1240726" y="223964"/>
                </a:lnTo>
              </a:path>
              <a:path w="1396365" h="283210">
                <a:moveTo>
                  <a:pt x="1254290" y="247434"/>
                </a:moveTo>
                <a:lnTo>
                  <a:pt x="1254290" y="238252"/>
                </a:lnTo>
              </a:path>
              <a:path w="1396365" h="283210">
                <a:moveTo>
                  <a:pt x="1232382" y="223532"/>
                </a:moveTo>
                <a:lnTo>
                  <a:pt x="1240726" y="223964"/>
                </a:lnTo>
              </a:path>
              <a:path w="1396365" h="283210">
                <a:moveTo>
                  <a:pt x="1224254" y="214960"/>
                </a:moveTo>
                <a:lnTo>
                  <a:pt x="1224254" y="219544"/>
                </a:lnTo>
                <a:lnTo>
                  <a:pt x="1227810" y="223291"/>
                </a:lnTo>
                <a:lnTo>
                  <a:pt x="1232382" y="223532"/>
                </a:lnTo>
              </a:path>
              <a:path w="1396365" h="283210">
                <a:moveTo>
                  <a:pt x="1325778" y="35763"/>
                </a:moveTo>
                <a:lnTo>
                  <a:pt x="1322973" y="21838"/>
                </a:lnTo>
                <a:lnTo>
                  <a:pt x="1315319" y="10471"/>
                </a:lnTo>
                <a:lnTo>
                  <a:pt x="1303961" y="2809"/>
                </a:lnTo>
                <a:lnTo>
                  <a:pt x="1290040" y="0"/>
                </a:lnTo>
              </a:path>
              <a:path w="1396365" h="283210">
                <a:moveTo>
                  <a:pt x="1325778" y="44932"/>
                </a:moveTo>
                <a:lnTo>
                  <a:pt x="1325778" y="52527"/>
                </a:lnTo>
                <a:lnTo>
                  <a:pt x="1331722" y="58801"/>
                </a:lnTo>
                <a:lnTo>
                  <a:pt x="1339342" y="59194"/>
                </a:lnTo>
              </a:path>
              <a:path w="1396365" h="283210">
                <a:moveTo>
                  <a:pt x="1347685" y="59639"/>
                </a:moveTo>
                <a:lnTo>
                  <a:pt x="1339342" y="59194"/>
                </a:lnTo>
              </a:path>
              <a:path w="1396365" h="283210">
                <a:moveTo>
                  <a:pt x="1325778" y="44932"/>
                </a:moveTo>
                <a:lnTo>
                  <a:pt x="1325778" y="35763"/>
                </a:lnTo>
              </a:path>
              <a:path w="1396365" h="283210">
                <a:moveTo>
                  <a:pt x="1355813" y="68211"/>
                </a:moveTo>
                <a:lnTo>
                  <a:pt x="1355813" y="63652"/>
                </a:lnTo>
                <a:lnTo>
                  <a:pt x="1352257" y="59867"/>
                </a:lnTo>
                <a:lnTo>
                  <a:pt x="1347685" y="59639"/>
                </a:lnTo>
              </a:path>
              <a:path w="1396365" h="283210">
                <a:moveTo>
                  <a:pt x="1290040" y="0"/>
                </a:moveTo>
                <a:lnTo>
                  <a:pt x="1276112" y="2809"/>
                </a:lnTo>
                <a:lnTo>
                  <a:pt x="1264750" y="10471"/>
                </a:lnTo>
                <a:lnTo>
                  <a:pt x="1257095" y="21838"/>
                </a:lnTo>
                <a:lnTo>
                  <a:pt x="1254290" y="35763"/>
                </a:lnTo>
              </a:path>
              <a:path w="1396365" h="283210">
                <a:moveTo>
                  <a:pt x="1240726" y="59194"/>
                </a:moveTo>
                <a:lnTo>
                  <a:pt x="1248308" y="58801"/>
                </a:lnTo>
                <a:lnTo>
                  <a:pt x="1254290" y="52527"/>
                </a:lnTo>
                <a:lnTo>
                  <a:pt x="1254290" y="44932"/>
                </a:lnTo>
              </a:path>
              <a:path w="1396365" h="283210">
                <a:moveTo>
                  <a:pt x="1232382" y="59639"/>
                </a:moveTo>
                <a:lnTo>
                  <a:pt x="1240726" y="59194"/>
                </a:lnTo>
              </a:path>
              <a:path w="1396365" h="283210">
                <a:moveTo>
                  <a:pt x="1254290" y="44932"/>
                </a:moveTo>
                <a:lnTo>
                  <a:pt x="1254290" y="35763"/>
                </a:lnTo>
              </a:path>
              <a:path w="1396365" h="283210">
                <a:moveTo>
                  <a:pt x="1232382" y="59639"/>
                </a:moveTo>
                <a:lnTo>
                  <a:pt x="1227810" y="59867"/>
                </a:lnTo>
                <a:lnTo>
                  <a:pt x="1224254" y="63652"/>
                </a:lnTo>
                <a:lnTo>
                  <a:pt x="1224254" y="68211"/>
                </a:lnTo>
              </a:path>
              <a:path w="1396365" h="283210">
                <a:moveTo>
                  <a:pt x="201675" y="247434"/>
                </a:moveTo>
                <a:lnTo>
                  <a:pt x="201675" y="35763"/>
                </a:lnTo>
              </a:path>
              <a:path w="1396365" h="283210">
                <a:moveTo>
                  <a:pt x="273164" y="247434"/>
                </a:moveTo>
                <a:lnTo>
                  <a:pt x="273164" y="35763"/>
                </a:lnTo>
              </a:path>
              <a:path w="1396365" h="283210">
                <a:moveTo>
                  <a:pt x="303199" y="68211"/>
                </a:moveTo>
                <a:lnTo>
                  <a:pt x="303199" y="214960"/>
                </a:lnTo>
              </a:path>
              <a:path w="1396365" h="283210">
                <a:moveTo>
                  <a:pt x="201675" y="238252"/>
                </a:moveTo>
                <a:lnTo>
                  <a:pt x="201675" y="230644"/>
                </a:lnTo>
                <a:lnTo>
                  <a:pt x="195681" y="224370"/>
                </a:lnTo>
                <a:lnTo>
                  <a:pt x="188099" y="223964"/>
                </a:lnTo>
              </a:path>
              <a:path w="1396365" h="283210">
                <a:moveTo>
                  <a:pt x="201675" y="247434"/>
                </a:moveTo>
                <a:lnTo>
                  <a:pt x="204481" y="261340"/>
                </a:lnTo>
                <a:lnTo>
                  <a:pt x="212136" y="272705"/>
                </a:lnTo>
                <a:lnTo>
                  <a:pt x="223498" y="280372"/>
                </a:lnTo>
                <a:lnTo>
                  <a:pt x="237426" y="283184"/>
                </a:lnTo>
              </a:path>
              <a:path w="1396365" h="283210">
                <a:moveTo>
                  <a:pt x="201675" y="247434"/>
                </a:moveTo>
                <a:lnTo>
                  <a:pt x="201675" y="238252"/>
                </a:lnTo>
              </a:path>
              <a:path w="1396365" h="283210">
                <a:moveTo>
                  <a:pt x="179768" y="223532"/>
                </a:moveTo>
                <a:lnTo>
                  <a:pt x="188099" y="223964"/>
                </a:lnTo>
              </a:path>
              <a:path w="1396365" h="283210">
                <a:moveTo>
                  <a:pt x="171627" y="214960"/>
                </a:moveTo>
                <a:lnTo>
                  <a:pt x="171627" y="219544"/>
                </a:lnTo>
                <a:lnTo>
                  <a:pt x="175209" y="223291"/>
                </a:lnTo>
                <a:lnTo>
                  <a:pt x="179768" y="223532"/>
                </a:lnTo>
              </a:path>
              <a:path w="1396365" h="283210">
                <a:moveTo>
                  <a:pt x="286727" y="223964"/>
                </a:moveTo>
                <a:lnTo>
                  <a:pt x="279107" y="224370"/>
                </a:lnTo>
                <a:lnTo>
                  <a:pt x="273164" y="230644"/>
                </a:lnTo>
                <a:lnTo>
                  <a:pt x="273164" y="238252"/>
                </a:lnTo>
              </a:path>
              <a:path w="1396365" h="283210">
                <a:moveTo>
                  <a:pt x="295059" y="223532"/>
                </a:moveTo>
                <a:lnTo>
                  <a:pt x="299643" y="223291"/>
                </a:lnTo>
                <a:lnTo>
                  <a:pt x="303199" y="219544"/>
                </a:lnTo>
                <a:lnTo>
                  <a:pt x="303199" y="214960"/>
                </a:lnTo>
              </a:path>
              <a:path w="1396365" h="283210">
                <a:moveTo>
                  <a:pt x="295059" y="223532"/>
                </a:moveTo>
                <a:lnTo>
                  <a:pt x="286727" y="223964"/>
                </a:lnTo>
              </a:path>
              <a:path w="1396365" h="283210">
                <a:moveTo>
                  <a:pt x="273164" y="247434"/>
                </a:moveTo>
                <a:lnTo>
                  <a:pt x="273164" y="238252"/>
                </a:lnTo>
              </a:path>
              <a:path w="1396365" h="283210">
                <a:moveTo>
                  <a:pt x="237426" y="283184"/>
                </a:moveTo>
                <a:lnTo>
                  <a:pt x="251331" y="280372"/>
                </a:lnTo>
                <a:lnTo>
                  <a:pt x="262691" y="272705"/>
                </a:lnTo>
                <a:lnTo>
                  <a:pt x="270353" y="261340"/>
                </a:lnTo>
                <a:lnTo>
                  <a:pt x="273164" y="247434"/>
                </a:lnTo>
              </a:path>
              <a:path w="1396365" h="283210">
                <a:moveTo>
                  <a:pt x="188099" y="59194"/>
                </a:moveTo>
                <a:lnTo>
                  <a:pt x="195681" y="58801"/>
                </a:lnTo>
                <a:lnTo>
                  <a:pt x="201675" y="52527"/>
                </a:lnTo>
                <a:lnTo>
                  <a:pt x="201675" y="44932"/>
                </a:lnTo>
              </a:path>
              <a:path w="1396365" h="283210">
                <a:moveTo>
                  <a:pt x="237426" y="0"/>
                </a:moveTo>
                <a:lnTo>
                  <a:pt x="223498" y="2809"/>
                </a:lnTo>
                <a:lnTo>
                  <a:pt x="212136" y="10471"/>
                </a:lnTo>
                <a:lnTo>
                  <a:pt x="204481" y="21838"/>
                </a:lnTo>
                <a:lnTo>
                  <a:pt x="201675" y="35763"/>
                </a:lnTo>
              </a:path>
              <a:path w="1396365" h="283210">
                <a:moveTo>
                  <a:pt x="179768" y="59639"/>
                </a:moveTo>
                <a:lnTo>
                  <a:pt x="188099" y="59194"/>
                </a:lnTo>
              </a:path>
              <a:path w="1396365" h="283210">
                <a:moveTo>
                  <a:pt x="179768" y="59639"/>
                </a:moveTo>
                <a:lnTo>
                  <a:pt x="175209" y="59867"/>
                </a:lnTo>
                <a:lnTo>
                  <a:pt x="171627" y="63652"/>
                </a:lnTo>
                <a:lnTo>
                  <a:pt x="171627" y="68211"/>
                </a:lnTo>
              </a:path>
              <a:path w="1396365" h="283210">
                <a:moveTo>
                  <a:pt x="201675" y="44932"/>
                </a:moveTo>
                <a:lnTo>
                  <a:pt x="201675" y="35763"/>
                </a:lnTo>
              </a:path>
              <a:path w="1396365" h="283210">
                <a:moveTo>
                  <a:pt x="273164" y="44932"/>
                </a:moveTo>
                <a:lnTo>
                  <a:pt x="273164" y="52527"/>
                </a:lnTo>
                <a:lnTo>
                  <a:pt x="279107" y="58801"/>
                </a:lnTo>
                <a:lnTo>
                  <a:pt x="286727" y="59194"/>
                </a:lnTo>
              </a:path>
              <a:path w="1396365" h="283210">
                <a:moveTo>
                  <a:pt x="303199" y="68211"/>
                </a:moveTo>
                <a:lnTo>
                  <a:pt x="303199" y="63652"/>
                </a:lnTo>
                <a:lnTo>
                  <a:pt x="299643" y="59867"/>
                </a:lnTo>
                <a:lnTo>
                  <a:pt x="295059" y="59639"/>
                </a:lnTo>
              </a:path>
              <a:path w="1396365" h="283210">
                <a:moveTo>
                  <a:pt x="295059" y="59639"/>
                </a:moveTo>
                <a:lnTo>
                  <a:pt x="286727" y="59194"/>
                </a:lnTo>
              </a:path>
              <a:path w="1396365" h="283210">
                <a:moveTo>
                  <a:pt x="273164" y="44932"/>
                </a:moveTo>
                <a:lnTo>
                  <a:pt x="273164" y="35763"/>
                </a:lnTo>
              </a:path>
              <a:path w="1396365" h="283210">
                <a:moveTo>
                  <a:pt x="273164" y="35763"/>
                </a:moveTo>
                <a:lnTo>
                  <a:pt x="270353" y="21838"/>
                </a:lnTo>
                <a:lnTo>
                  <a:pt x="262691" y="10471"/>
                </a:lnTo>
                <a:lnTo>
                  <a:pt x="251331" y="2809"/>
                </a:lnTo>
                <a:lnTo>
                  <a:pt x="237426" y="0"/>
                </a:lnTo>
              </a:path>
              <a:path w="1396365" h="283210">
                <a:moveTo>
                  <a:pt x="333248" y="247434"/>
                </a:moveTo>
                <a:lnTo>
                  <a:pt x="333248" y="35763"/>
                </a:lnTo>
              </a:path>
              <a:path w="1396365" h="283210">
                <a:moveTo>
                  <a:pt x="404749" y="247434"/>
                </a:moveTo>
                <a:lnTo>
                  <a:pt x="404749" y="35763"/>
                </a:lnTo>
              </a:path>
              <a:path w="1396365" h="283210">
                <a:moveTo>
                  <a:pt x="434797" y="68211"/>
                </a:moveTo>
                <a:lnTo>
                  <a:pt x="434797" y="214960"/>
                </a:lnTo>
              </a:path>
              <a:path w="1396365" h="283210">
                <a:moveTo>
                  <a:pt x="333248" y="238252"/>
                </a:moveTo>
                <a:lnTo>
                  <a:pt x="333248" y="230644"/>
                </a:lnTo>
                <a:lnTo>
                  <a:pt x="327291" y="224370"/>
                </a:lnTo>
                <a:lnTo>
                  <a:pt x="319671" y="223964"/>
                </a:lnTo>
              </a:path>
              <a:path w="1396365" h="283210">
                <a:moveTo>
                  <a:pt x="333248" y="247434"/>
                </a:moveTo>
                <a:lnTo>
                  <a:pt x="336055" y="261340"/>
                </a:lnTo>
                <a:lnTo>
                  <a:pt x="343712" y="272705"/>
                </a:lnTo>
                <a:lnTo>
                  <a:pt x="355075" y="280372"/>
                </a:lnTo>
                <a:lnTo>
                  <a:pt x="368998" y="283184"/>
                </a:lnTo>
              </a:path>
              <a:path w="1396365" h="283210">
                <a:moveTo>
                  <a:pt x="333248" y="247434"/>
                </a:moveTo>
                <a:lnTo>
                  <a:pt x="333248" y="238252"/>
                </a:lnTo>
              </a:path>
              <a:path w="1396365" h="283210">
                <a:moveTo>
                  <a:pt x="311340" y="223532"/>
                </a:moveTo>
                <a:lnTo>
                  <a:pt x="319671" y="223964"/>
                </a:lnTo>
              </a:path>
              <a:path w="1396365" h="283210">
                <a:moveTo>
                  <a:pt x="303199" y="214960"/>
                </a:moveTo>
                <a:lnTo>
                  <a:pt x="303199" y="219544"/>
                </a:lnTo>
                <a:lnTo>
                  <a:pt x="306781" y="223291"/>
                </a:lnTo>
                <a:lnTo>
                  <a:pt x="311340" y="223532"/>
                </a:lnTo>
              </a:path>
              <a:path w="1396365" h="283210">
                <a:moveTo>
                  <a:pt x="418299" y="223964"/>
                </a:moveTo>
                <a:lnTo>
                  <a:pt x="410692" y="224370"/>
                </a:lnTo>
                <a:lnTo>
                  <a:pt x="404749" y="230644"/>
                </a:lnTo>
                <a:lnTo>
                  <a:pt x="404749" y="238252"/>
                </a:lnTo>
              </a:path>
              <a:path w="1396365" h="283210">
                <a:moveTo>
                  <a:pt x="426631" y="223532"/>
                </a:moveTo>
                <a:lnTo>
                  <a:pt x="431215" y="223291"/>
                </a:lnTo>
                <a:lnTo>
                  <a:pt x="434797" y="219544"/>
                </a:lnTo>
                <a:lnTo>
                  <a:pt x="434797" y="214960"/>
                </a:lnTo>
              </a:path>
              <a:path w="1396365" h="283210">
                <a:moveTo>
                  <a:pt x="426631" y="223532"/>
                </a:moveTo>
                <a:lnTo>
                  <a:pt x="418299" y="223964"/>
                </a:lnTo>
              </a:path>
              <a:path w="1396365" h="283210">
                <a:moveTo>
                  <a:pt x="404749" y="247434"/>
                </a:moveTo>
                <a:lnTo>
                  <a:pt x="404749" y="238252"/>
                </a:lnTo>
              </a:path>
              <a:path w="1396365" h="283210">
                <a:moveTo>
                  <a:pt x="368998" y="283184"/>
                </a:moveTo>
                <a:lnTo>
                  <a:pt x="382915" y="280372"/>
                </a:lnTo>
                <a:lnTo>
                  <a:pt x="394279" y="272705"/>
                </a:lnTo>
                <a:lnTo>
                  <a:pt x="401940" y="261340"/>
                </a:lnTo>
                <a:lnTo>
                  <a:pt x="404749" y="247434"/>
                </a:lnTo>
              </a:path>
              <a:path w="1396365" h="283210">
                <a:moveTo>
                  <a:pt x="319671" y="59194"/>
                </a:moveTo>
                <a:lnTo>
                  <a:pt x="327291" y="58801"/>
                </a:lnTo>
                <a:lnTo>
                  <a:pt x="333248" y="52527"/>
                </a:lnTo>
                <a:lnTo>
                  <a:pt x="333248" y="44932"/>
                </a:lnTo>
              </a:path>
              <a:path w="1396365" h="283210">
                <a:moveTo>
                  <a:pt x="368998" y="0"/>
                </a:moveTo>
                <a:lnTo>
                  <a:pt x="355075" y="2809"/>
                </a:lnTo>
                <a:lnTo>
                  <a:pt x="343712" y="10471"/>
                </a:lnTo>
                <a:lnTo>
                  <a:pt x="336055" y="21838"/>
                </a:lnTo>
                <a:lnTo>
                  <a:pt x="333248" y="35763"/>
                </a:lnTo>
              </a:path>
              <a:path w="1396365" h="283210">
                <a:moveTo>
                  <a:pt x="311340" y="59639"/>
                </a:moveTo>
                <a:lnTo>
                  <a:pt x="319671" y="59194"/>
                </a:lnTo>
              </a:path>
              <a:path w="1396365" h="283210">
                <a:moveTo>
                  <a:pt x="311340" y="59639"/>
                </a:moveTo>
                <a:lnTo>
                  <a:pt x="306781" y="59867"/>
                </a:lnTo>
                <a:lnTo>
                  <a:pt x="303199" y="63652"/>
                </a:lnTo>
                <a:lnTo>
                  <a:pt x="303199" y="68211"/>
                </a:lnTo>
              </a:path>
              <a:path w="1396365" h="283210">
                <a:moveTo>
                  <a:pt x="333248" y="44932"/>
                </a:moveTo>
                <a:lnTo>
                  <a:pt x="333248" y="35763"/>
                </a:lnTo>
              </a:path>
              <a:path w="1396365" h="283210">
                <a:moveTo>
                  <a:pt x="404749" y="44932"/>
                </a:moveTo>
                <a:lnTo>
                  <a:pt x="404749" y="52527"/>
                </a:lnTo>
                <a:lnTo>
                  <a:pt x="410692" y="58801"/>
                </a:lnTo>
                <a:lnTo>
                  <a:pt x="418299" y="59194"/>
                </a:lnTo>
              </a:path>
              <a:path w="1396365" h="283210">
                <a:moveTo>
                  <a:pt x="434797" y="68211"/>
                </a:moveTo>
                <a:lnTo>
                  <a:pt x="434797" y="63652"/>
                </a:lnTo>
                <a:lnTo>
                  <a:pt x="431215" y="59867"/>
                </a:lnTo>
                <a:lnTo>
                  <a:pt x="426631" y="59639"/>
                </a:lnTo>
              </a:path>
              <a:path w="1396365" h="283210">
                <a:moveTo>
                  <a:pt x="426631" y="59639"/>
                </a:moveTo>
                <a:lnTo>
                  <a:pt x="418299" y="59194"/>
                </a:lnTo>
              </a:path>
              <a:path w="1396365" h="283210">
                <a:moveTo>
                  <a:pt x="404749" y="44932"/>
                </a:moveTo>
                <a:lnTo>
                  <a:pt x="404749" y="35763"/>
                </a:lnTo>
              </a:path>
              <a:path w="1396365" h="283210">
                <a:moveTo>
                  <a:pt x="404749" y="35763"/>
                </a:moveTo>
                <a:lnTo>
                  <a:pt x="401940" y="21838"/>
                </a:lnTo>
                <a:lnTo>
                  <a:pt x="394279" y="10471"/>
                </a:lnTo>
                <a:lnTo>
                  <a:pt x="382915" y="2809"/>
                </a:lnTo>
                <a:lnTo>
                  <a:pt x="368998" y="0"/>
                </a:lnTo>
              </a:path>
              <a:path w="1396365" h="283210">
                <a:moveTo>
                  <a:pt x="464820" y="247434"/>
                </a:moveTo>
                <a:lnTo>
                  <a:pt x="464820" y="35763"/>
                </a:lnTo>
              </a:path>
              <a:path w="1396365" h="283210">
                <a:moveTo>
                  <a:pt x="536321" y="247434"/>
                </a:moveTo>
                <a:lnTo>
                  <a:pt x="536321" y="35763"/>
                </a:lnTo>
              </a:path>
              <a:path w="1396365" h="283210">
                <a:moveTo>
                  <a:pt x="566356" y="68211"/>
                </a:moveTo>
                <a:lnTo>
                  <a:pt x="566356" y="214960"/>
                </a:lnTo>
              </a:path>
              <a:path w="1396365" h="283210">
                <a:moveTo>
                  <a:pt x="464820" y="238252"/>
                </a:moveTo>
                <a:lnTo>
                  <a:pt x="464820" y="230644"/>
                </a:lnTo>
                <a:lnTo>
                  <a:pt x="458850" y="224370"/>
                </a:lnTo>
                <a:lnTo>
                  <a:pt x="451269" y="223964"/>
                </a:lnTo>
              </a:path>
              <a:path w="1396365" h="283210">
                <a:moveTo>
                  <a:pt x="464820" y="247434"/>
                </a:moveTo>
                <a:lnTo>
                  <a:pt x="467627" y="261340"/>
                </a:lnTo>
                <a:lnTo>
                  <a:pt x="475286" y="272705"/>
                </a:lnTo>
                <a:lnTo>
                  <a:pt x="486653" y="280372"/>
                </a:lnTo>
                <a:lnTo>
                  <a:pt x="500583" y="283184"/>
                </a:lnTo>
              </a:path>
              <a:path w="1396365" h="283210">
                <a:moveTo>
                  <a:pt x="464820" y="247434"/>
                </a:moveTo>
                <a:lnTo>
                  <a:pt x="464820" y="238252"/>
                </a:lnTo>
              </a:path>
              <a:path w="1396365" h="283210">
                <a:moveTo>
                  <a:pt x="442925" y="223532"/>
                </a:moveTo>
                <a:lnTo>
                  <a:pt x="451269" y="223964"/>
                </a:lnTo>
              </a:path>
              <a:path w="1396365" h="283210">
                <a:moveTo>
                  <a:pt x="434797" y="214960"/>
                </a:moveTo>
                <a:lnTo>
                  <a:pt x="434797" y="219544"/>
                </a:lnTo>
                <a:lnTo>
                  <a:pt x="438353" y="223291"/>
                </a:lnTo>
                <a:lnTo>
                  <a:pt x="442925" y="223532"/>
                </a:lnTo>
              </a:path>
              <a:path w="1396365" h="283210">
                <a:moveTo>
                  <a:pt x="549884" y="223964"/>
                </a:moveTo>
                <a:lnTo>
                  <a:pt x="542264" y="224370"/>
                </a:lnTo>
                <a:lnTo>
                  <a:pt x="536321" y="230644"/>
                </a:lnTo>
                <a:lnTo>
                  <a:pt x="536321" y="238252"/>
                </a:lnTo>
              </a:path>
              <a:path w="1396365" h="283210">
                <a:moveTo>
                  <a:pt x="558228" y="223532"/>
                </a:moveTo>
                <a:lnTo>
                  <a:pt x="562800" y="223291"/>
                </a:lnTo>
                <a:lnTo>
                  <a:pt x="566356" y="219544"/>
                </a:lnTo>
                <a:lnTo>
                  <a:pt x="566356" y="214960"/>
                </a:lnTo>
              </a:path>
              <a:path w="1396365" h="283210">
                <a:moveTo>
                  <a:pt x="558228" y="223532"/>
                </a:moveTo>
                <a:lnTo>
                  <a:pt x="549884" y="223964"/>
                </a:lnTo>
              </a:path>
              <a:path w="1396365" h="283210">
                <a:moveTo>
                  <a:pt x="536321" y="247434"/>
                </a:moveTo>
                <a:lnTo>
                  <a:pt x="536321" y="238252"/>
                </a:lnTo>
              </a:path>
              <a:path w="1396365" h="283210">
                <a:moveTo>
                  <a:pt x="500583" y="283184"/>
                </a:moveTo>
                <a:lnTo>
                  <a:pt x="514487" y="280372"/>
                </a:lnTo>
                <a:lnTo>
                  <a:pt x="525848" y="272705"/>
                </a:lnTo>
                <a:lnTo>
                  <a:pt x="533510" y="261340"/>
                </a:lnTo>
                <a:lnTo>
                  <a:pt x="536321" y="247434"/>
                </a:lnTo>
              </a:path>
              <a:path w="1396365" h="283210">
                <a:moveTo>
                  <a:pt x="451269" y="59194"/>
                </a:moveTo>
                <a:lnTo>
                  <a:pt x="458850" y="58801"/>
                </a:lnTo>
                <a:lnTo>
                  <a:pt x="464820" y="52527"/>
                </a:lnTo>
                <a:lnTo>
                  <a:pt x="464820" y="44932"/>
                </a:lnTo>
              </a:path>
              <a:path w="1396365" h="283210">
                <a:moveTo>
                  <a:pt x="500583" y="0"/>
                </a:moveTo>
                <a:lnTo>
                  <a:pt x="486653" y="2809"/>
                </a:lnTo>
                <a:lnTo>
                  <a:pt x="475286" y="10471"/>
                </a:lnTo>
                <a:lnTo>
                  <a:pt x="467627" y="21838"/>
                </a:lnTo>
                <a:lnTo>
                  <a:pt x="464820" y="35763"/>
                </a:lnTo>
              </a:path>
              <a:path w="1396365" h="283210">
                <a:moveTo>
                  <a:pt x="442925" y="59639"/>
                </a:moveTo>
                <a:lnTo>
                  <a:pt x="451269" y="59194"/>
                </a:lnTo>
              </a:path>
              <a:path w="1396365" h="283210">
                <a:moveTo>
                  <a:pt x="442925" y="59639"/>
                </a:moveTo>
                <a:lnTo>
                  <a:pt x="438353" y="59867"/>
                </a:lnTo>
                <a:lnTo>
                  <a:pt x="434797" y="63652"/>
                </a:lnTo>
                <a:lnTo>
                  <a:pt x="434797" y="68211"/>
                </a:lnTo>
              </a:path>
              <a:path w="1396365" h="283210">
                <a:moveTo>
                  <a:pt x="464820" y="44932"/>
                </a:moveTo>
                <a:lnTo>
                  <a:pt x="464820" y="35763"/>
                </a:lnTo>
              </a:path>
              <a:path w="1396365" h="283210">
                <a:moveTo>
                  <a:pt x="536321" y="44932"/>
                </a:moveTo>
                <a:lnTo>
                  <a:pt x="536321" y="52527"/>
                </a:lnTo>
                <a:lnTo>
                  <a:pt x="542264" y="58801"/>
                </a:lnTo>
                <a:lnTo>
                  <a:pt x="549884" y="59194"/>
                </a:lnTo>
              </a:path>
              <a:path w="1396365" h="283210">
                <a:moveTo>
                  <a:pt x="566356" y="68211"/>
                </a:moveTo>
                <a:lnTo>
                  <a:pt x="566356" y="63652"/>
                </a:lnTo>
                <a:lnTo>
                  <a:pt x="562800" y="59867"/>
                </a:lnTo>
                <a:lnTo>
                  <a:pt x="558228" y="59639"/>
                </a:lnTo>
              </a:path>
              <a:path w="1396365" h="283210">
                <a:moveTo>
                  <a:pt x="558228" y="59639"/>
                </a:moveTo>
                <a:lnTo>
                  <a:pt x="549884" y="59194"/>
                </a:lnTo>
              </a:path>
              <a:path w="1396365" h="283210">
                <a:moveTo>
                  <a:pt x="536321" y="44932"/>
                </a:moveTo>
                <a:lnTo>
                  <a:pt x="536321" y="35763"/>
                </a:lnTo>
              </a:path>
              <a:path w="1396365" h="283210">
                <a:moveTo>
                  <a:pt x="536321" y="35763"/>
                </a:moveTo>
                <a:lnTo>
                  <a:pt x="533510" y="21838"/>
                </a:lnTo>
                <a:lnTo>
                  <a:pt x="525848" y="10471"/>
                </a:lnTo>
                <a:lnTo>
                  <a:pt x="514487" y="2809"/>
                </a:lnTo>
                <a:lnTo>
                  <a:pt x="500583" y="0"/>
                </a:lnTo>
              </a:path>
              <a:path w="1396365" h="283210">
                <a:moveTo>
                  <a:pt x="596404" y="247434"/>
                </a:moveTo>
                <a:lnTo>
                  <a:pt x="596404" y="35763"/>
                </a:lnTo>
              </a:path>
              <a:path w="1396365" h="283210">
                <a:moveTo>
                  <a:pt x="667893" y="247434"/>
                </a:moveTo>
                <a:lnTo>
                  <a:pt x="667893" y="35763"/>
                </a:lnTo>
              </a:path>
              <a:path w="1396365" h="283210">
                <a:moveTo>
                  <a:pt x="697953" y="68211"/>
                </a:moveTo>
                <a:lnTo>
                  <a:pt x="697953" y="214960"/>
                </a:lnTo>
              </a:path>
              <a:path w="1396365" h="283210">
                <a:moveTo>
                  <a:pt x="596404" y="238252"/>
                </a:moveTo>
                <a:lnTo>
                  <a:pt x="596404" y="230644"/>
                </a:lnTo>
                <a:lnTo>
                  <a:pt x="590410" y="224370"/>
                </a:lnTo>
                <a:lnTo>
                  <a:pt x="582841" y="223964"/>
                </a:lnTo>
              </a:path>
              <a:path w="1396365" h="283210">
                <a:moveTo>
                  <a:pt x="596404" y="247434"/>
                </a:moveTo>
                <a:lnTo>
                  <a:pt x="599210" y="261340"/>
                </a:lnTo>
                <a:lnTo>
                  <a:pt x="606864" y="272705"/>
                </a:lnTo>
                <a:lnTo>
                  <a:pt x="618227" y="280372"/>
                </a:lnTo>
                <a:lnTo>
                  <a:pt x="632155" y="283184"/>
                </a:lnTo>
              </a:path>
              <a:path w="1396365" h="283210">
                <a:moveTo>
                  <a:pt x="596404" y="247434"/>
                </a:moveTo>
                <a:lnTo>
                  <a:pt x="596404" y="238252"/>
                </a:lnTo>
              </a:path>
              <a:path w="1396365" h="283210">
                <a:moveTo>
                  <a:pt x="574497" y="223532"/>
                </a:moveTo>
                <a:lnTo>
                  <a:pt x="582841" y="223964"/>
                </a:lnTo>
              </a:path>
              <a:path w="1396365" h="283210">
                <a:moveTo>
                  <a:pt x="566356" y="214960"/>
                </a:moveTo>
                <a:lnTo>
                  <a:pt x="566356" y="219544"/>
                </a:lnTo>
                <a:lnTo>
                  <a:pt x="569937" y="223291"/>
                </a:lnTo>
                <a:lnTo>
                  <a:pt x="574497" y="223532"/>
                </a:lnTo>
              </a:path>
              <a:path w="1396365" h="283210">
                <a:moveTo>
                  <a:pt x="681456" y="223964"/>
                </a:moveTo>
                <a:lnTo>
                  <a:pt x="673836" y="224370"/>
                </a:lnTo>
                <a:lnTo>
                  <a:pt x="667893" y="230644"/>
                </a:lnTo>
                <a:lnTo>
                  <a:pt x="667893" y="238252"/>
                </a:lnTo>
              </a:path>
              <a:path w="1396365" h="283210">
                <a:moveTo>
                  <a:pt x="689787" y="223532"/>
                </a:moveTo>
                <a:lnTo>
                  <a:pt x="694372" y="223291"/>
                </a:lnTo>
                <a:lnTo>
                  <a:pt x="697953" y="219544"/>
                </a:lnTo>
                <a:lnTo>
                  <a:pt x="697953" y="214960"/>
                </a:lnTo>
              </a:path>
              <a:path w="1396365" h="283210">
                <a:moveTo>
                  <a:pt x="689787" y="223532"/>
                </a:moveTo>
                <a:lnTo>
                  <a:pt x="681456" y="223964"/>
                </a:lnTo>
              </a:path>
              <a:path w="1396365" h="283210">
                <a:moveTo>
                  <a:pt x="667893" y="247434"/>
                </a:moveTo>
                <a:lnTo>
                  <a:pt x="667893" y="238252"/>
                </a:lnTo>
              </a:path>
              <a:path w="1396365" h="283210">
                <a:moveTo>
                  <a:pt x="632155" y="283184"/>
                </a:moveTo>
                <a:lnTo>
                  <a:pt x="646059" y="280372"/>
                </a:lnTo>
                <a:lnTo>
                  <a:pt x="657420" y="272705"/>
                </a:lnTo>
                <a:lnTo>
                  <a:pt x="665082" y="261340"/>
                </a:lnTo>
                <a:lnTo>
                  <a:pt x="667893" y="247434"/>
                </a:lnTo>
              </a:path>
              <a:path w="1396365" h="283210">
                <a:moveTo>
                  <a:pt x="582841" y="59194"/>
                </a:moveTo>
                <a:lnTo>
                  <a:pt x="590410" y="58801"/>
                </a:lnTo>
                <a:lnTo>
                  <a:pt x="596404" y="52527"/>
                </a:lnTo>
                <a:lnTo>
                  <a:pt x="596404" y="44932"/>
                </a:lnTo>
              </a:path>
              <a:path w="1396365" h="283210">
                <a:moveTo>
                  <a:pt x="632155" y="0"/>
                </a:moveTo>
                <a:lnTo>
                  <a:pt x="618227" y="2809"/>
                </a:lnTo>
                <a:lnTo>
                  <a:pt x="606864" y="10471"/>
                </a:lnTo>
                <a:lnTo>
                  <a:pt x="599210" y="21838"/>
                </a:lnTo>
                <a:lnTo>
                  <a:pt x="596404" y="35763"/>
                </a:lnTo>
              </a:path>
              <a:path w="1396365" h="283210">
                <a:moveTo>
                  <a:pt x="574497" y="59639"/>
                </a:moveTo>
                <a:lnTo>
                  <a:pt x="582841" y="59194"/>
                </a:lnTo>
              </a:path>
              <a:path w="1396365" h="283210">
                <a:moveTo>
                  <a:pt x="574497" y="59639"/>
                </a:moveTo>
                <a:lnTo>
                  <a:pt x="569937" y="59867"/>
                </a:lnTo>
                <a:lnTo>
                  <a:pt x="566356" y="63652"/>
                </a:lnTo>
                <a:lnTo>
                  <a:pt x="566356" y="68211"/>
                </a:lnTo>
              </a:path>
              <a:path w="1396365" h="283210">
                <a:moveTo>
                  <a:pt x="596404" y="44932"/>
                </a:moveTo>
                <a:lnTo>
                  <a:pt x="596404" y="35763"/>
                </a:lnTo>
              </a:path>
              <a:path w="1396365" h="283210">
                <a:moveTo>
                  <a:pt x="667893" y="44932"/>
                </a:moveTo>
                <a:lnTo>
                  <a:pt x="667893" y="52527"/>
                </a:lnTo>
                <a:lnTo>
                  <a:pt x="673836" y="58801"/>
                </a:lnTo>
                <a:lnTo>
                  <a:pt x="681456" y="59194"/>
                </a:lnTo>
              </a:path>
              <a:path w="1396365" h="283210">
                <a:moveTo>
                  <a:pt x="697953" y="68211"/>
                </a:moveTo>
                <a:lnTo>
                  <a:pt x="697953" y="63652"/>
                </a:lnTo>
                <a:lnTo>
                  <a:pt x="694372" y="59867"/>
                </a:lnTo>
                <a:lnTo>
                  <a:pt x="689787" y="59639"/>
                </a:lnTo>
              </a:path>
              <a:path w="1396365" h="283210">
                <a:moveTo>
                  <a:pt x="689787" y="59639"/>
                </a:moveTo>
                <a:lnTo>
                  <a:pt x="681456" y="59194"/>
                </a:lnTo>
              </a:path>
              <a:path w="1396365" h="283210">
                <a:moveTo>
                  <a:pt x="667893" y="44932"/>
                </a:moveTo>
                <a:lnTo>
                  <a:pt x="667893" y="35763"/>
                </a:lnTo>
              </a:path>
              <a:path w="1396365" h="283210">
                <a:moveTo>
                  <a:pt x="667893" y="35763"/>
                </a:moveTo>
                <a:lnTo>
                  <a:pt x="665082" y="21838"/>
                </a:lnTo>
                <a:lnTo>
                  <a:pt x="657420" y="10471"/>
                </a:lnTo>
                <a:lnTo>
                  <a:pt x="646059" y="2809"/>
                </a:lnTo>
                <a:lnTo>
                  <a:pt x="632155" y="0"/>
                </a:lnTo>
              </a:path>
              <a:path w="1396365" h="283210">
                <a:moveTo>
                  <a:pt x="727976" y="247434"/>
                </a:moveTo>
                <a:lnTo>
                  <a:pt x="727976" y="35763"/>
                </a:lnTo>
              </a:path>
              <a:path w="1396365" h="283210">
                <a:moveTo>
                  <a:pt x="799477" y="247434"/>
                </a:moveTo>
                <a:lnTo>
                  <a:pt x="799477" y="35763"/>
                </a:lnTo>
              </a:path>
              <a:path w="1396365" h="283210">
                <a:moveTo>
                  <a:pt x="829525" y="68211"/>
                </a:moveTo>
                <a:lnTo>
                  <a:pt x="829525" y="214960"/>
                </a:lnTo>
              </a:path>
              <a:path w="1396365" h="283210">
                <a:moveTo>
                  <a:pt x="727976" y="238252"/>
                </a:moveTo>
                <a:lnTo>
                  <a:pt x="727976" y="230644"/>
                </a:lnTo>
                <a:lnTo>
                  <a:pt x="722020" y="224370"/>
                </a:lnTo>
                <a:lnTo>
                  <a:pt x="714400" y="223964"/>
                </a:lnTo>
              </a:path>
              <a:path w="1396365" h="283210">
                <a:moveTo>
                  <a:pt x="727976" y="247434"/>
                </a:moveTo>
                <a:lnTo>
                  <a:pt x="730783" y="261340"/>
                </a:lnTo>
                <a:lnTo>
                  <a:pt x="738441" y="272705"/>
                </a:lnTo>
                <a:lnTo>
                  <a:pt x="749804" y="280372"/>
                </a:lnTo>
                <a:lnTo>
                  <a:pt x="763727" y="283184"/>
                </a:lnTo>
              </a:path>
              <a:path w="1396365" h="283210">
                <a:moveTo>
                  <a:pt x="727976" y="247434"/>
                </a:moveTo>
                <a:lnTo>
                  <a:pt x="727976" y="238252"/>
                </a:lnTo>
              </a:path>
              <a:path w="1396365" h="283210">
                <a:moveTo>
                  <a:pt x="706069" y="223532"/>
                </a:moveTo>
                <a:lnTo>
                  <a:pt x="714400" y="223964"/>
                </a:lnTo>
              </a:path>
              <a:path w="1396365" h="283210">
                <a:moveTo>
                  <a:pt x="697953" y="214960"/>
                </a:moveTo>
                <a:lnTo>
                  <a:pt x="697953" y="219544"/>
                </a:lnTo>
                <a:lnTo>
                  <a:pt x="701509" y="223291"/>
                </a:lnTo>
                <a:lnTo>
                  <a:pt x="706069" y="223532"/>
                </a:lnTo>
              </a:path>
              <a:path w="1396365" h="283210">
                <a:moveTo>
                  <a:pt x="813041" y="223964"/>
                </a:moveTo>
                <a:lnTo>
                  <a:pt x="805421" y="224370"/>
                </a:lnTo>
                <a:lnTo>
                  <a:pt x="799477" y="230644"/>
                </a:lnTo>
                <a:lnTo>
                  <a:pt x="799477" y="238252"/>
                </a:lnTo>
              </a:path>
              <a:path w="1396365" h="283210">
                <a:moveTo>
                  <a:pt x="821359" y="223532"/>
                </a:moveTo>
                <a:lnTo>
                  <a:pt x="825944" y="223291"/>
                </a:lnTo>
                <a:lnTo>
                  <a:pt x="829525" y="219544"/>
                </a:lnTo>
                <a:lnTo>
                  <a:pt x="829525" y="214960"/>
                </a:lnTo>
              </a:path>
              <a:path w="1396365" h="283210">
                <a:moveTo>
                  <a:pt x="821359" y="223532"/>
                </a:moveTo>
                <a:lnTo>
                  <a:pt x="813041" y="223964"/>
                </a:lnTo>
              </a:path>
              <a:path w="1396365" h="283210">
                <a:moveTo>
                  <a:pt x="799477" y="247434"/>
                </a:moveTo>
                <a:lnTo>
                  <a:pt x="799477" y="238252"/>
                </a:lnTo>
              </a:path>
              <a:path w="1396365" h="283210">
                <a:moveTo>
                  <a:pt x="763727" y="283184"/>
                </a:moveTo>
                <a:lnTo>
                  <a:pt x="777644" y="280372"/>
                </a:lnTo>
                <a:lnTo>
                  <a:pt x="789008" y="272705"/>
                </a:lnTo>
                <a:lnTo>
                  <a:pt x="796668" y="261340"/>
                </a:lnTo>
                <a:lnTo>
                  <a:pt x="799477" y="247434"/>
                </a:lnTo>
              </a:path>
              <a:path w="1396365" h="283210">
                <a:moveTo>
                  <a:pt x="714400" y="59194"/>
                </a:moveTo>
                <a:lnTo>
                  <a:pt x="722020" y="58801"/>
                </a:lnTo>
                <a:lnTo>
                  <a:pt x="727976" y="52527"/>
                </a:lnTo>
                <a:lnTo>
                  <a:pt x="727976" y="44932"/>
                </a:lnTo>
              </a:path>
              <a:path w="1396365" h="283210">
                <a:moveTo>
                  <a:pt x="763727" y="0"/>
                </a:moveTo>
                <a:lnTo>
                  <a:pt x="749804" y="2809"/>
                </a:lnTo>
                <a:lnTo>
                  <a:pt x="738441" y="10471"/>
                </a:lnTo>
                <a:lnTo>
                  <a:pt x="730783" y="21838"/>
                </a:lnTo>
                <a:lnTo>
                  <a:pt x="727976" y="35763"/>
                </a:lnTo>
              </a:path>
            </a:pathLst>
          </a:custGeom>
          <a:ln w="10185">
            <a:solidFill>
              <a:srgbClr val="000000"/>
            </a:solidFill>
          </a:ln>
        </xdr:spPr>
      </xdr:sp>
      <xdr:sp macro="" textlink="">
        <xdr:nvSpPr>
          <xdr:cNvPr id="68" name="Shape 324">
            <a:extLst>
              <a:ext uri="{FF2B5EF4-FFF2-40B4-BE49-F238E27FC236}">
                <a16:creationId xmlns:a16="http://schemas.microsoft.com/office/drawing/2014/main" id="{590DDF04-B6CA-F430-9977-444101603E30}"/>
              </a:ext>
            </a:extLst>
          </xdr:cNvPr>
          <xdr:cNvSpPr/>
        </xdr:nvSpPr>
        <xdr:spPr>
          <a:xfrm>
            <a:off x="1191902" y="129443"/>
            <a:ext cx="526415" cy="283210"/>
          </a:xfrm>
          <a:custGeom>
            <a:avLst/>
            <a:gdLst/>
            <a:ahLst/>
            <a:cxnLst/>
            <a:rect l="0" t="0" r="0" b="0"/>
            <a:pathLst>
              <a:path w="526415" h="283210">
                <a:moveTo>
                  <a:pt x="8115" y="59626"/>
                </a:moveTo>
                <a:lnTo>
                  <a:pt x="16446" y="59194"/>
                </a:lnTo>
              </a:path>
              <a:path w="526415" h="283210">
                <a:moveTo>
                  <a:pt x="8115" y="59626"/>
                </a:moveTo>
                <a:lnTo>
                  <a:pt x="3556" y="59867"/>
                </a:lnTo>
                <a:lnTo>
                  <a:pt x="0" y="63639"/>
                </a:lnTo>
                <a:lnTo>
                  <a:pt x="0" y="68199"/>
                </a:lnTo>
              </a:path>
              <a:path w="526415" h="283210">
                <a:moveTo>
                  <a:pt x="30022" y="44919"/>
                </a:moveTo>
                <a:lnTo>
                  <a:pt x="30022" y="35750"/>
                </a:lnTo>
              </a:path>
              <a:path w="526415" h="283210">
                <a:moveTo>
                  <a:pt x="101523" y="44919"/>
                </a:moveTo>
                <a:lnTo>
                  <a:pt x="101523" y="52527"/>
                </a:lnTo>
                <a:lnTo>
                  <a:pt x="107480" y="58788"/>
                </a:lnTo>
                <a:lnTo>
                  <a:pt x="115100" y="59194"/>
                </a:lnTo>
              </a:path>
              <a:path w="526415" h="283210">
                <a:moveTo>
                  <a:pt x="131572" y="68199"/>
                </a:moveTo>
                <a:lnTo>
                  <a:pt x="131572" y="63639"/>
                </a:lnTo>
                <a:lnTo>
                  <a:pt x="127990" y="59867"/>
                </a:lnTo>
                <a:lnTo>
                  <a:pt x="123405" y="59626"/>
                </a:lnTo>
              </a:path>
              <a:path w="526415" h="283210">
                <a:moveTo>
                  <a:pt x="123405" y="59626"/>
                </a:moveTo>
                <a:lnTo>
                  <a:pt x="115100" y="59194"/>
                </a:lnTo>
              </a:path>
              <a:path w="526415" h="283210">
                <a:moveTo>
                  <a:pt x="101523" y="44919"/>
                </a:moveTo>
                <a:lnTo>
                  <a:pt x="101523" y="35750"/>
                </a:lnTo>
              </a:path>
              <a:path w="526415" h="283210">
                <a:moveTo>
                  <a:pt x="101523" y="35750"/>
                </a:moveTo>
                <a:lnTo>
                  <a:pt x="98716" y="21827"/>
                </a:lnTo>
                <a:lnTo>
                  <a:pt x="91059" y="10464"/>
                </a:lnTo>
                <a:lnTo>
                  <a:pt x="79696" y="2807"/>
                </a:lnTo>
                <a:lnTo>
                  <a:pt x="65773" y="0"/>
                </a:lnTo>
              </a:path>
              <a:path w="526415" h="283210">
                <a:moveTo>
                  <a:pt x="161607" y="247434"/>
                </a:moveTo>
                <a:lnTo>
                  <a:pt x="161607" y="35750"/>
                </a:lnTo>
              </a:path>
              <a:path w="526415" h="283210">
                <a:moveTo>
                  <a:pt x="233095" y="247434"/>
                </a:moveTo>
                <a:lnTo>
                  <a:pt x="233095" y="35750"/>
                </a:lnTo>
              </a:path>
              <a:path w="526415" h="283210">
                <a:moveTo>
                  <a:pt x="263144" y="68199"/>
                </a:moveTo>
                <a:lnTo>
                  <a:pt x="263144" y="214947"/>
                </a:lnTo>
              </a:path>
              <a:path w="526415" h="283210">
                <a:moveTo>
                  <a:pt x="161607" y="238239"/>
                </a:moveTo>
                <a:lnTo>
                  <a:pt x="161607" y="230644"/>
                </a:lnTo>
                <a:lnTo>
                  <a:pt x="155625" y="224370"/>
                </a:lnTo>
                <a:lnTo>
                  <a:pt x="148043" y="223964"/>
                </a:lnTo>
              </a:path>
              <a:path w="526415" h="283210">
                <a:moveTo>
                  <a:pt x="161607" y="247434"/>
                </a:moveTo>
                <a:lnTo>
                  <a:pt x="164412" y="261335"/>
                </a:lnTo>
                <a:lnTo>
                  <a:pt x="172067" y="272700"/>
                </a:lnTo>
                <a:lnTo>
                  <a:pt x="183429" y="280370"/>
                </a:lnTo>
                <a:lnTo>
                  <a:pt x="197358" y="283184"/>
                </a:lnTo>
              </a:path>
              <a:path w="526415" h="283210">
                <a:moveTo>
                  <a:pt x="161607" y="247434"/>
                </a:moveTo>
                <a:lnTo>
                  <a:pt x="161607" y="238239"/>
                </a:lnTo>
              </a:path>
              <a:path w="526415" h="283210">
                <a:moveTo>
                  <a:pt x="139700" y="223532"/>
                </a:moveTo>
                <a:lnTo>
                  <a:pt x="148043" y="223964"/>
                </a:lnTo>
              </a:path>
              <a:path w="526415" h="283210">
                <a:moveTo>
                  <a:pt x="131572" y="214947"/>
                </a:moveTo>
                <a:lnTo>
                  <a:pt x="131572" y="219532"/>
                </a:lnTo>
                <a:lnTo>
                  <a:pt x="135128" y="223291"/>
                </a:lnTo>
                <a:lnTo>
                  <a:pt x="139700" y="223532"/>
                </a:lnTo>
              </a:path>
              <a:path w="526415" h="283210">
                <a:moveTo>
                  <a:pt x="246659" y="223964"/>
                </a:moveTo>
                <a:lnTo>
                  <a:pt x="239039" y="224370"/>
                </a:lnTo>
                <a:lnTo>
                  <a:pt x="233095" y="230644"/>
                </a:lnTo>
                <a:lnTo>
                  <a:pt x="233095" y="238239"/>
                </a:lnTo>
              </a:path>
              <a:path w="526415" h="283210">
                <a:moveTo>
                  <a:pt x="255003" y="223532"/>
                </a:moveTo>
                <a:lnTo>
                  <a:pt x="259575" y="223291"/>
                </a:lnTo>
                <a:lnTo>
                  <a:pt x="263144" y="219532"/>
                </a:lnTo>
                <a:lnTo>
                  <a:pt x="263144" y="214947"/>
                </a:lnTo>
              </a:path>
              <a:path w="526415" h="283210">
                <a:moveTo>
                  <a:pt x="255003" y="223532"/>
                </a:moveTo>
                <a:lnTo>
                  <a:pt x="246659" y="223964"/>
                </a:lnTo>
              </a:path>
              <a:path w="526415" h="283210">
                <a:moveTo>
                  <a:pt x="233095" y="247434"/>
                </a:moveTo>
                <a:lnTo>
                  <a:pt x="233095" y="238239"/>
                </a:lnTo>
              </a:path>
              <a:path w="526415" h="283210">
                <a:moveTo>
                  <a:pt x="197358" y="283184"/>
                </a:moveTo>
                <a:lnTo>
                  <a:pt x="211262" y="280370"/>
                </a:lnTo>
                <a:lnTo>
                  <a:pt x="222623" y="272700"/>
                </a:lnTo>
                <a:lnTo>
                  <a:pt x="230285" y="261335"/>
                </a:lnTo>
                <a:lnTo>
                  <a:pt x="233095" y="247434"/>
                </a:lnTo>
              </a:path>
              <a:path w="526415" h="283210">
                <a:moveTo>
                  <a:pt x="148043" y="59194"/>
                </a:moveTo>
                <a:lnTo>
                  <a:pt x="155625" y="58788"/>
                </a:lnTo>
                <a:lnTo>
                  <a:pt x="161607" y="52527"/>
                </a:lnTo>
                <a:lnTo>
                  <a:pt x="161607" y="44919"/>
                </a:lnTo>
              </a:path>
              <a:path w="526415" h="283210">
                <a:moveTo>
                  <a:pt x="197358" y="0"/>
                </a:moveTo>
                <a:lnTo>
                  <a:pt x="183429" y="2807"/>
                </a:lnTo>
                <a:lnTo>
                  <a:pt x="172067" y="10464"/>
                </a:lnTo>
                <a:lnTo>
                  <a:pt x="164412" y="21827"/>
                </a:lnTo>
                <a:lnTo>
                  <a:pt x="161607" y="35750"/>
                </a:lnTo>
              </a:path>
              <a:path w="526415" h="283210">
                <a:moveTo>
                  <a:pt x="139700" y="59626"/>
                </a:moveTo>
                <a:lnTo>
                  <a:pt x="148043" y="59194"/>
                </a:lnTo>
              </a:path>
              <a:path w="526415" h="283210">
                <a:moveTo>
                  <a:pt x="139700" y="59626"/>
                </a:moveTo>
                <a:lnTo>
                  <a:pt x="135128" y="59867"/>
                </a:lnTo>
                <a:lnTo>
                  <a:pt x="131572" y="63639"/>
                </a:lnTo>
                <a:lnTo>
                  <a:pt x="131572" y="68199"/>
                </a:lnTo>
              </a:path>
              <a:path w="526415" h="283210">
                <a:moveTo>
                  <a:pt x="161607" y="44919"/>
                </a:moveTo>
                <a:lnTo>
                  <a:pt x="161607" y="35750"/>
                </a:lnTo>
              </a:path>
              <a:path w="526415" h="283210">
                <a:moveTo>
                  <a:pt x="233095" y="44919"/>
                </a:moveTo>
                <a:lnTo>
                  <a:pt x="233095" y="52527"/>
                </a:lnTo>
                <a:lnTo>
                  <a:pt x="239039" y="58788"/>
                </a:lnTo>
                <a:lnTo>
                  <a:pt x="246659" y="59194"/>
                </a:lnTo>
              </a:path>
              <a:path w="526415" h="283210">
                <a:moveTo>
                  <a:pt x="263144" y="68199"/>
                </a:moveTo>
                <a:lnTo>
                  <a:pt x="263144" y="63639"/>
                </a:lnTo>
                <a:lnTo>
                  <a:pt x="259575" y="59867"/>
                </a:lnTo>
                <a:lnTo>
                  <a:pt x="255003" y="59626"/>
                </a:lnTo>
              </a:path>
              <a:path w="526415" h="283210">
                <a:moveTo>
                  <a:pt x="255003" y="59626"/>
                </a:moveTo>
                <a:lnTo>
                  <a:pt x="246659" y="59194"/>
                </a:lnTo>
              </a:path>
              <a:path w="526415" h="283210">
                <a:moveTo>
                  <a:pt x="233095" y="44919"/>
                </a:moveTo>
                <a:lnTo>
                  <a:pt x="233095" y="35750"/>
                </a:lnTo>
              </a:path>
              <a:path w="526415" h="283210">
                <a:moveTo>
                  <a:pt x="233095" y="35750"/>
                </a:moveTo>
                <a:lnTo>
                  <a:pt x="230285" y="21827"/>
                </a:lnTo>
                <a:lnTo>
                  <a:pt x="222623" y="10464"/>
                </a:lnTo>
                <a:lnTo>
                  <a:pt x="211262" y="2807"/>
                </a:lnTo>
                <a:lnTo>
                  <a:pt x="197358" y="0"/>
                </a:lnTo>
              </a:path>
              <a:path w="526415" h="283210">
                <a:moveTo>
                  <a:pt x="293179" y="247434"/>
                </a:moveTo>
                <a:lnTo>
                  <a:pt x="293179" y="35750"/>
                </a:lnTo>
              </a:path>
              <a:path w="526415" h="283210">
                <a:moveTo>
                  <a:pt x="364667" y="247434"/>
                </a:moveTo>
                <a:lnTo>
                  <a:pt x="364667" y="35750"/>
                </a:lnTo>
              </a:path>
              <a:path w="526415" h="283210">
                <a:moveTo>
                  <a:pt x="394728" y="68199"/>
                </a:moveTo>
                <a:lnTo>
                  <a:pt x="394728" y="214947"/>
                </a:lnTo>
              </a:path>
              <a:path w="526415" h="283210">
                <a:moveTo>
                  <a:pt x="293179" y="238239"/>
                </a:moveTo>
                <a:lnTo>
                  <a:pt x="293179" y="230644"/>
                </a:lnTo>
                <a:lnTo>
                  <a:pt x="287235" y="224370"/>
                </a:lnTo>
                <a:lnTo>
                  <a:pt x="279615" y="223964"/>
                </a:lnTo>
              </a:path>
              <a:path w="526415" h="283210">
                <a:moveTo>
                  <a:pt x="293179" y="247434"/>
                </a:moveTo>
                <a:lnTo>
                  <a:pt x="295988" y="261335"/>
                </a:lnTo>
                <a:lnTo>
                  <a:pt x="303649" y="272700"/>
                </a:lnTo>
                <a:lnTo>
                  <a:pt x="315012" y="280370"/>
                </a:lnTo>
                <a:lnTo>
                  <a:pt x="328930" y="283184"/>
                </a:lnTo>
              </a:path>
              <a:path w="526415" h="283210">
                <a:moveTo>
                  <a:pt x="293179" y="247434"/>
                </a:moveTo>
                <a:lnTo>
                  <a:pt x="293179" y="238239"/>
                </a:lnTo>
              </a:path>
              <a:path w="526415" h="283210">
                <a:moveTo>
                  <a:pt x="271272" y="223532"/>
                </a:moveTo>
                <a:lnTo>
                  <a:pt x="279615" y="223964"/>
                </a:lnTo>
              </a:path>
              <a:path w="526415" h="283210">
                <a:moveTo>
                  <a:pt x="263144" y="214947"/>
                </a:moveTo>
                <a:lnTo>
                  <a:pt x="263144" y="219532"/>
                </a:lnTo>
                <a:lnTo>
                  <a:pt x="266725" y="223291"/>
                </a:lnTo>
                <a:lnTo>
                  <a:pt x="271272" y="223532"/>
                </a:lnTo>
              </a:path>
              <a:path w="526415" h="283210">
                <a:moveTo>
                  <a:pt x="378231" y="223964"/>
                </a:moveTo>
                <a:lnTo>
                  <a:pt x="370636" y="224370"/>
                </a:lnTo>
                <a:lnTo>
                  <a:pt x="364667" y="230644"/>
                </a:lnTo>
                <a:lnTo>
                  <a:pt x="364667" y="238239"/>
                </a:lnTo>
              </a:path>
              <a:path w="526415" h="283210">
                <a:moveTo>
                  <a:pt x="386575" y="223532"/>
                </a:moveTo>
                <a:lnTo>
                  <a:pt x="391147" y="223291"/>
                </a:lnTo>
                <a:lnTo>
                  <a:pt x="394728" y="219532"/>
                </a:lnTo>
                <a:lnTo>
                  <a:pt x="394728" y="214947"/>
                </a:lnTo>
              </a:path>
              <a:path w="526415" h="283210">
                <a:moveTo>
                  <a:pt x="386575" y="223532"/>
                </a:moveTo>
                <a:lnTo>
                  <a:pt x="378231" y="223964"/>
                </a:lnTo>
              </a:path>
              <a:path w="526415" h="283210">
                <a:moveTo>
                  <a:pt x="364667" y="247434"/>
                </a:moveTo>
                <a:lnTo>
                  <a:pt x="364667" y="238239"/>
                </a:lnTo>
              </a:path>
              <a:path w="526415" h="283210">
                <a:moveTo>
                  <a:pt x="328930" y="283184"/>
                </a:moveTo>
                <a:lnTo>
                  <a:pt x="342850" y="280370"/>
                </a:lnTo>
                <a:lnTo>
                  <a:pt x="354209" y="272700"/>
                </a:lnTo>
                <a:lnTo>
                  <a:pt x="361862" y="261335"/>
                </a:lnTo>
                <a:lnTo>
                  <a:pt x="364667" y="247434"/>
                </a:lnTo>
              </a:path>
              <a:path w="526415" h="283210">
                <a:moveTo>
                  <a:pt x="279615" y="59194"/>
                </a:moveTo>
                <a:lnTo>
                  <a:pt x="287235" y="58788"/>
                </a:lnTo>
                <a:lnTo>
                  <a:pt x="293179" y="52527"/>
                </a:lnTo>
                <a:lnTo>
                  <a:pt x="293179" y="44919"/>
                </a:lnTo>
              </a:path>
              <a:path w="526415" h="283210">
                <a:moveTo>
                  <a:pt x="328930" y="0"/>
                </a:moveTo>
                <a:lnTo>
                  <a:pt x="315012" y="2807"/>
                </a:lnTo>
                <a:lnTo>
                  <a:pt x="303649" y="10464"/>
                </a:lnTo>
                <a:lnTo>
                  <a:pt x="295988" y="21827"/>
                </a:lnTo>
                <a:lnTo>
                  <a:pt x="293179" y="35750"/>
                </a:lnTo>
              </a:path>
              <a:path w="526415" h="283210">
                <a:moveTo>
                  <a:pt x="271272" y="59626"/>
                </a:moveTo>
                <a:lnTo>
                  <a:pt x="279615" y="59194"/>
                </a:lnTo>
              </a:path>
              <a:path w="526415" h="283210">
                <a:moveTo>
                  <a:pt x="271272" y="59626"/>
                </a:moveTo>
                <a:lnTo>
                  <a:pt x="266725" y="59867"/>
                </a:lnTo>
                <a:lnTo>
                  <a:pt x="263144" y="63639"/>
                </a:lnTo>
                <a:lnTo>
                  <a:pt x="263144" y="68199"/>
                </a:lnTo>
              </a:path>
              <a:path w="526415" h="283210">
                <a:moveTo>
                  <a:pt x="293179" y="44919"/>
                </a:moveTo>
                <a:lnTo>
                  <a:pt x="293179" y="35750"/>
                </a:lnTo>
              </a:path>
              <a:path w="526415" h="283210">
                <a:moveTo>
                  <a:pt x="364667" y="44919"/>
                </a:moveTo>
                <a:lnTo>
                  <a:pt x="364667" y="52527"/>
                </a:lnTo>
                <a:lnTo>
                  <a:pt x="370636" y="58788"/>
                </a:lnTo>
                <a:lnTo>
                  <a:pt x="378231" y="59194"/>
                </a:lnTo>
              </a:path>
              <a:path w="526415" h="283210">
                <a:moveTo>
                  <a:pt x="394728" y="68199"/>
                </a:moveTo>
                <a:lnTo>
                  <a:pt x="394728" y="63639"/>
                </a:lnTo>
                <a:lnTo>
                  <a:pt x="391147" y="59867"/>
                </a:lnTo>
                <a:lnTo>
                  <a:pt x="386575" y="59626"/>
                </a:lnTo>
              </a:path>
              <a:path w="526415" h="283210">
                <a:moveTo>
                  <a:pt x="386575" y="59626"/>
                </a:moveTo>
                <a:lnTo>
                  <a:pt x="378231" y="59194"/>
                </a:lnTo>
              </a:path>
              <a:path w="526415" h="283210">
                <a:moveTo>
                  <a:pt x="364667" y="44919"/>
                </a:moveTo>
                <a:lnTo>
                  <a:pt x="364667" y="35750"/>
                </a:lnTo>
              </a:path>
              <a:path w="526415" h="283210">
                <a:moveTo>
                  <a:pt x="364667" y="35750"/>
                </a:moveTo>
                <a:lnTo>
                  <a:pt x="361862" y="21827"/>
                </a:lnTo>
                <a:lnTo>
                  <a:pt x="354209" y="10464"/>
                </a:lnTo>
                <a:lnTo>
                  <a:pt x="342850" y="2807"/>
                </a:lnTo>
                <a:lnTo>
                  <a:pt x="328930" y="0"/>
                </a:lnTo>
              </a:path>
              <a:path w="526415" h="283210">
                <a:moveTo>
                  <a:pt x="424751" y="247434"/>
                </a:moveTo>
                <a:lnTo>
                  <a:pt x="424751" y="35750"/>
                </a:lnTo>
              </a:path>
              <a:path w="526415" h="283210">
                <a:moveTo>
                  <a:pt x="496252" y="247434"/>
                </a:moveTo>
                <a:lnTo>
                  <a:pt x="496252" y="35750"/>
                </a:lnTo>
              </a:path>
              <a:path w="526415" h="283210">
                <a:moveTo>
                  <a:pt x="526300" y="68199"/>
                </a:moveTo>
                <a:lnTo>
                  <a:pt x="526300" y="214947"/>
                </a:lnTo>
              </a:path>
              <a:path w="526415" h="283210">
                <a:moveTo>
                  <a:pt x="424751" y="238239"/>
                </a:moveTo>
                <a:lnTo>
                  <a:pt x="424751" y="230644"/>
                </a:lnTo>
                <a:lnTo>
                  <a:pt x="418795" y="224370"/>
                </a:lnTo>
                <a:lnTo>
                  <a:pt x="411175" y="223964"/>
                </a:lnTo>
              </a:path>
              <a:path w="526415" h="283210">
                <a:moveTo>
                  <a:pt x="424751" y="247434"/>
                </a:moveTo>
                <a:lnTo>
                  <a:pt x="427558" y="261335"/>
                </a:lnTo>
                <a:lnTo>
                  <a:pt x="435216" y="272700"/>
                </a:lnTo>
                <a:lnTo>
                  <a:pt x="446579" y="280370"/>
                </a:lnTo>
                <a:lnTo>
                  <a:pt x="460502" y="283184"/>
                </a:lnTo>
              </a:path>
              <a:path w="526415" h="283210">
                <a:moveTo>
                  <a:pt x="424751" y="247434"/>
                </a:moveTo>
                <a:lnTo>
                  <a:pt x="424751" y="238239"/>
                </a:lnTo>
              </a:path>
              <a:path w="526415" h="283210">
                <a:moveTo>
                  <a:pt x="402869" y="223532"/>
                </a:moveTo>
                <a:lnTo>
                  <a:pt x="411175" y="223964"/>
                </a:lnTo>
              </a:path>
              <a:path w="526415" h="283210">
                <a:moveTo>
                  <a:pt x="394728" y="214947"/>
                </a:moveTo>
                <a:lnTo>
                  <a:pt x="394728" y="219532"/>
                </a:lnTo>
                <a:lnTo>
                  <a:pt x="398284" y="223291"/>
                </a:lnTo>
                <a:lnTo>
                  <a:pt x="402869" y="223532"/>
                </a:lnTo>
              </a:path>
              <a:path w="526415" h="283210">
                <a:moveTo>
                  <a:pt x="509828" y="223964"/>
                </a:moveTo>
                <a:lnTo>
                  <a:pt x="502208" y="224370"/>
                </a:lnTo>
                <a:lnTo>
                  <a:pt x="496252" y="230644"/>
                </a:lnTo>
                <a:lnTo>
                  <a:pt x="496252" y="238239"/>
                </a:lnTo>
              </a:path>
              <a:path w="526415" h="283210">
                <a:moveTo>
                  <a:pt x="518160" y="223532"/>
                </a:moveTo>
                <a:lnTo>
                  <a:pt x="522732" y="223291"/>
                </a:lnTo>
                <a:lnTo>
                  <a:pt x="526300" y="219532"/>
                </a:lnTo>
                <a:lnTo>
                  <a:pt x="526300" y="214947"/>
                </a:lnTo>
              </a:path>
              <a:path w="526415" h="283210">
                <a:moveTo>
                  <a:pt x="518160" y="223532"/>
                </a:moveTo>
                <a:lnTo>
                  <a:pt x="509828" y="223964"/>
                </a:lnTo>
              </a:path>
              <a:path w="526415" h="283210">
                <a:moveTo>
                  <a:pt x="496252" y="247434"/>
                </a:moveTo>
                <a:lnTo>
                  <a:pt x="496252" y="238239"/>
                </a:lnTo>
              </a:path>
              <a:path w="526415" h="283210">
                <a:moveTo>
                  <a:pt x="460502" y="283184"/>
                </a:moveTo>
                <a:lnTo>
                  <a:pt x="474424" y="280370"/>
                </a:lnTo>
                <a:lnTo>
                  <a:pt x="485787" y="272700"/>
                </a:lnTo>
                <a:lnTo>
                  <a:pt x="493445" y="261335"/>
                </a:lnTo>
                <a:lnTo>
                  <a:pt x="496252" y="247434"/>
                </a:lnTo>
              </a:path>
              <a:path w="526415" h="283210">
                <a:moveTo>
                  <a:pt x="411175" y="59194"/>
                </a:moveTo>
                <a:lnTo>
                  <a:pt x="418795" y="58788"/>
                </a:lnTo>
                <a:lnTo>
                  <a:pt x="424751" y="52527"/>
                </a:lnTo>
                <a:lnTo>
                  <a:pt x="424751" y="44919"/>
                </a:lnTo>
              </a:path>
              <a:path w="526415" h="283210">
                <a:moveTo>
                  <a:pt x="460502" y="0"/>
                </a:moveTo>
                <a:lnTo>
                  <a:pt x="446579" y="2807"/>
                </a:lnTo>
                <a:lnTo>
                  <a:pt x="435216" y="10464"/>
                </a:lnTo>
                <a:lnTo>
                  <a:pt x="427558" y="21827"/>
                </a:lnTo>
                <a:lnTo>
                  <a:pt x="424751" y="35750"/>
                </a:lnTo>
              </a:path>
              <a:path w="526415" h="283210">
                <a:moveTo>
                  <a:pt x="402869" y="59626"/>
                </a:moveTo>
                <a:lnTo>
                  <a:pt x="411175" y="59194"/>
                </a:lnTo>
              </a:path>
              <a:path w="526415" h="283210">
                <a:moveTo>
                  <a:pt x="402869" y="59626"/>
                </a:moveTo>
                <a:lnTo>
                  <a:pt x="398284" y="59867"/>
                </a:lnTo>
                <a:lnTo>
                  <a:pt x="394728" y="63639"/>
                </a:lnTo>
                <a:lnTo>
                  <a:pt x="394728" y="68199"/>
                </a:lnTo>
              </a:path>
              <a:path w="526415" h="283210">
                <a:moveTo>
                  <a:pt x="424751" y="44919"/>
                </a:moveTo>
                <a:lnTo>
                  <a:pt x="424751" y="35750"/>
                </a:lnTo>
              </a:path>
              <a:path w="526415" h="283210">
                <a:moveTo>
                  <a:pt x="496252" y="44919"/>
                </a:moveTo>
                <a:lnTo>
                  <a:pt x="496252" y="52527"/>
                </a:lnTo>
                <a:lnTo>
                  <a:pt x="502208" y="58788"/>
                </a:lnTo>
                <a:lnTo>
                  <a:pt x="509828" y="59194"/>
                </a:lnTo>
              </a:path>
              <a:path w="526415" h="283210">
                <a:moveTo>
                  <a:pt x="526300" y="68199"/>
                </a:moveTo>
                <a:lnTo>
                  <a:pt x="526300" y="63639"/>
                </a:lnTo>
                <a:lnTo>
                  <a:pt x="522732" y="59867"/>
                </a:lnTo>
                <a:lnTo>
                  <a:pt x="518160" y="59626"/>
                </a:lnTo>
              </a:path>
              <a:path w="526415" h="283210">
                <a:moveTo>
                  <a:pt x="518160" y="59626"/>
                </a:moveTo>
                <a:lnTo>
                  <a:pt x="509828" y="59194"/>
                </a:lnTo>
              </a:path>
              <a:path w="526415" h="283210">
                <a:moveTo>
                  <a:pt x="496252" y="44919"/>
                </a:moveTo>
                <a:lnTo>
                  <a:pt x="496252" y="35750"/>
                </a:lnTo>
              </a:path>
              <a:path w="526415" h="283210">
                <a:moveTo>
                  <a:pt x="496252" y="35750"/>
                </a:moveTo>
                <a:lnTo>
                  <a:pt x="493445" y="21827"/>
                </a:lnTo>
                <a:lnTo>
                  <a:pt x="485787" y="10464"/>
                </a:lnTo>
                <a:lnTo>
                  <a:pt x="474424" y="2807"/>
                </a:lnTo>
                <a:lnTo>
                  <a:pt x="460502" y="0"/>
                </a:lnTo>
              </a:path>
              <a:path w="526415" h="283210">
                <a:moveTo>
                  <a:pt x="526300" y="68199"/>
                </a:moveTo>
                <a:lnTo>
                  <a:pt x="526300" y="214947"/>
                </a:lnTo>
              </a:path>
            </a:pathLst>
          </a:custGeom>
          <a:ln w="10185">
            <a:solidFill>
              <a:srgbClr val="000000"/>
            </a:solidFill>
          </a:ln>
        </xdr:spPr>
      </xdr:sp>
      <xdr:sp macro="" textlink="">
        <xdr:nvSpPr>
          <xdr:cNvPr id="69" name="Shape 325">
            <a:extLst>
              <a:ext uri="{FF2B5EF4-FFF2-40B4-BE49-F238E27FC236}">
                <a16:creationId xmlns:a16="http://schemas.microsoft.com/office/drawing/2014/main" id="{809C409E-648D-14BB-C782-6D6A42DD4948}"/>
              </a:ext>
            </a:extLst>
          </xdr:cNvPr>
          <xdr:cNvSpPr/>
        </xdr:nvSpPr>
        <xdr:spPr>
          <a:xfrm>
            <a:off x="43633" y="554"/>
            <a:ext cx="499109" cy="553720"/>
          </a:xfrm>
          <a:custGeom>
            <a:avLst/>
            <a:gdLst/>
            <a:ahLst/>
            <a:cxnLst/>
            <a:rect l="0" t="0" r="0" b="0"/>
            <a:pathLst>
              <a:path w="499109" h="553720">
                <a:moveTo>
                  <a:pt x="499008" y="410895"/>
                </a:moveTo>
                <a:lnTo>
                  <a:pt x="0" y="410895"/>
                </a:lnTo>
              </a:path>
              <a:path w="499109" h="553720">
                <a:moveTo>
                  <a:pt x="57213" y="179285"/>
                </a:moveTo>
                <a:lnTo>
                  <a:pt x="57213" y="356616"/>
                </a:lnTo>
              </a:path>
              <a:path w="499109" h="553720">
                <a:moveTo>
                  <a:pt x="393166" y="270459"/>
                </a:moveTo>
                <a:lnTo>
                  <a:pt x="171627" y="270459"/>
                </a:lnTo>
              </a:path>
              <a:path w="499109" h="553720">
                <a:moveTo>
                  <a:pt x="228841" y="213258"/>
                </a:moveTo>
                <a:lnTo>
                  <a:pt x="228841" y="0"/>
                </a:lnTo>
              </a:path>
              <a:path w="499109" h="553720">
                <a:moveTo>
                  <a:pt x="228841" y="468122"/>
                </a:moveTo>
                <a:lnTo>
                  <a:pt x="228841" y="553504"/>
                </a:lnTo>
              </a:path>
              <a:path w="499109" h="553720">
                <a:moveTo>
                  <a:pt x="0" y="130022"/>
                </a:moveTo>
                <a:lnTo>
                  <a:pt x="194297" y="130022"/>
                </a:lnTo>
              </a:path>
              <a:path w="499109" h="553720">
                <a:moveTo>
                  <a:pt x="187134" y="130022"/>
                </a:moveTo>
                <a:lnTo>
                  <a:pt x="499008" y="130022"/>
                </a:lnTo>
              </a:path>
              <a:path w="499109" h="553720">
                <a:moveTo>
                  <a:pt x="228841" y="410895"/>
                </a:moveTo>
                <a:lnTo>
                  <a:pt x="228841" y="270459"/>
                </a:lnTo>
              </a:path>
            </a:pathLst>
          </a:custGeom>
          <a:ln w="6108">
            <a:solidFill>
              <a:srgbClr val="000000"/>
            </a:solidFill>
          </a:ln>
        </xdr:spPr>
      </xdr:sp>
      <xdr:sp macro="" textlink="">
        <xdr:nvSpPr>
          <xdr:cNvPr id="70" name="Shape 326">
            <a:extLst>
              <a:ext uri="{FF2B5EF4-FFF2-40B4-BE49-F238E27FC236}">
                <a16:creationId xmlns:a16="http://schemas.microsoft.com/office/drawing/2014/main" id="{561C5F7B-0B5D-D1B1-E5E1-F74A8D8F4151}"/>
              </a:ext>
            </a:extLst>
          </xdr:cNvPr>
          <xdr:cNvSpPr/>
        </xdr:nvSpPr>
        <xdr:spPr>
          <a:xfrm>
            <a:off x="-6" y="2"/>
            <a:ext cx="292735" cy="513080"/>
          </a:xfrm>
          <a:custGeom>
            <a:avLst/>
            <a:gdLst/>
            <a:ahLst/>
            <a:cxnLst/>
            <a:rect l="0" t="0" r="0" b="0"/>
            <a:pathLst>
              <a:path w="292735" h="513080">
                <a:moveTo>
                  <a:pt x="72224" y="320446"/>
                </a:moveTo>
                <a:lnTo>
                  <a:pt x="0" y="320446"/>
                </a:lnTo>
                <a:lnTo>
                  <a:pt x="0" y="327063"/>
                </a:lnTo>
                <a:lnTo>
                  <a:pt x="10896" y="329006"/>
                </a:lnTo>
                <a:lnTo>
                  <a:pt x="13550" y="337972"/>
                </a:lnTo>
                <a:lnTo>
                  <a:pt x="13550" y="347865"/>
                </a:lnTo>
                <a:lnTo>
                  <a:pt x="20472" y="347865"/>
                </a:lnTo>
                <a:lnTo>
                  <a:pt x="20472" y="329107"/>
                </a:lnTo>
                <a:lnTo>
                  <a:pt x="72224" y="329107"/>
                </a:lnTo>
                <a:lnTo>
                  <a:pt x="72224" y="320446"/>
                </a:lnTo>
                <a:close/>
              </a:path>
              <a:path w="292735" h="513080">
                <a:moveTo>
                  <a:pt x="73444" y="271754"/>
                </a:moveTo>
                <a:lnTo>
                  <a:pt x="70040" y="258787"/>
                </a:lnTo>
                <a:lnTo>
                  <a:pt x="69951" y="258457"/>
                </a:lnTo>
                <a:lnTo>
                  <a:pt x="68008" y="256882"/>
                </a:lnTo>
                <a:lnTo>
                  <a:pt x="65798" y="255092"/>
                </a:lnTo>
                <a:lnTo>
                  <a:pt x="65798" y="271754"/>
                </a:lnTo>
                <a:lnTo>
                  <a:pt x="62776" y="280301"/>
                </a:lnTo>
                <a:lnTo>
                  <a:pt x="55295" y="284721"/>
                </a:lnTo>
                <a:lnTo>
                  <a:pt x="45783" y="286372"/>
                </a:lnTo>
                <a:lnTo>
                  <a:pt x="36664" y="286626"/>
                </a:lnTo>
                <a:lnTo>
                  <a:pt x="27622" y="286372"/>
                </a:lnTo>
                <a:lnTo>
                  <a:pt x="18148" y="284721"/>
                </a:lnTo>
                <a:lnTo>
                  <a:pt x="10680" y="280301"/>
                </a:lnTo>
                <a:lnTo>
                  <a:pt x="7645" y="271754"/>
                </a:lnTo>
                <a:lnTo>
                  <a:pt x="10680" y="263207"/>
                </a:lnTo>
                <a:lnTo>
                  <a:pt x="18148" y="258787"/>
                </a:lnTo>
                <a:lnTo>
                  <a:pt x="27622" y="257124"/>
                </a:lnTo>
                <a:lnTo>
                  <a:pt x="36664" y="256882"/>
                </a:lnTo>
                <a:lnTo>
                  <a:pt x="45783" y="257124"/>
                </a:lnTo>
                <a:lnTo>
                  <a:pt x="55295" y="258787"/>
                </a:lnTo>
                <a:lnTo>
                  <a:pt x="62776" y="263207"/>
                </a:lnTo>
                <a:lnTo>
                  <a:pt x="65798" y="271754"/>
                </a:lnTo>
                <a:lnTo>
                  <a:pt x="65798" y="255092"/>
                </a:lnTo>
                <a:lnTo>
                  <a:pt x="61074" y="251256"/>
                </a:lnTo>
                <a:lnTo>
                  <a:pt x="49212" y="248310"/>
                </a:lnTo>
                <a:lnTo>
                  <a:pt x="36766" y="247738"/>
                </a:lnTo>
                <a:lnTo>
                  <a:pt x="24282" y="248310"/>
                </a:lnTo>
                <a:lnTo>
                  <a:pt x="12395" y="251256"/>
                </a:lnTo>
                <a:lnTo>
                  <a:pt x="3505" y="258457"/>
                </a:lnTo>
                <a:lnTo>
                  <a:pt x="0" y="271754"/>
                </a:lnTo>
                <a:lnTo>
                  <a:pt x="3416" y="284721"/>
                </a:lnTo>
                <a:lnTo>
                  <a:pt x="3505" y="285051"/>
                </a:lnTo>
                <a:lnTo>
                  <a:pt x="12395" y="292252"/>
                </a:lnTo>
                <a:lnTo>
                  <a:pt x="24282" y="295211"/>
                </a:lnTo>
                <a:lnTo>
                  <a:pt x="36766" y="295795"/>
                </a:lnTo>
                <a:lnTo>
                  <a:pt x="49212" y="295211"/>
                </a:lnTo>
                <a:lnTo>
                  <a:pt x="61074" y="292252"/>
                </a:lnTo>
                <a:lnTo>
                  <a:pt x="68021" y="286626"/>
                </a:lnTo>
                <a:lnTo>
                  <a:pt x="69951" y="285051"/>
                </a:lnTo>
                <a:lnTo>
                  <a:pt x="73444" y="271754"/>
                </a:lnTo>
                <a:close/>
              </a:path>
              <a:path w="292735" h="513080">
                <a:moveTo>
                  <a:pt x="73444" y="215112"/>
                </a:moveTo>
                <a:lnTo>
                  <a:pt x="70040" y="202158"/>
                </a:lnTo>
                <a:lnTo>
                  <a:pt x="69951" y="201828"/>
                </a:lnTo>
                <a:lnTo>
                  <a:pt x="68021" y="200253"/>
                </a:lnTo>
                <a:lnTo>
                  <a:pt x="65798" y="198462"/>
                </a:lnTo>
                <a:lnTo>
                  <a:pt x="65798" y="215112"/>
                </a:lnTo>
                <a:lnTo>
                  <a:pt x="62776" y="223672"/>
                </a:lnTo>
                <a:lnTo>
                  <a:pt x="55295" y="228104"/>
                </a:lnTo>
                <a:lnTo>
                  <a:pt x="45783" y="229755"/>
                </a:lnTo>
                <a:lnTo>
                  <a:pt x="36664" y="229997"/>
                </a:lnTo>
                <a:lnTo>
                  <a:pt x="27622" y="229755"/>
                </a:lnTo>
                <a:lnTo>
                  <a:pt x="18148" y="228104"/>
                </a:lnTo>
                <a:lnTo>
                  <a:pt x="10680" y="223672"/>
                </a:lnTo>
                <a:lnTo>
                  <a:pt x="7645" y="215112"/>
                </a:lnTo>
                <a:lnTo>
                  <a:pt x="10680" y="206565"/>
                </a:lnTo>
                <a:lnTo>
                  <a:pt x="18148" y="202158"/>
                </a:lnTo>
                <a:lnTo>
                  <a:pt x="27622" y="200507"/>
                </a:lnTo>
                <a:lnTo>
                  <a:pt x="36664" y="200253"/>
                </a:lnTo>
                <a:lnTo>
                  <a:pt x="45783" y="200507"/>
                </a:lnTo>
                <a:lnTo>
                  <a:pt x="55295" y="202158"/>
                </a:lnTo>
                <a:lnTo>
                  <a:pt x="62776" y="206565"/>
                </a:lnTo>
                <a:lnTo>
                  <a:pt x="65798" y="215112"/>
                </a:lnTo>
                <a:lnTo>
                  <a:pt x="65798" y="198462"/>
                </a:lnTo>
                <a:lnTo>
                  <a:pt x="61074" y="194627"/>
                </a:lnTo>
                <a:lnTo>
                  <a:pt x="49212" y="191668"/>
                </a:lnTo>
                <a:lnTo>
                  <a:pt x="36766" y="191084"/>
                </a:lnTo>
                <a:lnTo>
                  <a:pt x="24282" y="191668"/>
                </a:lnTo>
                <a:lnTo>
                  <a:pt x="12395" y="194627"/>
                </a:lnTo>
                <a:lnTo>
                  <a:pt x="3505" y="201828"/>
                </a:lnTo>
                <a:lnTo>
                  <a:pt x="0" y="215112"/>
                </a:lnTo>
                <a:lnTo>
                  <a:pt x="3416" y="228104"/>
                </a:lnTo>
                <a:lnTo>
                  <a:pt x="3505" y="228422"/>
                </a:lnTo>
                <a:lnTo>
                  <a:pt x="12395" y="235623"/>
                </a:lnTo>
                <a:lnTo>
                  <a:pt x="24282" y="238594"/>
                </a:lnTo>
                <a:lnTo>
                  <a:pt x="36766" y="239166"/>
                </a:lnTo>
                <a:lnTo>
                  <a:pt x="49212" y="238594"/>
                </a:lnTo>
                <a:lnTo>
                  <a:pt x="61074" y="235623"/>
                </a:lnTo>
                <a:lnTo>
                  <a:pt x="68008" y="229997"/>
                </a:lnTo>
                <a:lnTo>
                  <a:pt x="69951" y="228422"/>
                </a:lnTo>
                <a:lnTo>
                  <a:pt x="73444" y="215112"/>
                </a:lnTo>
                <a:close/>
              </a:path>
              <a:path w="292735" h="513080">
                <a:moveTo>
                  <a:pt x="121069" y="308140"/>
                </a:moveTo>
                <a:lnTo>
                  <a:pt x="80645" y="308140"/>
                </a:lnTo>
                <a:lnTo>
                  <a:pt x="100838" y="409206"/>
                </a:lnTo>
                <a:lnTo>
                  <a:pt x="121069" y="308140"/>
                </a:lnTo>
                <a:close/>
              </a:path>
              <a:path w="292735" h="513080">
                <a:moveTo>
                  <a:pt x="121069" y="230949"/>
                </a:moveTo>
                <a:lnTo>
                  <a:pt x="100838" y="129882"/>
                </a:lnTo>
                <a:lnTo>
                  <a:pt x="80645" y="230949"/>
                </a:lnTo>
                <a:lnTo>
                  <a:pt x="121069" y="230949"/>
                </a:lnTo>
                <a:close/>
              </a:path>
              <a:path w="292735" h="513080">
                <a:moveTo>
                  <a:pt x="245071" y="82410"/>
                </a:moveTo>
                <a:lnTo>
                  <a:pt x="243027" y="71374"/>
                </a:lnTo>
                <a:lnTo>
                  <a:pt x="237629" y="63474"/>
                </a:lnTo>
                <a:lnTo>
                  <a:pt x="229946" y="58724"/>
                </a:lnTo>
                <a:lnTo>
                  <a:pt x="221030" y="57150"/>
                </a:lnTo>
                <a:lnTo>
                  <a:pt x="210197" y="58991"/>
                </a:lnTo>
                <a:lnTo>
                  <a:pt x="202463" y="63995"/>
                </a:lnTo>
                <a:lnTo>
                  <a:pt x="197815" y="71412"/>
                </a:lnTo>
                <a:lnTo>
                  <a:pt x="196278" y="80467"/>
                </a:lnTo>
                <a:lnTo>
                  <a:pt x="196278" y="85356"/>
                </a:lnTo>
                <a:lnTo>
                  <a:pt x="197916" y="90766"/>
                </a:lnTo>
                <a:lnTo>
                  <a:pt x="201472" y="93916"/>
                </a:lnTo>
                <a:lnTo>
                  <a:pt x="201269" y="94119"/>
                </a:lnTo>
                <a:lnTo>
                  <a:pt x="180492" y="90258"/>
                </a:lnTo>
                <a:lnTo>
                  <a:pt x="180492" y="61125"/>
                </a:lnTo>
                <a:lnTo>
                  <a:pt x="172847" y="61125"/>
                </a:lnTo>
                <a:lnTo>
                  <a:pt x="172847" y="96774"/>
                </a:lnTo>
                <a:lnTo>
                  <a:pt x="210337" y="103505"/>
                </a:lnTo>
                <a:lnTo>
                  <a:pt x="210743" y="96062"/>
                </a:lnTo>
                <a:lnTo>
                  <a:pt x="206667" y="92697"/>
                </a:lnTo>
                <a:lnTo>
                  <a:pt x="203923" y="88099"/>
                </a:lnTo>
                <a:lnTo>
                  <a:pt x="203923" y="72948"/>
                </a:lnTo>
                <a:lnTo>
                  <a:pt x="210743" y="66319"/>
                </a:lnTo>
                <a:lnTo>
                  <a:pt x="231838" y="66319"/>
                </a:lnTo>
                <a:lnTo>
                  <a:pt x="237439" y="73342"/>
                </a:lnTo>
                <a:lnTo>
                  <a:pt x="237439" y="90258"/>
                </a:lnTo>
                <a:lnTo>
                  <a:pt x="231838" y="96266"/>
                </a:lnTo>
                <a:lnTo>
                  <a:pt x="224396" y="96774"/>
                </a:lnTo>
                <a:lnTo>
                  <a:pt x="224396" y="105435"/>
                </a:lnTo>
                <a:lnTo>
                  <a:pt x="233121" y="103466"/>
                </a:lnTo>
                <a:lnTo>
                  <a:pt x="239623" y="98501"/>
                </a:lnTo>
                <a:lnTo>
                  <a:pt x="243674" y="91249"/>
                </a:lnTo>
                <a:lnTo>
                  <a:pt x="245071" y="82410"/>
                </a:lnTo>
                <a:close/>
              </a:path>
              <a:path w="292735" h="513080">
                <a:moveTo>
                  <a:pt x="245071" y="24028"/>
                </a:moveTo>
                <a:lnTo>
                  <a:pt x="241655" y="11061"/>
                </a:lnTo>
                <a:lnTo>
                  <a:pt x="241579" y="10731"/>
                </a:lnTo>
                <a:lnTo>
                  <a:pt x="239636" y="9156"/>
                </a:lnTo>
                <a:lnTo>
                  <a:pt x="237426" y="7378"/>
                </a:lnTo>
                <a:lnTo>
                  <a:pt x="237426" y="24028"/>
                </a:lnTo>
                <a:lnTo>
                  <a:pt x="234391" y="32588"/>
                </a:lnTo>
                <a:lnTo>
                  <a:pt x="226910" y="37007"/>
                </a:lnTo>
                <a:lnTo>
                  <a:pt x="217398" y="38658"/>
                </a:lnTo>
                <a:lnTo>
                  <a:pt x="208292" y="38900"/>
                </a:lnTo>
                <a:lnTo>
                  <a:pt x="199250" y="38658"/>
                </a:lnTo>
                <a:lnTo>
                  <a:pt x="189776" y="37007"/>
                </a:lnTo>
                <a:lnTo>
                  <a:pt x="182295" y="32588"/>
                </a:lnTo>
                <a:lnTo>
                  <a:pt x="179273" y="24028"/>
                </a:lnTo>
                <a:lnTo>
                  <a:pt x="182295" y="15481"/>
                </a:lnTo>
                <a:lnTo>
                  <a:pt x="189776" y="11061"/>
                </a:lnTo>
                <a:lnTo>
                  <a:pt x="199250" y="9410"/>
                </a:lnTo>
                <a:lnTo>
                  <a:pt x="208292" y="9156"/>
                </a:lnTo>
                <a:lnTo>
                  <a:pt x="217398" y="9410"/>
                </a:lnTo>
                <a:lnTo>
                  <a:pt x="226910" y="11061"/>
                </a:lnTo>
                <a:lnTo>
                  <a:pt x="234391" y="15481"/>
                </a:lnTo>
                <a:lnTo>
                  <a:pt x="237426" y="24028"/>
                </a:lnTo>
                <a:lnTo>
                  <a:pt x="237426" y="7378"/>
                </a:lnTo>
                <a:lnTo>
                  <a:pt x="232689" y="3530"/>
                </a:lnTo>
                <a:lnTo>
                  <a:pt x="220827" y="571"/>
                </a:lnTo>
                <a:lnTo>
                  <a:pt x="208394" y="0"/>
                </a:lnTo>
                <a:lnTo>
                  <a:pt x="195897" y="571"/>
                </a:lnTo>
                <a:lnTo>
                  <a:pt x="184010" y="3530"/>
                </a:lnTo>
                <a:lnTo>
                  <a:pt x="175120" y="10731"/>
                </a:lnTo>
                <a:lnTo>
                  <a:pt x="171627" y="24028"/>
                </a:lnTo>
                <a:lnTo>
                  <a:pt x="175031" y="37007"/>
                </a:lnTo>
                <a:lnTo>
                  <a:pt x="175120" y="37338"/>
                </a:lnTo>
                <a:lnTo>
                  <a:pt x="184010" y="44538"/>
                </a:lnTo>
                <a:lnTo>
                  <a:pt x="195897" y="47498"/>
                </a:lnTo>
                <a:lnTo>
                  <a:pt x="208394" y="48069"/>
                </a:lnTo>
                <a:lnTo>
                  <a:pt x="220827" y="47498"/>
                </a:lnTo>
                <a:lnTo>
                  <a:pt x="232689" y="44538"/>
                </a:lnTo>
                <a:lnTo>
                  <a:pt x="239636" y="38900"/>
                </a:lnTo>
                <a:lnTo>
                  <a:pt x="241579" y="37338"/>
                </a:lnTo>
                <a:lnTo>
                  <a:pt x="245071" y="24028"/>
                </a:lnTo>
                <a:close/>
              </a:path>
              <a:path w="292735" h="513080">
                <a:moveTo>
                  <a:pt x="292684" y="512521"/>
                </a:moveTo>
                <a:lnTo>
                  <a:pt x="272478" y="411454"/>
                </a:lnTo>
                <a:lnTo>
                  <a:pt x="252260" y="512521"/>
                </a:lnTo>
                <a:lnTo>
                  <a:pt x="292684" y="512521"/>
                </a:lnTo>
                <a:close/>
              </a:path>
              <a:path w="292735" h="513080">
                <a:moveTo>
                  <a:pt x="292684" y="169951"/>
                </a:moveTo>
                <a:lnTo>
                  <a:pt x="252260" y="169951"/>
                </a:lnTo>
                <a:lnTo>
                  <a:pt x="272478" y="271018"/>
                </a:lnTo>
                <a:lnTo>
                  <a:pt x="292684" y="169951"/>
                </a:lnTo>
                <a:close/>
              </a:path>
            </a:pathLst>
          </a:custGeom>
          <a:solidFill>
            <a:srgbClr val="000000"/>
          </a:solidFill>
        </xdr:spPr>
      </xdr:sp>
    </xdr:grpSp>
    <xdr:clientData/>
  </xdr:oneCellAnchor>
  <xdr:oneCellAnchor>
    <xdr:from>
      <xdr:col>0</xdr:col>
      <xdr:colOff>62713</xdr:colOff>
      <xdr:row>33</xdr:row>
      <xdr:rowOff>365892</xdr:rowOff>
    </xdr:from>
    <xdr:ext cx="2118360" cy="1630680"/>
    <xdr:grpSp>
      <xdr:nvGrpSpPr>
        <xdr:cNvPr id="71" name="Group 327">
          <a:extLst>
            <a:ext uri="{FF2B5EF4-FFF2-40B4-BE49-F238E27FC236}">
              <a16:creationId xmlns:a16="http://schemas.microsoft.com/office/drawing/2014/main" id="{A07FEB96-9C35-4811-8327-5E9BD2F8A077}"/>
            </a:ext>
          </a:extLst>
        </xdr:cNvPr>
        <xdr:cNvGrpSpPr/>
      </xdr:nvGrpSpPr>
      <xdr:grpSpPr>
        <a:xfrm>
          <a:off x="62713" y="7223892"/>
          <a:ext cx="2118360" cy="1630680"/>
          <a:chOff x="0" y="0"/>
          <a:chExt cx="2118360" cy="1630680"/>
        </a:xfrm>
      </xdr:grpSpPr>
      <xdr:pic>
        <xdr:nvPicPr>
          <xdr:cNvPr id="72" name="image46.png">
            <a:extLst>
              <a:ext uri="{FF2B5EF4-FFF2-40B4-BE49-F238E27FC236}">
                <a16:creationId xmlns:a16="http://schemas.microsoft.com/office/drawing/2014/main" id="{49BC902F-A3EF-BEB2-6188-5F8E889A7FC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484143"/>
            <a:ext cx="1893634" cy="874039"/>
          </a:xfrm>
          <a:prstGeom prst="rect">
            <a:avLst/>
          </a:prstGeom>
        </xdr:spPr>
      </xdr:pic>
      <xdr:sp macro="" textlink="">
        <xdr:nvSpPr>
          <xdr:cNvPr id="73" name="Shape 329">
            <a:extLst>
              <a:ext uri="{FF2B5EF4-FFF2-40B4-BE49-F238E27FC236}">
                <a16:creationId xmlns:a16="http://schemas.microsoft.com/office/drawing/2014/main" id="{FA399857-08D7-4B17-D170-AB84DD617A46}"/>
              </a:ext>
            </a:extLst>
          </xdr:cNvPr>
          <xdr:cNvSpPr/>
        </xdr:nvSpPr>
        <xdr:spPr>
          <a:xfrm>
            <a:off x="260059" y="42952"/>
            <a:ext cx="1858010" cy="1587500"/>
          </a:xfrm>
          <a:custGeom>
            <a:avLst/>
            <a:gdLst/>
            <a:ahLst/>
            <a:cxnLst/>
            <a:rect l="0" t="0" r="0" b="0"/>
            <a:pathLst>
              <a:path w="1858010" h="1587500">
                <a:moveTo>
                  <a:pt x="272719" y="412038"/>
                </a:moveTo>
                <a:lnTo>
                  <a:pt x="272719" y="173240"/>
                </a:lnTo>
              </a:path>
              <a:path w="1858010" h="1587500">
                <a:moveTo>
                  <a:pt x="232676" y="429552"/>
                </a:moveTo>
                <a:lnTo>
                  <a:pt x="232676" y="0"/>
                </a:lnTo>
              </a:path>
              <a:path w="1858010" h="1587500">
                <a:moveTo>
                  <a:pt x="329920" y="230454"/>
                </a:moveTo>
                <a:lnTo>
                  <a:pt x="415988" y="230454"/>
                </a:lnTo>
              </a:path>
              <a:path w="1858010" h="1587500">
                <a:moveTo>
                  <a:pt x="175463" y="230454"/>
                </a:moveTo>
                <a:lnTo>
                  <a:pt x="0" y="230454"/>
                </a:lnTo>
              </a:path>
              <a:path w="1858010" h="1587500">
                <a:moveTo>
                  <a:pt x="1588147" y="412038"/>
                </a:moveTo>
                <a:lnTo>
                  <a:pt x="1588147" y="173240"/>
                </a:lnTo>
              </a:path>
              <a:path w="1858010" h="1587500">
                <a:moveTo>
                  <a:pt x="1628190" y="429552"/>
                </a:moveTo>
                <a:lnTo>
                  <a:pt x="1628190" y="0"/>
                </a:lnTo>
              </a:path>
              <a:path w="1858010" h="1587500">
                <a:moveTo>
                  <a:pt x="1530959" y="230454"/>
                </a:moveTo>
                <a:lnTo>
                  <a:pt x="1444866" y="230454"/>
                </a:lnTo>
              </a:path>
              <a:path w="1858010" h="1587500">
                <a:moveTo>
                  <a:pt x="1685378" y="230454"/>
                </a:moveTo>
                <a:lnTo>
                  <a:pt x="1857717" y="230454"/>
                </a:lnTo>
              </a:path>
              <a:path w="1858010" h="1587500">
                <a:moveTo>
                  <a:pt x="232676" y="230454"/>
                </a:moveTo>
                <a:lnTo>
                  <a:pt x="272719" y="230454"/>
                </a:lnTo>
              </a:path>
              <a:path w="1858010" h="1587500">
                <a:moveTo>
                  <a:pt x="1588147" y="230454"/>
                </a:moveTo>
                <a:lnTo>
                  <a:pt x="1628190" y="230454"/>
                </a:lnTo>
              </a:path>
              <a:path w="1858010" h="1587500">
                <a:moveTo>
                  <a:pt x="272719" y="412038"/>
                </a:moveTo>
                <a:lnTo>
                  <a:pt x="272719" y="173240"/>
                </a:lnTo>
              </a:path>
              <a:path w="1858010" h="1587500">
                <a:moveTo>
                  <a:pt x="1588147" y="412038"/>
                </a:moveTo>
                <a:lnTo>
                  <a:pt x="1588147" y="173240"/>
                </a:lnTo>
              </a:path>
              <a:path w="1858010" h="1587500">
                <a:moveTo>
                  <a:pt x="329920" y="57200"/>
                </a:moveTo>
                <a:lnTo>
                  <a:pt x="1530959" y="57200"/>
                </a:lnTo>
              </a:path>
              <a:path w="1858010" h="1587500">
                <a:moveTo>
                  <a:pt x="404279" y="1343494"/>
                </a:moveTo>
                <a:lnTo>
                  <a:pt x="404279" y="1587322"/>
                </a:lnTo>
              </a:path>
              <a:path w="1858010" h="1587500">
                <a:moveTo>
                  <a:pt x="535851" y="1343494"/>
                </a:moveTo>
                <a:lnTo>
                  <a:pt x="535851" y="1587322"/>
                </a:lnTo>
              </a:path>
              <a:path w="1858010" h="1587500">
                <a:moveTo>
                  <a:pt x="347065" y="1530121"/>
                </a:moveTo>
                <a:lnTo>
                  <a:pt x="269925" y="1530121"/>
                </a:lnTo>
              </a:path>
              <a:path w="1858010" h="1587500">
                <a:moveTo>
                  <a:pt x="593090" y="1530121"/>
                </a:moveTo>
                <a:lnTo>
                  <a:pt x="778002" y="1530121"/>
                </a:lnTo>
              </a:path>
              <a:path w="1858010" h="1587500">
                <a:moveTo>
                  <a:pt x="404279" y="1530121"/>
                </a:moveTo>
                <a:lnTo>
                  <a:pt x="535851" y="1530121"/>
                </a:lnTo>
              </a:path>
            </a:pathLst>
          </a:custGeom>
          <a:ln w="6108">
            <a:solidFill>
              <a:srgbClr val="000000"/>
            </a:solidFill>
          </a:ln>
        </xdr:spPr>
      </xdr:sp>
      <xdr:sp macro="" textlink="">
        <xdr:nvSpPr>
          <xdr:cNvPr id="74" name="Shape 330">
            <a:extLst>
              <a:ext uri="{FF2B5EF4-FFF2-40B4-BE49-F238E27FC236}">
                <a16:creationId xmlns:a16="http://schemas.microsoft.com/office/drawing/2014/main" id="{623CCA4D-3CF5-16C0-31BA-F75064F975AE}"/>
              </a:ext>
            </a:extLst>
          </xdr:cNvPr>
          <xdr:cNvSpPr/>
        </xdr:nvSpPr>
        <xdr:spPr>
          <a:xfrm>
            <a:off x="280960" y="7"/>
            <a:ext cx="1819910" cy="1593850"/>
          </a:xfrm>
          <a:custGeom>
            <a:avLst/>
            <a:gdLst/>
            <a:ahLst/>
            <a:cxnLst/>
            <a:rect l="0" t="0" r="0" b="0"/>
            <a:pathLst>
              <a:path w="1819910" h="1593850">
                <a:moveTo>
                  <a:pt x="27432" y="173774"/>
                </a:moveTo>
                <a:lnTo>
                  <a:pt x="20802" y="173774"/>
                </a:lnTo>
                <a:lnTo>
                  <a:pt x="18859" y="184670"/>
                </a:lnTo>
                <a:lnTo>
                  <a:pt x="9893" y="187337"/>
                </a:lnTo>
                <a:lnTo>
                  <a:pt x="0" y="187337"/>
                </a:lnTo>
                <a:lnTo>
                  <a:pt x="0" y="194259"/>
                </a:lnTo>
                <a:lnTo>
                  <a:pt x="18770" y="194259"/>
                </a:lnTo>
                <a:lnTo>
                  <a:pt x="18770" y="246062"/>
                </a:lnTo>
                <a:lnTo>
                  <a:pt x="27432" y="246062"/>
                </a:lnTo>
                <a:lnTo>
                  <a:pt x="27432" y="173774"/>
                </a:lnTo>
                <a:close/>
              </a:path>
              <a:path w="1819910" h="1593850">
                <a:moveTo>
                  <a:pt x="94043" y="216573"/>
                </a:moveTo>
                <a:lnTo>
                  <a:pt x="89763" y="209638"/>
                </a:lnTo>
                <a:lnTo>
                  <a:pt x="81000" y="207708"/>
                </a:lnTo>
                <a:lnTo>
                  <a:pt x="81000" y="207492"/>
                </a:lnTo>
                <a:lnTo>
                  <a:pt x="86499" y="204952"/>
                </a:lnTo>
                <a:lnTo>
                  <a:pt x="90982" y="199453"/>
                </a:lnTo>
                <a:lnTo>
                  <a:pt x="90982" y="193116"/>
                </a:lnTo>
                <a:lnTo>
                  <a:pt x="89306" y="184454"/>
                </a:lnTo>
                <a:lnTo>
                  <a:pt x="84670" y="178422"/>
                </a:lnTo>
                <a:lnTo>
                  <a:pt x="77685" y="174891"/>
                </a:lnTo>
                <a:lnTo>
                  <a:pt x="68961" y="173748"/>
                </a:lnTo>
                <a:lnTo>
                  <a:pt x="59423" y="175463"/>
                </a:lnTo>
                <a:lnTo>
                  <a:pt x="52552" y="180263"/>
                </a:lnTo>
                <a:lnTo>
                  <a:pt x="48298" y="187642"/>
                </a:lnTo>
                <a:lnTo>
                  <a:pt x="46634" y="197104"/>
                </a:lnTo>
                <a:lnTo>
                  <a:pt x="55283" y="197104"/>
                </a:lnTo>
                <a:lnTo>
                  <a:pt x="55384" y="188633"/>
                </a:lnTo>
                <a:lnTo>
                  <a:pt x="59461" y="181394"/>
                </a:lnTo>
                <a:lnTo>
                  <a:pt x="76301" y="181394"/>
                </a:lnTo>
                <a:lnTo>
                  <a:pt x="81813" y="185470"/>
                </a:lnTo>
                <a:lnTo>
                  <a:pt x="81813" y="200875"/>
                </a:lnTo>
                <a:lnTo>
                  <a:pt x="75374" y="204851"/>
                </a:lnTo>
                <a:lnTo>
                  <a:pt x="64262" y="204749"/>
                </a:lnTo>
                <a:lnTo>
                  <a:pt x="64262" y="212090"/>
                </a:lnTo>
                <a:lnTo>
                  <a:pt x="67729" y="211785"/>
                </a:lnTo>
                <a:lnTo>
                  <a:pt x="78028" y="211785"/>
                </a:lnTo>
                <a:lnTo>
                  <a:pt x="84874" y="216573"/>
                </a:lnTo>
                <a:lnTo>
                  <a:pt x="84874" y="234416"/>
                </a:lnTo>
                <a:lnTo>
                  <a:pt x="77635" y="239610"/>
                </a:lnTo>
                <a:lnTo>
                  <a:pt x="59270" y="239610"/>
                </a:lnTo>
                <a:lnTo>
                  <a:pt x="54076" y="233095"/>
                </a:lnTo>
                <a:lnTo>
                  <a:pt x="53759" y="223710"/>
                </a:lnTo>
                <a:lnTo>
                  <a:pt x="45097" y="223710"/>
                </a:lnTo>
                <a:lnTo>
                  <a:pt x="46659" y="233680"/>
                </a:lnTo>
                <a:lnTo>
                  <a:pt x="51498" y="241071"/>
                </a:lnTo>
                <a:lnTo>
                  <a:pt x="59156" y="245681"/>
                </a:lnTo>
                <a:lnTo>
                  <a:pt x="69151" y="247269"/>
                </a:lnTo>
                <a:lnTo>
                  <a:pt x="78765" y="245859"/>
                </a:lnTo>
                <a:lnTo>
                  <a:pt x="86690" y="241681"/>
                </a:lnTo>
                <a:lnTo>
                  <a:pt x="92062" y="234797"/>
                </a:lnTo>
                <a:lnTo>
                  <a:pt x="94043" y="225247"/>
                </a:lnTo>
                <a:lnTo>
                  <a:pt x="94043" y="216573"/>
                </a:lnTo>
                <a:close/>
              </a:path>
              <a:path w="1819910" h="1593850">
                <a:moveTo>
                  <a:pt x="211759" y="273405"/>
                </a:moveTo>
                <a:lnTo>
                  <a:pt x="110705" y="253187"/>
                </a:lnTo>
                <a:lnTo>
                  <a:pt x="110705" y="293598"/>
                </a:lnTo>
                <a:lnTo>
                  <a:pt x="211759" y="273405"/>
                </a:lnTo>
                <a:close/>
              </a:path>
              <a:path w="1819910" h="1593850">
                <a:moveTo>
                  <a:pt x="309562" y="79946"/>
                </a:moveTo>
                <a:lnTo>
                  <a:pt x="208495" y="100164"/>
                </a:lnTo>
                <a:lnTo>
                  <a:pt x="309562" y="120370"/>
                </a:lnTo>
                <a:lnTo>
                  <a:pt x="309562" y="79946"/>
                </a:lnTo>
                <a:close/>
              </a:path>
              <a:path w="1819910" h="1593850">
                <a:moveTo>
                  <a:pt x="352882" y="253187"/>
                </a:moveTo>
                <a:lnTo>
                  <a:pt x="251815" y="273405"/>
                </a:lnTo>
                <a:lnTo>
                  <a:pt x="352882" y="293598"/>
                </a:lnTo>
                <a:lnTo>
                  <a:pt x="352882" y="253187"/>
                </a:lnTo>
                <a:close/>
              </a:path>
              <a:path w="1819910" h="1593850">
                <a:moveTo>
                  <a:pt x="383387" y="1573072"/>
                </a:moveTo>
                <a:lnTo>
                  <a:pt x="282333" y="1552854"/>
                </a:lnTo>
                <a:lnTo>
                  <a:pt x="282333" y="1593278"/>
                </a:lnTo>
                <a:lnTo>
                  <a:pt x="383387" y="1573072"/>
                </a:lnTo>
                <a:close/>
              </a:path>
              <a:path w="1819910" h="1593850">
                <a:moveTo>
                  <a:pt x="616013" y="1552854"/>
                </a:moveTo>
                <a:lnTo>
                  <a:pt x="514946" y="1573072"/>
                </a:lnTo>
                <a:lnTo>
                  <a:pt x="616013" y="1593278"/>
                </a:lnTo>
                <a:lnTo>
                  <a:pt x="616013" y="1552854"/>
                </a:lnTo>
                <a:close/>
              </a:path>
              <a:path w="1819910" h="1593850">
                <a:moveTo>
                  <a:pt x="681913" y="1519237"/>
                </a:moveTo>
                <a:lnTo>
                  <a:pt x="672122" y="1519237"/>
                </a:lnTo>
                <a:lnTo>
                  <a:pt x="672122" y="1483880"/>
                </a:lnTo>
                <a:lnTo>
                  <a:pt x="672122" y="1471561"/>
                </a:lnTo>
                <a:lnTo>
                  <a:pt x="665200" y="1471561"/>
                </a:lnTo>
                <a:lnTo>
                  <a:pt x="663981" y="1473301"/>
                </a:lnTo>
                <a:lnTo>
                  <a:pt x="663981" y="1483880"/>
                </a:lnTo>
                <a:lnTo>
                  <a:pt x="663981" y="1519237"/>
                </a:lnTo>
                <a:lnTo>
                  <a:pt x="639724" y="1519237"/>
                </a:lnTo>
                <a:lnTo>
                  <a:pt x="663765" y="1483880"/>
                </a:lnTo>
                <a:lnTo>
                  <a:pt x="663981" y="1483880"/>
                </a:lnTo>
                <a:lnTo>
                  <a:pt x="663981" y="1473301"/>
                </a:lnTo>
                <a:lnTo>
                  <a:pt x="632282" y="1518526"/>
                </a:lnTo>
                <a:lnTo>
                  <a:pt x="632282" y="1526882"/>
                </a:lnTo>
                <a:lnTo>
                  <a:pt x="663981" y="1526882"/>
                </a:lnTo>
                <a:lnTo>
                  <a:pt x="663981" y="1543786"/>
                </a:lnTo>
                <a:lnTo>
                  <a:pt x="672122" y="1543786"/>
                </a:lnTo>
                <a:lnTo>
                  <a:pt x="672122" y="1526882"/>
                </a:lnTo>
                <a:lnTo>
                  <a:pt x="681913" y="1526882"/>
                </a:lnTo>
                <a:lnTo>
                  <a:pt x="681913" y="1519237"/>
                </a:lnTo>
                <a:close/>
              </a:path>
              <a:path w="1819910" h="1593850">
                <a:moveTo>
                  <a:pt x="738962" y="1520761"/>
                </a:moveTo>
                <a:lnTo>
                  <a:pt x="737603" y="1512404"/>
                </a:lnTo>
                <a:lnTo>
                  <a:pt x="737565" y="1512201"/>
                </a:lnTo>
                <a:lnTo>
                  <a:pt x="737450" y="1511477"/>
                </a:lnTo>
                <a:lnTo>
                  <a:pt x="733640" y="1504962"/>
                </a:lnTo>
                <a:lnTo>
                  <a:pt x="733094" y="1504035"/>
                </a:lnTo>
                <a:lnTo>
                  <a:pt x="729792" y="1501698"/>
                </a:lnTo>
                <a:lnTo>
                  <a:pt x="729792" y="1512404"/>
                </a:lnTo>
                <a:lnTo>
                  <a:pt x="729792" y="1529930"/>
                </a:lnTo>
                <a:lnTo>
                  <a:pt x="724598" y="1537347"/>
                </a:lnTo>
                <a:lnTo>
                  <a:pt x="705751" y="1537347"/>
                </a:lnTo>
                <a:lnTo>
                  <a:pt x="700239" y="1530235"/>
                </a:lnTo>
                <a:lnTo>
                  <a:pt x="700239" y="1512201"/>
                </a:lnTo>
                <a:lnTo>
                  <a:pt x="704202" y="1506791"/>
                </a:lnTo>
                <a:lnTo>
                  <a:pt x="705548" y="1504962"/>
                </a:lnTo>
                <a:lnTo>
                  <a:pt x="725106" y="1504962"/>
                </a:lnTo>
                <a:lnTo>
                  <a:pt x="729792" y="1512404"/>
                </a:lnTo>
                <a:lnTo>
                  <a:pt x="729792" y="1501698"/>
                </a:lnTo>
                <a:lnTo>
                  <a:pt x="726147" y="1499108"/>
                </a:lnTo>
                <a:lnTo>
                  <a:pt x="716851" y="1497317"/>
                </a:lnTo>
                <a:lnTo>
                  <a:pt x="709015" y="1497317"/>
                </a:lnTo>
                <a:lnTo>
                  <a:pt x="702906" y="1500187"/>
                </a:lnTo>
                <a:lnTo>
                  <a:pt x="698944" y="1506588"/>
                </a:lnTo>
                <a:lnTo>
                  <a:pt x="698830" y="1506791"/>
                </a:lnTo>
                <a:lnTo>
                  <a:pt x="698614" y="1506588"/>
                </a:lnTo>
                <a:lnTo>
                  <a:pt x="699452" y="1497634"/>
                </a:lnTo>
                <a:lnTo>
                  <a:pt x="701992" y="1488732"/>
                </a:lnTo>
                <a:lnTo>
                  <a:pt x="707224" y="1481924"/>
                </a:lnTo>
                <a:lnTo>
                  <a:pt x="716140" y="1479194"/>
                </a:lnTo>
                <a:lnTo>
                  <a:pt x="722960" y="1479194"/>
                </a:lnTo>
                <a:lnTo>
                  <a:pt x="727443" y="1483474"/>
                </a:lnTo>
                <a:lnTo>
                  <a:pt x="728256" y="1490002"/>
                </a:lnTo>
                <a:lnTo>
                  <a:pt x="736930" y="1490002"/>
                </a:lnTo>
                <a:lnTo>
                  <a:pt x="716559" y="1471561"/>
                </a:lnTo>
                <a:lnTo>
                  <a:pt x="703707" y="1474825"/>
                </a:lnTo>
                <a:lnTo>
                  <a:pt x="695515" y="1483474"/>
                </a:lnTo>
                <a:lnTo>
                  <a:pt x="691210" y="1495844"/>
                </a:lnTo>
                <a:lnTo>
                  <a:pt x="689952" y="1510271"/>
                </a:lnTo>
                <a:lnTo>
                  <a:pt x="690727" y="1520761"/>
                </a:lnTo>
                <a:lnTo>
                  <a:pt x="690816" y="1522095"/>
                </a:lnTo>
                <a:lnTo>
                  <a:pt x="694359" y="1533321"/>
                </a:lnTo>
                <a:lnTo>
                  <a:pt x="701903" y="1541703"/>
                </a:lnTo>
                <a:lnTo>
                  <a:pt x="714819" y="1544993"/>
                </a:lnTo>
                <a:lnTo>
                  <a:pt x="726274" y="1542681"/>
                </a:lnTo>
                <a:lnTo>
                  <a:pt x="733031" y="1537347"/>
                </a:lnTo>
                <a:lnTo>
                  <a:pt x="733717" y="1536814"/>
                </a:lnTo>
                <a:lnTo>
                  <a:pt x="737743" y="1528978"/>
                </a:lnTo>
                <a:lnTo>
                  <a:pt x="738962" y="1520761"/>
                </a:lnTo>
                <a:close/>
              </a:path>
              <a:path w="1819910" h="1593850">
                <a:moveTo>
                  <a:pt x="904341" y="64579"/>
                </a:moveTo>
                <a:lnTo>
                  <a:pt x="865847" y="64579"/>
                </a:lnTo>
                <a:lnTo>
                  <a:pt x="865847" y="0"/>
                </a:lnTo>
                <a:lnTo>
                  <a:pt x="856157" y="0"/>
                </a:lnTo>
                <a:lnTo>
                  <a:pt x="856157" y="72732"/>
                </a:lnTo>
                <a:lnTo>
                  <a:pt x="904341" y="72732"/>
                </a:lnTo>
                <a:lnTo>
                  <a:pt x="904341" y="64579"/>
                </a:lnTo>
                <a:close/>
              </a:path>
              <a:path w="1819910" h="1593850">
                <a:moveTo>
                  <a:pt x="1567243" y="273405"/>
                </a:moveTo>
                <a:lnTo>
                  <a:pt x="1466176" y="253187"/>
                </a:lnTo>
                <a:lnTo>
                  <a:pt x="1466176" y="293598"/>
                </a:lnTo>
                <a:lnTo>
                  <a:pt x="1567243" y="273405"/>
                </a:lnTo>
                <a:close/>
              </a:path>
              <a:path w="1819910" h="1593850">
                <a:moveTo>
                  <a:pt x="1610563" y="100164"/>
                </a:moveTo>
                <a:lnTo>
                  <a:pt x="1509496" y="79946"/>
                </a:lnTo>
                <a:lnTo>
                  <a:pt x="1509496" y="120370"/>
                </a:lnTo>
                <a:lnTo>
                  <a:pt x="1610563" y="100164"/>
                </a:lnTo>
                <a:close/>
              </a:path>
              <a:path w="1819910" h="1593850">
                <a:moveTo>
                  <a:pt x="1708365" y="253187"/>
                </a:moveTo>
                <a:lnTo>
                  <a:pt x="1607286" y="273405"/>
                </a:lnTo>
                <a:lnTo>
                  <a:pt x="1708365" y="293598"/>
                </a:lnTo>
                <a:lnTo>
                  <a:pt x="1708365" y="253187"/>
                </a:lnTo>
                <a:close/>
              </a:path>
              <a:path w="1819910" h="1593850">
                <a:moveTo>
                  <a:pt x="1752892" y="173774"/>
                </a:moveTo>
                <a:lnTo>
                  <a:pt x="1746275" y="173774"/>
                </a:lnTo>
                <a:lnTo>
                  <a:pt x="1744319" y="184670"/>
                </a:lnTo>
                <a:lnTo>
                  <a:pt x="1735353" y="187337"/>
                </a:lnTo>
                <a:lnTo>
                  <a:pt x="1725447" y="187337"/>
                </a:lnTo>
                <a:lnTo>
                  <a:pt x="1725447" y="194259"/>
                </a:lnTo>
                <a:lnTo>
                  <a:pt x="1744218" y="194259"/>
                </a:lnTo>
                <a:lnTo>
                  <a:pt x="1744218" y="246062"/>
                </a:lnTo>
                <a:lnTo>
                  <a:pt x="1752892" y="246062"/>
                </a:lnTo>
                <a:lnTo>
                  <a:pt x="1752892" y="173774"/>
                </a:lnTo>
                <a:close/>
              </a:path>
              <a:path w="1819910" h="1593850">
                <a:moveTo>
                  <a:pt x="1819490" y="216573"/>
                </a:moveTo>
                <a:lnTo>
                  <a:pt x="1815211" y="209638"/>
                </a:lnTo>
                <a:lnTo>
                  <a:pt x="1806460" y="207708"/>
                </a:lnTo>
                <a:lnTo>
                  <a:pt x="1806460" y="207492"/>
                </a:lnTo>
                <a:lnTo>
                  <a:pt x="1811959" y="204952"/>
                </a:lnTo>
                <a:lnTo>
                  <a:pt x="1816442" y="199453"/>
                </a:lnTo>
                <a:lnTo>
                  <a:pt x="1816442" y="193116"/>
                </a:lnTo>
                <a:lnTo>
                  <a:pt x="1814766" y="184454"/>
                </a:lnTo>
                <a:lnTo>
                  <a:pt x="1810131" y="178422"/>
                </a:lnTo>
                <a:lnTo>
                  <a:pt x="1803146" y="174891"/>
                </a:lnTo>
                <a:lnTo>
                  <a:pt x="1794421" y="173748"/>
                </a:lnTo>
                <a:lnTo>
                  <a:pt x="1784896" y="175463"/>
                </a:lnTo>
                <a:lnTo>
                  <a:pt x="1778012" y="180263"/>
                </a:lnTo>
                <a:lnTo>
                  <a:pt x="1773745" y="187642"/>
                </a:lnTo>
                <a:lnTo>
                  <a:pt x="1772081" y="197104"/>
                </a:lnTo>
                <a:lnTo>
                  <a:pt x="1780743" y="197104"/>
                </a:lnTo>
                <a:lnTo>
                  <a:pt x="1780844" y="188633"/>
                </a:lnTo>
                <a:lnTo>
                  <a:pt x="1784921" y="181394"/>
                </a:lnTo>
                <a:lnTo>
                  <a:pt x="1801749" y="181394"/>
                </a:lnTo>
                <a:lnTo>
                  <a:pt x="1807273" y="185470"/>
                </a:lnTo>
                <a:lnTo>
                  <a:pt x="1807273" y="200875"/>
                </a:lnTo>
                <a:lnTo>
                  <a:pt x="1800834" y="204851"/>
                </a:lnTo>
                <a:lnTo>
                  <a:pt x="1789709" y="204749"/>
                </a:lnTo>
                <a:lnTo>
                  <a:pt x="1789709" y="212090"/>
                </a:lnTo>
                <a:lnTo>
                  <a:pt x="1793176" y="211785"/>
                </a:lnTo>
                <a:lnTo>
                  <a:pt x="1803476" y="211785"/>
                </a:lnTo>
                <a:lnTo>
                  <a:pt x="1810321" y="216573"/>
                </a:lnTo>
                <a:lnTo>
                  <a:pt x="1810321" y="234416"/>
                </a:lnTo>
                <a:lnTo>
                  <a:pt x="1803095" y="239610"/>
                </a:lnTo>
                <a:lnTo>
                  <a:pt x="1784718" y="239610"/>
                </a:lnTo>
                <a:lnTo>
                  <a:pt x="1779524" y="233095"/>
                </a:lnTo>
                <a:lnTo>
                  <a:pt x="1779219" y="223710"/>
                </a:lnTo>
                <a:lnTo>
                  <a:pt x="1770557" y="223710"/>
                </a:lnTo>
                <a:lnTo>
                  <a:pt x="1772119" y="233680"/>
                </a:lnTo>
                <a:lnTo>
                  <a:pt x="1776958" y="241071"/>
                </a:lnTo>
                <a:lnTo>
                  <a:pt x="1784616" y="245681"/>
                </a:lnTo>
                <a:lnTo>
                  <a:pt x="1794624" y="247269"/>
                </a:lnTo>
                <a:lnTo>
                  <a:pt x="1804238" y="245859"/>
                </a:lnTo>
                <a:lnTo>
                  <a:pt x="1812150" y="241681"/>
                </a:lnTo>
                <a:lnTo>
                  <a:pt x="1817509" y="234797"/>
                </a:lnTo>
                <a:lnTo>
                  <a:pt x="1819490" y="225247"/>
                </a:lnTo>
                <a:lnTo>
                  <a:pt x="1819490" y="216573"/>
                </a:lnTo>
                <a:close/>
              </a:path>
            </a:pathLst>
          </a:custGeom>
          <a:solidFill>
            <a:srgbClr val="000000"/>
          </a:solidFill>
        </xdr:spPr>
      </xdr:sp>
    </xdr:grpSp>
    <xdr:clientData/>
  </xdr:oneCellAnchor>
  <xdr:oneCellAnchor>
    <xdr:from>
      <xdr:col>5</xdr:col>
      <xdr:colOff>0</xdr:colOff>
      <xdr:row>58</xdr:row>
      <xdr:rowOff>463490</xdr:rowOff>
    </xdr:from>
    <xdr:ext cx="563880" cy="1443355"/>
    <xdr:grpSp>
      <xdr:nvGrpSpPr>
        <xdr:cNvPr id="75" name="Group 331">
          <a:extLst>
            <a:ext uri="{FF2B5EF4-FFF2-40B4-BE49-F238E27FC236}">
              <a16:creationId xmlns:a16="http://schemas.microsoft.com/office/drawing/2014/main" id="{D3D70CF8-8554-45F3-93D0-836312EAEFBF}"/>
            </a:ext>
          </a:extLst>
        </xdr:cNvPr>
        <xdr:cNvGrpSpPr/>
      </xdr:nvGrpSpPr>
      <xdr:grpSpPr>
        <a:xfrm>
          <a:off x="2476500" y="13750865"/>
          <a:ext cx="563880" cy="1443355"/>
          <a:chOff x="0" y="0"/>
          <a:chExt cx="563880" cy="1443355"/>
        </a:xfrm>
      </xdr:grpSpPr>
      <xdr:sp macro="" textlink="">
        <xdr:nvSpPr>
          <xdr:cNvPr id="76" name="Shape 332">
            <a:extLst>
              <a:ext uri="{FF2B5EF4-FFF2-40B4-BE49-F238E27FC236}">
                <a16:creationId xmlns:a16="http://schemas.microsoft.com/office/drawing/2014/main" id="{65726095-DAA0-987E-879C-EAF4291C8301}"/>
              </a:ext>
            </a:extLst>
          </xdr:cNvPr>
          <xdr:cNvSpPr/>
        </xdr:nvSpPr>
        <xdr:spPr>
          <a:xfrm>
            <a:off x="173577" y="318358"/>
            <a:ext cx="281305" cy="854075"/>
          </a:xfrm>
          <a:custGeom>
            <a:avLst/>
            <a:gdLst/>
            <a:ahLst/>
            <a:cxnLst/>
            <a:rect l="0" t="0" r="0" b="0"/>
            <a:pathLst>
              <a:path w="281305" h="854075">
                <a:moveTo>
                  <a:pt x="245465" y="0"/>
                </a:moveTo>
                <a:lnTo>
                  <a:pt x="35318" y="0"/>
                </a:lnTo>
                <a:lnTo>
                  <a:pt x="21581" y="2775"/>
                </a:lnTo>
                <a:lnTo>
                  <a:pt x="10353" y="10344"/>
                </a:lnTo>
                <a:lnTo>
                  <a:pt x="2778" y="21570"/>
                </a:lnTo>
                <a:lnTo>
                  <a:pt x="0" y="35318"/>
                </a:lnTo>
                <a:lnTo>
                  <a:pt x="0" y="818159"/>
                </a:lnTo>
                <a:lnTo>
                  <a:pt x="2778" y="831902"/>
                </a:lnTo>
                <a:lnTo>
                  <a:pt x="10353" y="843129"/>
                </a:lnTo>
                <a:lnTo>
                  <a:pt x="21581" y="850700"/>
                </a:lnTo>
                <a:lnTo>
                  <a:pt x="35318" y="853478"/>
                </a:lnTo>
                <a:lnTo>
                  <a:pt x="245465" y="853478"/>
                </a:lnTo>
                <a:lnTo>
                  <a:pt x="259215" y="850700"/>
                </a:lnTo>
                <a:lnTo>
                  <a:pt x="270446" y="843129"/>
                </a:lnTo>
                <a:lnTo>
                  <a:pt x="278019" y="831902"/>
                </a:lnTo>
                <a:lnTo>
                  <a:pt x="280797" y="818159"/>
                </a:lnTo>
                <a:lnTo>
                  <a:pt x="280797" y="35318"/>
                </a:lnTo>
                <a:lnTo>
                  <a:pt x="278019" y="21570"/>
                </a:lnTo>
                <a:lnTo>
                  <a:pt x="270446" y="10344"/>
                </a:lnTo>
                <a:lnTo>
                  <a:pt x="259215" y="2775"/>
                </a:lnTo>
                <a:lnTo>
                  <a:pt x="245465" y="0"/>
                </a:lnTo>
                <a:close/>
              </a:path>
            </a:pathLst>
          </a:custGeom>
          <a:solidFill>
            <a:srgbClr val="E3E3E3"/>
          </a:solidFill>
        </xdr:spPr>
      </xdr:sp>
      <xdr:sp macro="" textlink="">
        <xdr:nvSpPr>
          <xdr:cNvPr id="77" name="Shape 333">
            <a:extLst>
              <a:ext uri="{FF2B5EF4-FFF2-40B4-BE49-F238E27FC236}">
                <a16:creationId xmlns:a16="http://schemas.microsoft.com/office/drawing/2014/main" id="{2F1941E3-C18E-2EAD-9091-CAC20B0E61DD}"/>
              </a:ext>
            </a:extLst>
          </xdr:cNvPr>
          <xdr:cNvSpPr/>
        </xdr:nvSpPr>
        <xdr:spPr>
          <a:xfrm>
            <a:off x="244240" y="515059"/>
            <a:ext cx="138430" cy="457834"/>
          </a:xfrm>
          <a:custGeom>
            <a:avLst/>
            <a:gdLst/>
            <a:ahLst/>
            <a:cxnLst/>
            <a:rect l="0" t="0" r="0" b="0"/>
            <a:pathLst>
              <a:path w="138430" h="457834">
                <a:moveTo>
                  <a:pt x="33921" y="7607"/>
                </a:moveTo>
                <a:lnTo>
                  <a:pt x="26314" y="0"/>
                </a:lnTo>
                <a:lnTo>
                  <a:pt x="7594" y="0"/>
                </a:lnTo>
                <a:lnTo>
                  <a:pt x="0" y="7607"/>
                </a:lnTo>
                <a:lnTo>
                  <a:pt x="0" y="450227"/>
                </a:lnTo>
                <a:lnTo>
                  <a:pt x="7594" y="457835"/>
                </a:lnTo>
                <a:lnTo>
                  <a:pt x="26314" y="457835"/>
                </a:lnTo>
                <a:lnTo>
                  <a:pt x="33921" y="450227"/>
                </a:lnTo>
                <a:lnTo>
                  <a:pt x="33921" y="16967"/>
                </a:lnTo>
                <a:lnTo>
                  <a:pt x="33921" y="7607"/>
                </a:lnTo>
                <a:close/>
              </a:path>
              <a:path w="138430" h="457834">
                <a:moveTo>
                  <a:pt x="138303" y="16967"/>
                </a:moveTo>
                <a:lnTo>
                  <a:pt x="104406" y="16967"/>
                </a:lnTo>
                <a:lnTo>
                  <a:pt x="104406" y="450037"/>
                </a:lnTo>
                <a:lnTo>
                  <a:pt x="108013" y="450037"/>
                </a:lnTo>
                <a:lnTo>
                  <a:pt x="108013" y="457657"/>
                </a:lnTo>
                <a:lnTo>
                  <a:pt x="134683" y="457657"/>
                </a:lnTo>
                <a:lnTo>
                  <a:pt x="134683" y="450037"/>
                </a:lnTo>
                <a:lnTo>
                  <a:pt x="138303" y="450037"/>
                </a:lnTo>
                <a:lnTo>
                  <a:pt x="138303" y="16967"/>
                </a:lnTo>
                <a:close/>
              </a:path>
            </a:pathLst>
          </a:custGeom>
          <a:solidFill>
            <a:srgbClr val="FFFFFF"/>
          </a:solidFill>
        </xdr:spPr>
      </xdr:sp>
      <xdr:sp macro="" textlink="">
        <xdr:nvSpPr>
          <xdr:cNvPr id="78" name="Shape 334">
            <a:extLst>
              <a:ext uri="{FF2B5EF4-FFF2-40B4-BE49-F238E27FC236}">
                <a16:creationId xmlns:a16="http://schemas.microsoft.com/office/drawing/2014/main" id="{C3D57186-CCFD-2A00-2E38-834B78656EE2}"/>
              </a:ext>
            </a:extLst>
          </xdr:cNvPr>
          <xdr:cNvSpPr/>
        </xdr:nvSpPr>
        <xdr:spPr>
          <a:xfrm>
            <a:off x="173572" y="317433"/>
            <a:ext cx="384810" cy="854075"/>
          </a:xfrm>
          <a:custGeom>
            <a:avLst/>
            <a:gdLst/>
            <a:ahLst/>
            <a:cxnLst/>
            <a:rect l="0" t="0" r="0" b="0"/>
            <a:pathLst>
              <a:path w="384810" h="854075">
                <a:moveTo>
                  <a:pt x="349034" y="0"/>
                </a:moveTo>
                <a:lnTo>
                  <a:pt x="35331" y="0"/>
                </a:lnTo>
                <a:lnTo>
                  <a:pt x="21591" y="2775"/>
                </a:lnTo>
                <a:lnTo>
                  <a:pt x="10360" y="10344"/>
                </a:lnTo>
                <a:lnTo>
                  <a:pt x="2780" y="21570"/>
                </a:lnTo>
                <a:lnTo>
                  <a:pt x="0" y="35318"/>
                </a:lnTo>
                <a:lnTo>
                  <a:pt x="0" y="818159"/>
                </a:lnTo>
                <a:lnTo>
                  <a:pt x="2780" y="831907"/>
                </a:lnTo>
                <a:lnTo>
                  <a:pt x="10360" y="843133"/>
                </a:lnTo>
                <a:lnTo>
                  <a:pt x="21591" y="850702"/>
                </a:lnTo>
                <a:lnTo>
                  <a:pt x="35331" y="853478"/>
                </a:lnTo>
                <a:lnTo>
                  <a:pt x="349034" y="853478"/>
                </a:lnTo>
                <a:lnTo>
                  <a:pt x="362794" y="850702"/>
                </a:lnTo>
                <a:lnTo>
                  <a:pt x="374024" y="843133"/>
                </a:lnTo>
                <a:lnTo>
                  <a:pt x="381591" y="831907"/>
                </a:lnTo>
                <a:lnTo>
                  <a:pt x="384365" y="818159"/>
                </a:lnTo>
                <a:lnTo>
                  <a:pt x="384365" y="35318"/>
                </a:lnTo>
                <a:lnTo>
                  <a:pt x="381591" y="21570"/>
                </a:lnTo>
                <a:lnTo>
                  <a:pt x="374024" y="10344"/>
                </a:lnTo>
                <a:lnTo>
                  <a:pt x="362794" y="2775"/>
                </a:lnTo>
                <a:lnTo>
                  <a:pt x="349034" y="0"/>
                </a:lnTo>
                <a:close/>
              </a:path>
            </a:pathLst>
          </a:custGeom>
          <a:solidFill>
            <a:srgbClr val="E3E3E3"/>
          </a:solidFill>
        </xdr:spPr>
      </xdr:sp>
      <xdr:sp macro="" textlink="">
        <xdr:nvSpPr>
          <xdr:cNvPr id="79" name="Shape 335">
            <a:extLst>
              <a:ext uri="{FF2B5EF4-FFF2-40B4-BE49-F238E27FC236}">
                <a16:creationId xmlns:a16="http://schemas.microsoft.com/office/drawing/2014/main" id="{3AC1E2B4-6C22-1B26-5387-DE1DA33BC7F2}"/>
              </a:ext>
            </a:extLst>
          </xdr:cNvPr>
          <xdr:cNvSpPr/>
        </xdr:nvSpPr>
        <xdr:spPr>
          <a:xfrm>
            <a:off x="244240" y="514132"/>
            <a:ext cx="243204" cy="457834"/>
          </a:xfrm>
          <a:custGeom>
            <a:avLst/>
            <a:gdLst/>
            <a:ahLst/>
            <a:cxnLst/>
            <a:rect l="0" t="0" r="0" b="0"/>
            <a:pathLst>
              <a:path w="243204" h="457834">
                <a:moveTo>
                  <a:pt x="33921" y="7607"/>
                </a:moveTo>
                <a:lnTo>
                  <a:pt x="26314" y="0"/>
                </a:lnTo>
                <a:lnTo>
                  <a:pt x="7594" y="0"/>
                </a:lnTo>
                <a:lnTo>
                  <a:pt x="0" y="7607"/>
                </a:lnTo>
                <a:lnTo>
                  <a:pt x="0" y="450227"/>
                </a:lnTo>
                <a:lnTo>
                  <a:pt x="7594" y="457835"/>
                </a:lnTo>
                <a:lnTo>
                  <a:pt x="26314" y="457835"/>
                </a:lnTo>
                <a:lnTo>
                  <a:pt x="33921" y="450227"/>
                </a:lnTo>
                <a:lnTo>
                  <a:pt x="33921" y="16967"/>
                </a:lnTo>
                <a:lnTo>
                  <a:pt x="33921" y="7607"/>
                </a:lnTo>
                <a:close/>
              </a:path>
              <a:path w="243204" h="457834">
                <a:moveTo>
                  <a:pt x="138430" y="7607"/>
                </a:moveTo>
                <a:lnTo>
                  <a:pt x="130822" y="0"/>
                </a:lnTo>
                <a:lnTo>
                  <a:pt x="112115" y="0"/>
                </a:lnTo>
                <a:lnTo>
                  <a:pt x="104533" y="7607"/>
                </a:lnTo>
                <a:lnTo>
                  <a:pt x="104533" y="450227"/>
                </a:lnTo>
                <a:lnTo>
                  <a:pt x="112115" y="457835"/>
                </a:lnTo>
                <a:lnTo>
                  <a:pt x="130822" y="457835"/>
                </a:lnTo>
                <a:lnTo>
                  <a:pt x="138430" y="450227"/>
                </a:lnTo>
                <a:lnTo>
                  <a:pt x="138430" y="16967"/>
                </a:lnTo>
                <a:lnTo>
                  <a:pt x="138430" y="7607"/>
                </a:lnTo>
                <a:close/>
              </a:path>
              <a:path w="243204" h="457834">
                <a:moveTo>
                  <a:pt x="243039" y="7607"/>
                </a:moveTo>
                <a:lnTo>
                  <a:pt x="235432" y="0"/>
                </a:lnTo>
                <a:lnTo>
                  <a:pt x="216725" y="0"/>
                </a:lnTo>
                <a:lnTo>
                  <a:pt x="209143" y="7607"/>
                </a:lnTo>
                <a:lnTo>
                  <a:pt x="209143" y="450227"/>
                </a:lnTo>
                <a:lnTo>
                  <a:pt x="216725" y="457835"/>
                </a:lnTo>
                <a:lnTo>
                  <a:pt x="235432" y="457835"/>
                </a:lnTo>
                <a:lnTo>
                  <a:pt x="243039" y="450227"/>
                </a:lnTo>
                <a:lnTo>
                  <a:pt x="243039" y="16967"/>
                </a:lnTo>
                <a:lnTo>
                  <a:pt x="243039" y="7607"/>
                </a:lnTo>
                <a:close/>
              </a:path>
            </a:pathLst>
          </a:custGeom>
          <a:solidFill>
            <a:srgbClr val="FFFFFF"/>
          </a:solidFill>
        </xdr:spPr>
      </xdr:sp>
      <xdr:pic>
        <xdr:nvPicPr>
          <xdr:cNvPr id="80" name="image47.png">
            <a:extLst>
              <a:ext uri="{FF2B5EF4-FFF2-40B4-BE49-F238E27FC236}">
                <a16:creationId xmlns:a16="http://schemas.microsoft.com/office/drawing/2014/main" id="{863D147E-9416-0C5A-EF5E-704657953B2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95743" y="1016534"/>
            <a:ext cx="140055" cy="122631"/>
          </a:xfrm>
          <a:prstGeom prst="rect">
            <a:avLst/>
          </a:prstGeom>
        </xdr:spPr>
      </xdr:pic>
      <xdr:pic>
        <xdr:nvPicPr>
          <xdr:cNvPr id="81" name="image48.png">
            <a:extLst>
              <a:ext uri="{FF2B5EF4-FFF2-40B4-BE49-F238E27FC236}">
                <a16:creationId xmlns:a16="http://schemas.microsoft.com/office/drawing/2014/main" id="{79A78869-9575-3B2D-119F-6ADD36915CD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95743" y="349429"/>
            <a:ext cx="140055" cy="122631"/>
          </a:xfrm>
          <a:prstGeom prst="rect">
            <a:avLst/>
          </a:prstGeom>
        </xdr:spPr>
      </xdr:pic>
      <xdr:sp macro="" textlink="">
        <xdr:nvSpPr>
          <xdr:cNvPr id="82" name="Shape 338">
            <a:extLst>
              <a:ext uri="{FF2B5EF4-FFF2-40B4-BE49-F238E27FC236}">
                <a16:creationId xmlns:a16="http://schemas.microsoft.com/office/drawing/2014/main" id="{434CA4B0-1284-AE8B-1AA7-B20FD30A9825}"/>
              </a:ext>
            </a:extLst>
          </xdr:cNvPr>
          <xdr:cNvSpPr/>
        </xdr:nvSpPr>
        <xdr:spPr>
          <a:xfrm>
            <a:off x="173582" y="317488"/>
            <a:ext cx="384810" cy="854075"/>
          </a:xfrm>
          <a:custGeom>
            <a:avLst/>
            <a:gdLst/>
            <a:ahLst/>
            <a:cxnLst/>
            <a:rect l="0" t="0" r="0" b="0"/>
            <a:pathLst>
              <a:path w="384810" h="854075">
                <a:moveTo>
                  <a:pt x="384352" y="35331"/>
                </a:moveTo>
                <a:lnTo>
                  <a:pt x="384352" y="818172"/>
                </a:lnTo>
              </a:path>
              <a:path w="384810" h="854075">
                <a:moveTo>
                  <a:pt x="0" y="818172"/>
                </a:moveTo>
                <a:lnTo>
                  <a:pt x="0" y="35331"/>
                </a:lnTo>
              </a:path>
              <a:path w="384810" h="854075">
                <a:moveTo>
                  <a:pt x="313702" y="638695"/>
                </a:moveTo>
                <a:lnTo>
                  <a:pt x="313702" y="214795"/>
                </a:lnTo>
              </a:path>
              <a:path w="384810" h="854075">
                <a:moveTo>
                  <a:pt x="70650" y="638695"/>
                </a:moveTo>
                <a:lnTo>
                  <a:pt x="70650" y="214795"/>
                </a:lnTo>
              </a:path>
              <a:path w="384810" h="854075">
                <a:moveTo>
                  <a:pt x="104584" y="638695"/>
                </a:moveTo>
                <a:lnTo>
                  <a:pt x="104584" y="214795"/>
                </a:lnTo>
              </a:path>
              <a:path w="384810" h="854075">
                <a:moveTo>
                  <a:pt x="279781" y="638695"/>
                </a:moveTo>
                <a:lnTo>
                  <a:pt x="279781" y="214795"/>
                </a:lnTo>
              </a:path>
              <a:path w="384810" h="854075">
                <a:moveTo>
                  <a:pt x="104584" y="214795"/>
                </a:moveTo>
                <a:lnTo>
                  <a:pt x="104584" y="205409"/>
                </a:lnTo>
                <a:lnTo>
                  <a:pt x="96977" y="197827"/>
                </a:lnTo>
                <a:lnTo>
                  <a:pt x="87617" y="197827"/>
                </a:lnTo>
                <a:lnTo>
                  <a:pt x="78257" y="197827"/>
                </a:lnTo>
                <a:lnTo>
                  <a:pt x="70650" y="205409"/>
                </a:lnTo>
                <a:lnTo>
                  <a:pt x="70650" y="214795"/>
                </a:lnTo>
              </a:path>
              <a:path w="384810" h="854075">
                <a:moveTo>
                  <a:pt x="313702" y="214795"/>
                </a:moveTo>
                <a:lnTo>
                  <a:pt x="313702" y="205409"/>
                </a:lnTo>
                <a:lnTo>
                  <a:pt x="306095" y="197827"/>
                </a:lnTo>
                <a:lnTo>
                  <a:pt x="296760" y="197827"/>
                </a:lnTo>
                <a:lnTo>
                  <a:pt x="287401" y="197827"/>
                </a:lnTo>
                <a:lnTo>
                  <a:pt x="279781" y="205409"/>
                </a:lnTo>
                <a:lnTo>
                  <a:pt x="279781" y="214795"/>
                </a:lnTo>
              </a:path>
              <a:path w="384810" h="854075">
                <a:moveTo>
                  <a:pt x="209130" y="214795"/>
                </a:moveTo>
                <a:lnTo>
                  <a:pt x="209130" y="205409"/>
                </a:lnTo>
                <a:lnTo>
                  <a:pt x="201549" y="197827"/>
                </a:lnTo>
                <a:lnTo>
                  <a:pt x="192163" y="197827"/>
                </a:lnTo>
                <a:lnTo>
                  <a:pt x="182803" y="197827"/>
                </a:lnTo>
                <a:lnTo>
                  <a:pt x="175234" y="205409"/>
                </a:lnTo>
                <a:lnTo>
                  <a:pt x="175234" y="214795"/>
                </a:lnTo>
              </a:path>
              <a:path w="384810" h="854075">
                <a:moveTo>
                  <a:pt x="349034" y="0"/>
                </a:moveTo>
                <a:lnTo>
                  <a:pt x="35318" y="0"/>
                </a:lnTo>
              </a:path>
              <a:path w="384810" h="854075">
                <a:moveTo>
                  <a:pt x="271310" y="93268"/>
                </a:moveTo>
                <a:lnTo>
                  <a:pt x="265092" y="62465"/>
                </a:lnTo>
                <a:lnTo>
                  <a:pt x="248134" y="37307"/>
                </a:lnTo>
                <a:lnTo>
                  <a:pt x="222977" y="20343"/>
                </a:lnTo>
                <a:lnTo>
                  <a:pt x="192163" y="14122"/>
                </a:lnTo>
                <a:lnTo>
                  <a:pt x="161366" y="20343"/>
                </a:lnTo>
                <a:lnTo>
                  <a:pt x="136221" y="37307"/>
                </a:lnTo>
                <a:lnTo>
                  <a:pt x="119270" y="62465"/>
                </a:lnTo>
                <a:lnTo>
                  <a:pt x="113055" y="93268"/>
                </a:lnTo>
                <a:lnTo>
                  <a:pt x="119270" y="124067"/>
                </a:lnTo>
                <a:lnTo>
                  <a:pt x="136221" y="149217"/>
                </a:lnTo>
                <a:lnTo>
                  <a:pt x="161366" y="166172"/>
                </a:lnTo>
                <a:lnTo>
                  <a:pt x="192163" y="172389"/>
                </a:lnTo>
                <a:lnTo>
                  <a:pt x="222977" y="166172"/>
                </a:lnTo>
                <a:lnTo>
                  <a:pt x="248134" y="149217"/>
                </a:lnTo>
                <a:lnTo>
                  <a:pt x="265092" y="124067"/>
                </a:lnTo>
                <a:lnTo>
                  <a:pt x="271310" y="93268"/>
                </a:lnTo>
                <a:close/>
              </a:path>
              <a:path w="384810" h="854075">
                <a:moveTo>
                  <a:pt x="384352" y="35331"/>
                </a:moveTo>
                <a:lnTo>
                  <a:pt x="381577" y="21581"/>
                </a:lnTo>
                <a:lnTo>
                  <a:pt x="374008" y="10350"/>
                </a:lnTo>
                <a:lnTo>
                  <a:pt x="362782" y="2777"/>
                </a:lnTo>
                <a:lnTo>
                  <a:pt x="349034" y="0"/>
                </a:lnTo>
              </a:path>
              <a:path w="384810" h="854075">
                <a:moveTo>
                  <a:pt x="35318" y="0"/>
                </a:moveTo>
                <a:lnTo>
                  <a:pt x="21581" y="2777"/>
                </a:lnTo>
                <a:lnTo>
                  <a:pt x="10353" y="10350"/>
                </a:lnTo>
                <a:lnTo>
                  <a:pt x="2778" y="21581"/>
                </a:lnTo>
                <a:lnTo>
                  <a:pt x="0" y="35331"/>
                </a:lnTo>
              </a:path>
              <a:path w="384810" h="854075">
                <a:moveTo>
                  <a:pt x="0" y="818172"/>
                </a:moveTo>
                <a:lnTo>
                  <a:pt x="2778" y="831914"/>
                </a:lnTo>
                <a:lnTo>
                  <a:pt x="10353" y="843141"/>
                </a:lnTo>
                <a:lnTo>
                  <a:pt x="21581" y="850713"/>
                </a:lnTo>
                <a:lnTo>
                  <a:pt x="35318" y="853490"/>
                </a:lnTo>
              </a:path>
              <a:path w="384810" h="854075">
                <a:moveTo>
                  <a:pt x="349034" y="853490"/>
                </a:moveTo>
                <a:lnTo>
                  <a:pt x="362782" y="850713"/>
                </a:lnTo>
                <a:lnTo>
                  <a:pt x="374008" y="843141"/>
                </a:lnTo>
                <a:lnTo>
                  <a:pt x="381577" y="831914"/>
                </a:lnTo>
                <a:lnTo>
                  <a:pt x="384352" y="818172"/>
                </a:lnTo>
              </a:path>
            </a:pathLst>
          </a:custGeom>
          <a:ln w="10058">
            <a:solidFill>
              <a:srgbClr val="000000"/>
            </a:solidFill>
          </a:ln>
        </xdr:spPr>
      </xdr:sp>
      <xdr:pic>
        <xdr:nvPicPr>
          <xdr:cNvPr id="83" name="image49.png">
            <a:extLst>
              <a:ext uri="{FF2B5EF4-FFF2-40B4-BE49-F238E27FC236}">
                <a16:creationId xmlns:a16="http://schemas.microsoft.com/office/drawing/2014/main" id="{9C2AE823-F3AC-3DC2-F905-EB29EB96468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39203" y="951155"/>
            <a:ext cx="253110" cy="210718"/>
          </a:xfrm>
          <a:prstGeom prst="rect">
            <a:avLst/>
          </a:prstGeom>
        </xdr:spPr>
      </xdr:pic>
      <xdr:sp macro="" textlink="">
        <xdr:nvSpPr>
          <xdr:cNvPr id="84" name="Shape 340">
            <a:extLst>
              <a:ext uri="{FF2B5EF4-FFF2-40B4-BE49-F238E27FC236}">
                <a16:creationId xmlns:a16="http://schemas.microsoft.com/office/drawing/2014/main" id="{82A4FC44-782D-E733-2151-ABBB561E129B}"/>
              </a:ext>
            </a:extLst>
          </xdr:cNvPr>
          <xdr:cNvSpPr/>
        </xdr:nvSpPr>
        <xdr:spPr>
          <a:xfrm>
            <a:off x="208901" y="532283"/>
            <a:ext cx="314325" cy="638810"/>
          </a:xfrm>
          <a:custGeom>
            <a:avLst/>
            <a:gdLst/>
            <a:ahLst/>
            <a:cxnLst/>
            <a:rect l="0" t="0" r="0" b="0"/>
            <a:pathLst>
              <a:path w="314325" h="638810">
                <a:moveTo>
                  <a:pt x="313715" y="638695"/>
                </a:moveTo>
                <a:lnTo>
                  <a:pt x="0" y="638695"/>
                </a:lnTo>
              </a:path>
              <a:path w="314325" h="638810">
                <a:moveTo>
                  <a:pt x="139915" y="423900"/>
                </a:moveTo>
                <a:lnTo>
                  <a:pt x="139915" y="0"/>
                </a:lnTo>
              </a:path>
              <a:path w="314325" h="638810">
                <a:moveTo>
                  <a:pt x="173812" y="423900"/>
                </a:moveTo>
                <a:lnTo>
                  <a:pt x="173812" y="0"/>
                </a:lnTo>
              </a:path>
            </a:pathLst>
          </a:custGeom>
          <a:ln w="10058">
            <a:solidFill>
              <a:srgbClr val="000000"/>
            </a:solidFill>
          </a:ln>
        </xdr:spPr>
      </xdr:sp>
      <xdr:sp macro="" textlink="">
        <xdr:nvSpPr>
          <xdr:cNvPr id="85" name="Shape 341">
            <a:extLst>
              <a:ext uri="{FF2B5EF4-FFF2-40B4-BE49-F238E27FC236}">
                <a16:creationId xmlns:a16="http://schemas.microsoft.com/office/drawing/2014/main" id="{B06CB084-F77C-A1E7-186C-C8876D7646D6}"/>
              </a:ext>
            </a:extLst>
          </xdr:cNvPr>
          <xdr:cNvSpPr/>
        </xdr:nvSpPr>
        <xdr:spPr>
          <a:xfrm>
            <a:off x="0" y="46532"/>
            <a:ext cx="563880" cy="1397000"/>
          </a:xfrm>
          <a:custGeom>
            <a:avLst/>
            <a:gdLst/>
            <a:ahLst/>
            <a:cxnLst/>
            <a:rect l="0" t="0" r="0" b="0"/>
            <a:pathLst>
              <a:path w="563880" h="1397000">
                <a:moveTo>
                  <a:pt x="365747" y="1118704"/>
                </a:moveTo>
                <a:lnTo>
                  <a:pt x="365747" y="943660"/>
                </a:lnTo>
              </a:path>
              <a:path w="563880" h="1397000">
                <a:moveTo>
                  <a:pt x="283171" y="1031303"/>
                </a:moveTo>
                <a:lnTo>
                  <a:pt x="448360" y="1031303"/>
                </a:lnTo>
              </a:path>
              <a:path w="563880" h="1397000">
                <a:moveTo>
                  <a:pt x="365747" y="451599"/>
                </a:moveTo>
                <a:lnTo>
                  <a:pt x="365747" y="276555"/>
                </a:lnTo>
              </a:path>
              <a:path w="563880" h="1397000">
                <a:moveTo>
                  <a:pt x="283171" y="364223"/>
                </a:moveTo>
                <a:lnTo>
                  <a:pt x="448360" y="364223"/>
                </a:lnTo>
              </a:path>
              <a:path w="563880" h="1397000">
                <a:moveTo>
                  <a:pt x="173570" y="249758"/>
                </a:moveTo>
                <a:lnTo>
                  <a:pt x="173570" y="0"/>
                </a:lnTo>
              </a:path>
              <a:path w="563880" h="1397000">
                <a:moveTo>
                  <a:pt x="557936" y="249758"/>
                </a:moveTo>
                <a:lnTo>
                  <a:pt x="557936" y="0"/>
                </a:lnTo>
              </a:path>
              <a:path w="563880" h="1397000">
                <a:moveTo>
                  <a:pt x="230124" y="56514"/>
                </a:moveTo>
                <a:lnTo>
                  <a:pt x="501421" y="56514"/>
                </a:lnTo>
              </a:path>
              <a:path w="563880" h="1397000">
                <a:moveTo>
                  <a:pt x="422122" y="1087704"/>
                </a:moveTo>
                <a:lnTo>
                  <a:pt x="422122" y="1396504"/>
                </a:lnTo>
              </a:path>
              <a:path w="563880" h="1397000">
                <a:moveTo>
                  <a:pt x="309410" y="1087704"/>
                </a:moveTo>
                <a:lnTo>
                  <a:pt x="309410" y="1396504"/>
                </a:lnTo>
              </a:path>
              <a:path w="563880" h="1397000">
                <a:moveTo>
                  <a:pt x="478650" y="1339989"/>
                </a:moveTo>
                <a:lnTo>
                  <a:pt x="563448" y="1339989"/>
                </a:lnTo>
              </a:path>
              <a:path w="563880" h="1397000">
                <a:moveTo>
                  <a:pt x="252882" y="1339989"/>
                </a:moveTo>
                <a:lnTo>
                  <a:pt x="0" y="1339989"/>
                </a:lnTo>
              </a:path>
              <a:path w="563880" h="1397000">
                <a:moveTo>
                  <a:pt x="309410" y="1339989"/>
                </a:moveTo>
                <a:lnTo>
                  <a:pt x="422122" y="1339989"/>
                </a:lnTo>
              </a:path>
            </a:pathLst>
          </a:custGeom>
          <a:ln w="6032">
            <a:solidFill>
              <a:srgbClr val="000000"/>
            </a:solidFill>
          </a:ln>
        </xdr:spPr>
      </xdr:sp>
      <xdr:sp macro="" textlink="">
        <xdr:nvSpPr>
          <xdr:cNvPr id="86" name="Shape 342">
            <a:extLst>
              <a:ext uri="{FF2B5EF4-FFF2-40B4-BE49-F238E27FC236}">
                <a16:creationId xmlns:a16="http://schemas.microsoft.com/office/drawing/2014/main" id="{1A377E65-128F-E710-ACED-2525C9E9E7EB}"/>
              </a:ext>
            </a:extLst>
          </xdr:cNvPr>
          <xdr:cNvSpPr/>
        </xdr:nvSpPr>
        <xdr:spPr>
          <a:xfrm>
            <a:off x="13176" y="11"/>
            <a:ext cx="544830" cy="1406525"/>
          </a:xfrm>
          <a:custGeom>
            <a:avLst/>
            <a:gdLst/>
            <a:ahLst/>
            <a:cxnLst/>
            <a:rect l="0" t="0" r="0" b="0"/>
            <a:pathLst>
              <a:path w="544830" h="1406525">
                <a:moveTo>
                  <a:pt x="27076" y="1286002"/>
                </a:moveTo>
                <a:lnTo>
                  <a:pt x="20535" y="1286002"/>
                </a:lnTo>
                <a:lnTo>
                  <a:pt x="18618" y="1296784"/>
                </a:lnTo>
                <a:lnTo>
                  <a:pt x="9766" y="1299387"/>
                </a:lnTo>
                <a:lnTo>
                  <a:pt x="0" y="1299387"/>
                </a:lnTo>
                <a:lnTo>
                  <a:pt x="0" y="1306233"/>
                </a:lnTo>
                <a:lnTo>
                  <a:pt x="18542" y="1306233"/>
                </a:lnTo>
                <a:lnTo>
                  <a:pt x="18542" y="1357363"/>
                </a:lnTo>
                <a:lnTo>
                  <a:pt x="27076" y="1357363"/>
                </a:lnTo>
                <a:lnTo>
                  <a:pt x="27076" y="1286002"/>
                </a:lnTo>
                <a:close/>
              </a:path>
              <a:path w="544830" h="1406525">
                <a:moveTo>
                  <a:pt x="72288" y="1287284"/>
                </a:moveTo>
                <a:lnTo>
                  <a:pt x="67716" y="1287284"/>
                </a:lnTo>
                <a:lnTo>
                  <a:pt x="66395" y="1294815"/>
                </a:lnTo>
                <a:lnTo>
                  <a:pt x="60172" y="1296657"/>
                </a:lnTo>
                <a:lnTo>
                  <a:pt x="53352" y="1296657"/>
                </a:lnTo>
                <a:lnTo>
                  <a:pt x="53352" y="1301432"/>
                </a:lnTo>
                <a:lnTo>
                  <a:pt x="66306" y="1301432"/>
                </a:lnTo>
                <a:lnTo>
                  <a:pt x="66306" y="1337233"/>
                </a:lnTo>
                <a:lnTo>
                  <a:pt x="72288" y="1337233"/>
                </a:lnTo>
                <a:lnTo>
                  <a:pt x="72288" y="1287284"/>
                </a:lnTo>
                <a:close/>
              </a:path>
              <a:path w="544830" h="1406525">
                <a:moveTo>
                  <a:pt x="121729" y="1283792"/>
                </a:moveTo>
                <a:lnTo>
                  <a:pt x="114363" y="1283792"/>
                </a:lnTo>
                <a:lnTo>
                  <a:pt x="84569" y="1359077"/>
                </a:lnTo>
                <a:lnTo>
                  <a:pt x="91909" y="1359077"/>
                </a:lnTo>
                <a:lnTo>
                  <a:pt x="121729" y="1283792"/>
                </a:lnTo>
                <a:close/>
              </a:path>
              <a:path w="544830" h="1406525">
                <a:moveTo>
                  <a:pt x="156171" y="1340383"/>
                </a:moveTo>
                <a:lnTo>
                  <a:pt x="149428" y="1340383"/>
                </a:lnTo>
                <a:lnTo>
                  <a:pt x="149428" y="1315948"/>
                </a:lnTo>
                <a:lnTo>
                  <a:pt x="149428" y="1307414"/>
                </a:lnTo>
                <a:lnTo>
                  <a:pt x="144614" y="1307414"/>
                </a:lnTo>
                <a:lnTo>
                  <a:pt x="143764" y="1308633"/>
                </a:lnTo>
                <a:lnTo>
                  <a:pt x="143764" y="1315948"/>
                </a:lnTo>
                <a:lnTo>
                  <a:pt x="143764" y="1340383"/>
                </a:lnTo>
                <a:lnTo>
                  <a:pt x="127000" y="1340383"/>
                </a:lnTo>
                <a:lnTo>
                  <a:pt x="143624" y="1315948"/>
                </a:lnTo>
                <a:lnTo>
                  <a:pt x="143764" y="1315948"/>
                </a:lnTo>
                <a:lnTo>
                  <a:pt x="143764" y="1308633"/>
                </a:lnTo>
                <a:lnTo>
                  <a:pt x="121869" y="1339888"/>
                </a:lnTo>
                <a:lnTo>
                  <a:pt x="121869" y="1345666"/>
                </a:lnTo>
                <a:lnTo>
                  <a:pt x="143764" y="1345666"/>
                </a:lnTo>
                <a:lnTo>
                  <a:pt x="143764" y="1357363"/>
                </a:lnTo>
                <a:lnTo>
                  <a:pt x="149428" y="1357363"/>
                </a:lnTo>
                <a:lnTo>
                  <a:pt x="149428" y="1345666"/>
                </a:lnTo>
                <a:lnTo>
                  <a:pt x="156171" y="1345666"/>
                </a:lnTo>
                <a:lnTo>
                  <a:pt x="156171" y="1340383"/>
                </a:lnTo>
                <a:close/>
              </a:path>
              <a:path w="544830" h="1406525">
                <a:moveTo>
                  <a:pt x="176885" y="1285481"/>
                </a:moveTo>
                <a:lnTo>
                  <a:pt x="170040" y="1285481"/>
                </a:lnTo>
                <a:lnTo>
                  <a:pt x="170040" y="1311452"/>
                </a:lnTo>
                <a:lnTo>
                  <a:pt x="176885" y="1311452"/>
                </a:lnTo>
                <a:lnTo>
                  <a:pt x="176885" y="1285481"/>
                </a:lnTo>
                <a:close/>
              </a:path>
              <a:path w="544830" h="1406525">
                <a:moveTo>
                  <a:pt x="190969" y="1285481"/>
                </a:moveTo>
                <a:lnTo>
                  <a:pt x="184137" y="1285481"/>
                </a:lnTo>
                <a:lnTo>
                  <a:pt x="184137" y="1311452"/>
                </a:lnTo>
                <a:lnTo>
                  <a:pt x="190969" y="1311452"/>
                </a:lnTo>
                <a:lnTo>
                  <a:pt x="190969" y="1285481"/>
                </a:lnTo>
                <a:close/>
              </a:path>
              <a:path w="544830" h="1406525">
                <a:moveTo>
                  <a:pt x="260248" y="83070"/>
                </a:moveTo>
                <a:lnTo>
                  <a:pt x="160388" y="103022"/>
                </a:lnTo>
                <a:lnTo>
                  <a:pt x="260248" y="123012"/>
                </a:lnTo>
                <a:lnTo>
                  <a:pt x="260248" y="83070"/>
                </a:lnTo>
                <a:close/>
              </a:path>
              <a:path w="544830" h="1406525">
                <a:moveTo>
                  <a:pt x="296227" y="1386522"/>
                </a:moveTo>
                <a:lnTo>
                  <a:pt x="196367" y="1366545"/>
                </a:lnTo>
                <a:lnTo>
                  <a:pt x="196367" y="1406486"/>
                </a:lnTo>
                <a:lnTo>
                  <a:pt x="296227" y="1386522"/>
                </a:lnTo>
                <a:close/>
              </a:path>
              <a:path w="544830" h="1406525">
                <a:moveTo>
                  <a:pt x="298640" y="0"/>
                </a:moveTo>
                <a:lnTo>
                  <a:pt x="292074" y="0"/>
                </a:lnTo>
                <a:lnTo>
                  <a:pt x="290182" y="10769"/>
                </a:lnTo>
                <a:lnTo>
                  <a:pt x="281305" y="13385"/>
                </a:lnTo>
                <a:lnTo>
                  <a:pt x="271551" y="13385"/>
                </a:lnTo>
                <a:lnTo>
                  <a:pt x="271551" y="20218"/>
                </a:lnTo>
                <a:lnTo>
                  <a:pt x="290080" y="20218"/>
                </a:lnTo>
                <a:lnTo>
                  <a:pt x="290080" y="71348"/>
                </a:lnTo>
                <a:lnTo>
                  <a:pt x="298640" y="71348"/>
                </a:lnTo>
                <a:lnTo>
                  <a:pt x="298640" y="0"/>
                </a:lnTo>
                <a:close/>
              </a:path>
              <a:path w="544830" h="1406525">
                <a:moveTo>
                  <a:pt x="370078" y="42265"/>
                </a:moveTo>
                <a:lnTo>
                  <a:pt x="365848" y="35420"/>
                </a:lnTo>
                <a:lnTo>
                  <a:pt x="357212" y="33515"/>
                </a:lnTo>
                <a:lnTo>
                  <a:pt x="357212" y="33312"/>
                </a:lnTo>
                <a:lnTo>
                  <a:pt x="362635" y="30784"/>
                </a:lnTo>
                <a:lnTo>
                  <a:pt x="367055" y="25361"/>
                </a:lnTo>
                <a:lnTo>
                  <a:pt x="367055" y="19113"/>
                </a:lnTo>
                <a:lnTo>
                  <a:pt x="365404" y="10566"/>
                </a:lnTo>
                <a:lnTo>
                  <a:pt x="360832" y="4610"/>
                </a:lnTo>
                <a:lnTo>
                  <a:pt x="353936" y="1130"/>
                </a:lnTo>
                <a:lnTo>
                  <a:pt x="345325" y="0"/>
                </a:lnTo>
                <a:lnTo>
                  <a:pt x="335915" y="1689"/>
                </a:lnTo>
                <a:lnTo>
                  <a:pt x="329133" y="6426"/>
                </a:lnTo>
                <a:lnTo>
                  <a:pt x="324929" y="13703"/>
                </a:lnTo>
                <a:lnTo>
                  <a:pt x="323278" y="23050"/>
                </a:lnTo>
                <a:lnTo>
                  <a:pt x="331838" y="23050"/>
                </a:lnTo>
                <a:lnTo>
                  <a:pt x="331939" y="14693"/>
                </a:lnTo>
                <a:lnTo>
                  <a:pt x="335965" y="7543"/>
                </a:lnTo>
                <a:lnTo>
                  <a:pt x="352564" y="7543"/>
                </a:lnTo>
                <a:lnTo>
                  <a:pt x="358025" y="11569"/>
                </a:lnTo>
                <a:lnTo>
                  <a:pt x="358025" y="26771"/>
                </a:lnTo>
                <a:lnTo>
                  <a:pt x="351663" y="30695"/>
                </a:lnTo>
                <a:lnTo>
                  <a:pt x="340690" y="30594"/>
                </a:lnTo>
                <a:lnTo>
                  <a:pt x="340690" y="37833"/>
                </a:lnTo>
                <a:lnTo>
                  <a:pt x="344106" y="37528"/>
                </a:lnTo>
                <a:lnTo>
                  <a:pt x="354279" y="37528"/>
                </a:lnTo>
                <a:lnTo>
                  <a:pt x="361022" y="42265"/>
                </a:lnTo>
                <a:lnTo>
                  <a:pt x="361022" y="59880"/>
                </a:lnTo>
                <a:lnTo>
                  <a:pt x="353898" y="65011"/>
                </a:lnTo>
                <a:lnTo>
                  <a:pt x="335762" y="65011"/>
                </a:lnTo>
                <a:lnTo>
                  <a:pt x="330619" y="58572"/>
                </a:lnTo>
                <a:lnTo>
                  <a:pt x="330339" y="49314"/>
                </a:lnTo>
                <a:lnTo>
                  <a:pt x="321767" y="49314"/>
                </a:lnTo>
                <a:lnTo>
                  <a:pt x="323316" y="59131"/>
                </a:lnTo>
                <a:lnTo>
                  <a:pt x="328091" y="66446"/>
                </a:lnTo>
                <a:lnTo>
                  <a:pt x="335661" y="70993"/>
                </a:lnTo>
                <a:lnTo>
                  <a:pt x="345541" y="72567"/>
                </a:lnTo>
                <a:lnTo>
                  <a:pt x="355015" y="71170"/>
                </a:lnTo>
                <a:lnTo>
                  <a:pt x="362826" y="67056"/>
                </a:lnTo>
                <a:lnTo>
                  <a:pt x="368122" y="60248"/>
                </a:lnTo>
                <a:lnTo>
                  <a:pt x="370078" y="50825"/>
                </a:lnTo>
                <a:lnTo>
                  <a:pt x="370078" y="42265"/>
                </a:lnTo>
                <a:close/>
              </a:path>
              <a:path w="544830" h="1406525">
                <a:moveTo>
                  <a:pt x="426961" y="48615"/>
                </a:moveTo>
                <a:lnTo>
                  <a:pt x="425615" y="40360"/>
                </a:lnTo>
                <a:lnTo>
                  <a:pt x="425589" y="40157"/>
                </a:lnTo>
                <a:lnTo>
                  <a:pt x="425475" y="39420"/>
                </a:lnTo>
                <a:lnTo>
                  <a:pt x="421716" y="33020"/>
                </a:lnTo>
                <a:lnTo>
                  <a:pt x="421170" y="32080"/>
                </a:lnTo>
                <a:lnTo>
                  <a:pt x="417880" y="29756"/>
                </a:lnTo>
                <a:lnTo>
                  <a:pt x="417880" y="40360"/>
                </a:lnTo>
                <a:lnTo>
                  <a:pt x="417880" y="57670"/>
                </a:lnTo>
                <a:lnTo>
                  <a:pt x="412775" y="65011"/>
                </a:lnTo>
                <a:lnTo>
                  <a:pt x="394157" y="65011"/>
                </a:lnTo>
                <a:lnTo>
                  <a:pt x="388696" y="57962"/>
                </a:lnTo>
                <a:lnTo>
                  <a:pt x="388696" y="40157"/>
                </a:lnTo>
                <a:lnTo>
                  <a:pt x="392607" y="34823"/>
                </a:lnTo>
                <a:lnTo>
                  <a:pt x="393928" y="33020"/>
                </a:lnTo>
                <a:lnTo>
                  <a:pt x="413258" y="33020"/>
                </a:lnTo>
                <a:lnTo>
                  <a:pt x="417880" y="40360"/>
                </a:lnTo>
                <a:lnTo>
                  <a:pt x="417880" y="29756"/>
                </a:lnTo>
                <a:lnTo>
                  <a:pt x="414299" y="27216"/>
                </a:lnTo>
                <a:lnTo>
                  <a:pt x="405117" y="25463"/>
                </a:lnTo>
                <a:lnTo>
                  <a:pt x="397357" y="25463"/>
                </a:lnTo>
                <a:lnTo>
                  <a:pt x="391312" y="28282"/>
                </a:lnTo>
                <a:lnTo>
                  <a:pt x="387413" y="34620"/>
                </a:lnTo>
                <a:lnTo>
                  <a:pt x="387286" y="34823"/>
                </a:lnTo>
                <a:lnTo>
                  <a:pt x="404418" y="7543"/>
                </a:lnTo>
                <a:lnTo>
                  <a:pt x="411137" y="7543"/>
                </a:lnTo>
                <a:lnTo>
                  <a:pt x="415569" y="11772"/>
                </a:lnTo>
                <a:lnTo>
                  <a:pt x="416369" y="18211"/>
                </a:lnTo>
                <a:lnTo>
                  <a:pt x="424929" y="18211"/>
                </a:lnTo>
                <a:lnTo>
                  <a:pt x="404799" y="0"/>
                </a:lnTo>
                <a:lnTo>
                  <a:pt x="392112" y="3213"/>
                </a:lnTo>
                <a:lnTo>
                  <a:pt x="384035" y="11772"/>
                </a:lnTo>
                <a:lnTo>
                  <a:pt x="379780" y="23977"/>
                </a:lnTo>
                <a:lnTo>
                  <a:pt x="378536" y="38239"/>
                </a:lnTo>
                <a:lnTo>
                  <a:pt x="379298" y="48615"/>
                </a:lnTo>
                <a:lnTo>
                  <a:pt x="379399" y="49923"/>
                </a:lnTo>
                <a:lnTo>
                  <a:pt x="382879" y="61023"/>
                </a:lnTo>
                <a:lnTo>
                  <a:pt x="390334" y="69303"/>
                </a:lnTo>
                <a:lnTo>
                  <a:pt x="403085" y="72567"/>
                </a:lnTo>
                <a:lnTo>
                  <a:pt x="414426" y="70281"/>
                </a:lnTo>
                <a:lnTo>
                  <a:pt x="421106" y="65011"/>
                </a:lnTo>
                <a:lnTo>
                  <a:pt x="421779" y="64465"/>
                </a:lnTo>
                <a:lnTo>
                  <a:pt x="425767" y="56718"/>
                </a:lnTo>
                <a:lnTo>
                  <a:pt x="426961" y="48615"/>
                </a:lnTo>
                <a:close/>
              </a:path>
              <a:path w="544830" h="1406525">
                <a:moveTo>
                  <a:pt x="508800" y="1366545"/>
                </a:moveTo>
                <a:lnTo>
                  <a:pt x="408940" y="1386522"/>
                </a:lnTo>
                <a:lnTo>
                  <a:pt x="508800" y="1406486"/>
                </a:lnTo>
                <a:lnTo>
                  <a:pt x="508800" y="1366545"/>
                </a:lnTo>
                <a:close/>
              </a:path>
              <a:path w="544830" h="1406525">
                <a:moveTo>
                  <a:pt x="544753" y="103022"/>
                </a:moveTo>
                <a:lnTo>
                  <a:pt x="444893" y="83070"/>
                </a:lnTo>
                <a:lnTo>
                  <a:pt x="444893" y="123012"/>
                </a:lnTo>
                <a:lnTo>
                  <a:pt x="544753" y="103022"/>
                </a:lnTo>
                <a:close/>
              </a:path>
            </a:pathLst>
          </a:custGeom>
          <a:solidFill>
            <a:srgbClr val="000000"/>
          </a:solidFill>
        </xdr:spPr>
      </xdr:sp>
    </xdr:grpSp>
    <xdr:clientData/>
  </xdr:oneCellAnchor>
  <xdr:oneCellAnchor>
    <xdr:from>
      <xdr:col>0</xdr:col>
      <xdr:colOff>62108</xdr:colOff>
      <xdr:row>58</xdr:row>
      <xdr:rowOff>297342</xdr:rowOff>
    </xdr:from>
    <xdr:ext cx="2092960" cy="1610995"/>
    <xdr:grpSp>
      <xdr:nvGrpSpPr>
        <xdr:cNvPr id="87" name="Group 343">
          <a:extLst>
            <a:ext uri="{FF2B5EF4-FFF2-40B4-BE49-F238E27FC236}">
              <a16:creationId xmlns:a16="http://schemas.microsoft.com/office/drawing/2014/main" id="{76F16DA9-FC3A-4559-A2F3-A8FC3B67A68E}"/>
            </a:ext>
          </a:extLst>
        </xdr:cNvPr>
        <xdr:cNvGrpSpPr/>
      </xdr:nvGrpSpPr>
      <xdr:grpSpPr>
        <a:xfrm>
          <a:off x="62108" y="13584717"/>
          <a:ext cx="2092960" cy="1610995"/>
          <a:chOff x="0" y="0"/>
          <a:chExt cx="2092960" cy="1610995"/>
        </a:xfrm>
      </xdr:grpSpPr>
      <xdr:pic>
        <xdr:nvPicPr>
          <xdr:cNvPr id="88" name="image50.png">
            <a:extLst>
              <a:ext uri="{FF2B5EF4-FFF2-40B4-BE49-F238E27FC236}">
                <a16:creationId xmlns:a16="http://schemas.microsoft.com/office/drawing/2014/main" id="{06D9DC61-CB1D-7CB7-058B-62F259B38ED4}"/>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478339"/>
            <a:ext cx="1870939" cy="863556"/>
          </a:xfrm>
          <a:prstGeom prst="rect">
            <a:avLst/>
          </a:prstGeom>
        </xdr:spPr>
      </xdr:pic>
      <xdr:sp macro="" textlink="">
        <xdr:nvSpPr>
          <xdr:cNvPr id="89" name="Shape 345">
            <a:extLst>
              <a:ext uri="{FF2B5EF4-FFF2-40B4-BE49-F238E27FC236}">
                <a16:creationId xmlns:a16="http://schemas.microsoft.com/office/drawing/2014/main" id="{586EB609-B04F-F112-6D31-16E554EB3AA8}"/>
              </a:ext>
            </a:extLst>
          </xdr:cNvPr>
          <xdr:cNvSpPr/>
        </xdr:nvSpPr>
        <xdr:spPr>
          <a:xfrm>
            <a:off x="256933" y="42428"/>
            <a:ext cx="1835785" cy="1568450"/>
          </a:xfrm>
          <a:custGeom>
            <a:avLst/>
            <a:gdLst/>
            <a:ahLst/>
            <a:cxnLst/>
            <a:rect l="0" t="0" r="0" b="0"/>
            <a:pathLst>
              <a:path w="1835785" h="1568450">
                <a:moveTo>
                  <a:pt x="269455" y="407111"/>
                </a:moveTo>
                <a:lnTo>
                  <a:pt x="269455" y="171170"/>
                </a:lnTo>
              </a:path>
              <a:path w="1835785" h="1568450">
                <a:moveTo>
                  <a:pt x="229895" y="424408"/>
                </a:moveTo>
                <a:lnTo>
                  <a:pt x="229895" y="0"/>
                </a:lnTo>
              </a:path>
              <a:path w="1835785" h="1568450">
                <a:moveTo>
                  <a:pt x="325970" y="227698"/>
                </a:moveTo>
                <a:lnTo>
                  <a:pt x="411010" y="227698"/>
                </a:lnTo>
              </a:path>
              <a:path w="1835785" h="1568450">
                <a:moveTo>
                  <a:pt x="173367" y="227698"/>
                </a:moveTo>
                <a:lnTo>
                  <a:pt x="0" y="227698"/>
                </a:lnTo>
              </a:path>
              <a:path w="1835785" h="1568450">
                <a:moveTo>
                  <a:pt x="1569135" y="407111"/>
                </a:moveTo>
                <a:lnTo>
                  <a:pt x="1569135" y="171170"/>
                </a:lnTo>
              </a:path>
              <a:path w="1835785" h="1568450">
                <a:moveTo>
                  <a:pt x="1608683" y="424408"/>
                </a:moveTo>
                <a:lnTo>
                  <a:pt x="1608683" y="0"/>
                </a:lnTo>
              </a:path>
              <a:path w="1835785" h="1568450">
                <a:moveTo>
                  <a:pt x="1512620" y="227698"/>
                </a:moveTo>
                <a:lnTo>
                  <a:pt x="1427556" y="227698"/>
                </a:lnTo>
              </a:path>
              <a:path w="1835785" h="1568450">
                <a:moveTo>
                  <a:pt x="1665198" y="227698"/>
                </a:moveTo>
                <a:lnTo>
                  <a:pt x="1835454" y="227698"/>
                </a:lnTo>
              </a:path>
              <a:path w="1835785" h="1568450">
                <a:moveTo>
                  <a:pt x="229895" y="227698"/>
                </a:moveTo>
                <a:lnTo>
                  <a:pt x="269455" y="227698"/>
                </a:lnTo>
              </a:path>
              <a:path w="1835785" h="1568450">
                <a:moveTo>
                  <a:pt x="1569135" y="227698"/>
                </a:moveTo>
                <a:lnTo>
                  <a:pt x="1608683" y="227698"/>
                </a:lnTo>
              </a:path>
              <a:path w="1835785" h="1568450">
                <a:moveTo>
                  <a:pt x="269455" y="407111"/>
                </a:moveTo>
                <a:lnTo>
                  <a:pt x="269455" y="171170"/>
                </a:lnTo>
              </a:path>
              <a:path w="1835785" h="1568450">
                <a:moveTo>
                  <a:pt x="1569135" y="407111"/>
                </a:moveTo>
                <a:lnTo>
                  <a:pt x="1569135" y="171170"/>
                </a:lnTo>
              </a:path>
              <a:path w="1835785" h="1568450">
                <a:moveTo>
                  <a:pt x="325970" y="56527"/>
                </a:moveTo>
                <a:lnTo>
                  <a:pt x="1512620" y="56527"/>
                </a:lnTo>
              </a:path>
              <a:path w="1835785" h="1568450">
                <a:moveTo>
                  <a:pt x="399453" y="1327404"/>
                </a:moveTo>
                <a:lnTo>
                  <a:pt x="399453" y="1568297"/>
                </a:lnTo>
              </a:path>
              <a:path w="1835785" h="1568450">
                <a:moveTo>
                  <a:pt x="529437" y="1327404"/>
                </a:moveTo>
                <a:lnTo>
                  <a:pt x="529437" y="1568297"/>
                </a:lnTo>
              </a:path>
              <a:path w="1835785" h="1568450">
                <a:moveTo>
                  <a:pt x="342912" y="1511782"/>
                </a:moveTo>
                <a:lnTo>
                  <a:pt x="266700" y="1511782"/>
                </a:lnTo>
              </a:path>
              <a:path w="1835785" h="1568450">
                <a:moveTo>
                  <a:pt x="585990" y="1511782"/>
                </a:moveTo>
                <a:lnTo>
                  <a:pt x="768692" y="1511782"/>
                </a:lnTo>
              </a:path>
              <a:path w="1835785" h="1568450">
                <a:moveTo>
                  <a:pt x="399453" y="1511782"/>
                </a:moveTo>
                <a:lnTo>
                  <a:pt x="529437" y="1511782"/>
                </a:lnTo>
              </a:path>
            </a:pathLst>
          </a:custGeom>
          <a:ln w="6032">
            <a:solidFill>
              <a:srgbClr val="000000"/>
            </a:solidFill>
          </a:ln>
        </xdr:spPr>
      </xdr:sp>
      <xdr:sp macro="" textlink="">
        <xdr:nvSpPr>
          <xdr:cNvPr id="90" name="Shape 346">
            <a:extLst>
              <a:ext uri="{FF2B5EF4-FFF2-40B4-BE49-F238E27FC236}">
                <a16:creationId xmlns:a16="http://schemas.microsoft.com/office/drawing/2014/main" id="{F2221556-6139-0802-266D-FE1E0579C50C}"/>
              </a:ext>
            </a:extLst>
          </xdr:cNvPr>
          <xdr:cNvSpPr/>
        </xdr:nvSpPr>
        <xdr:spPr>
          <a:xfrm>
            <a:off x="277604" y="0"/>
            <a:ext cx="1798320" cy="1574800"/>
          </a:xfrm>
          <a:custGeom>
            <a:avLst/>
            <a:gdLst/>
            <a:ahLst/>
            <a:cxnLst/>
            <a:rect l="0" t="0" r="0" b="0"/>
            <a:pathLst>
              <a:path w="1798320" h="1574800">
                <a:moveTo>
                  <a:pt x="27101" y="171691"/>
                </a:moveTo>
                <a:lnTo>
                  <a:pt x="20561" y="171691"/>
                </a:lnTo>
                <a:lnTo>
                  <a:pt x="18643" y="182460"/>
                </a:lnTo>
                <a:lnTo>
                  <a:pt x="9779" y="185089"/>
                </a:lnTo>
                <a:lnTo>
                  <a:pt x="0" y="185089"/>
                </a:lnTo>
                <a:lnTo>
                  <a:pt x="0" y="191935"/>
                </a:lnTo>
                <a:lnTo>
                  <a:pt x="18542" y="191935"/>
                </a:lnTo>
                <a:lnTo>
                  <a:pt x="18542" y="243116"/>
                </a:lnTo>
                <a:lnTo>
                  <a:pt x="27101" y="243116"/>
                </a:lnTo>
                <a:lnTo>
                  <a:pt x="27101" y="171691"/>
                </a:lnTo>
                <a:close/>
              </a:path>
              <a:path w="1798320" h="1574800">
                <a:moveTo>
                  <a:pt x="92913" y="213982"/>
                </a:moveTo>
                <a:lnTo>
                  <a:pt x="88684" y="207137"/>
                </a:lnTo>
                <a:lnTo>
                  <a:pt x="80022" y="205219"/>
                </a:lnTo>
                <a:lnTo>
                  <a:pt x="80022" y="205016"/>
                </a:lnTo>
                <a:lnTo>
                  <a:pt x="85458" y="202501"/>
                </a:lnTo>
                <a:lnTo>
                  <a:pt x="89890" y="197053"/>
                </a:lnTo>
                <a:lnTo>
                  <a:pt x="89890" y="190804"/>
                </a:lnTo>
                <a:lnTo>
                  <a:pt x="88226" y="182245"/>
                </a:lnTo>
                <a:lnTo>
                  <a:pt x="83642" y="176288"/>
                </a:lnTo>
                <a:lnTo>
                  <a:pt x="76746" y="172808"/>
                </a:lnTo>
                <a:lnTo>
                  <a:pt x="68122" y="171678"/>
                </a:lnTo>
                <a:lnTo>
                  <a:pt x="58712" y="173367"/>
                </a:lnTo>
                <a:lnTo>
                  <a:pt x="51917" y="178104"/>
                </a:lnTo>
                <a:lnTo>
                  <a:pt x="47701" y="185394"/>
                </a:lnTo>
                <a:lnTo>
                  <a:pt x="46075" y="194741"/>
                </a:lnTo>
                <a:lnTo>
                  <a:pt x="54622" y="194741"/>
                </a:lnTo>
                <a:lnTo>
                  <a:pt x="54724" y="186372"/>
                </a:lnTo>
                <a:lnTo>
                  <a:pt x="58750" y="179222"/>
                </a:lnTo>
                <a:lnTo>
                  <a:pt x="75374" y="179222"/>
                </a:lnTo>
                <a:lnTo>
                  <a:pt x="80822" y="183248"/>
                </a:lnTo>
                <a:lnTo>
                  <a:pt x="80822" y="198462"/>
                </a:lnTo>
                <a:lnTo>
                  <a:pt x="74460" y="202399"/>
                </a:lnTo>
                <a:lnTo>
                  <a:pt x="63487" y="202298"/>
                </a:lnTo>
                <a:lnTo>
                  <a:pt x="63487" y="209550"/>
                </a:lnTo>
                <a:lnTo>
                  <a:pt x="66903" y="209245"/>
                </a:lnTo>
                <a:lnTo>
                  <a:pt x="77089" y="209245"/>
                </a:lnTo>
                <a:lnTo>
                  <a:pt x="83858" y="213982"/>
                </a:lnTo>
                <a:lnTo>
                  <a:pt x="83858" y="231609"/>
                </a:lnTo>
                <a:lnTo>
                  <a:pt x="76695" y="236740"/>
                </a:lnTo>
                <a:lnTo>
                  <a:pt x="58559" y="236740"/>
                </a:lnTo>
                <a:lnTo>
                  <a:pt x="53428" y="230301"/>
                </a:lnTo>
                <a:lnTo>
                  <a:pt x="53111" y="221030"/>
                </a:lnTo>
                <a:lnTo>
                  <a:pt x="44564" y="221030"/>
                </a:lnTo>
                <a:lnTo>
                  <a:pt x="46101" y="230873"/>
                </a:lnTo>
                <a:lnTo>
                  <a:pt x="50876" y="238188"/>
                </a:lnTo>
                <a:lnTo>
                  <a:pt x="58445" y="242747"/>
                </a:lnTo>
                <a:lnTo>
                  <a:pt x="68326" y="244309"/>
                </a:lnTo>
                <a:lnTo>
                  <a:pt x="77812" y="242925"/>
                </a:lnTo>
                <a:lnTo>
                  <a:pt x="85636" y="238798"/>
                </a:lnTo>
                <a:lnTo>
                  <a:pt x="90944" y="231978"/>
                </a:lnTo>
                <a:lnTo>
                  <a:pt x="92913" y="222542"/>
                </a:lnTo>
                <a:lnTo>
                  <a:pt x="92913" y="213982"/>
                </a:lnTo>
                <a:close/>
              </a:path>
              <a:path w="1798320" h="1574800">
                <a:moveTo>
                  <a:pt x="209219" y="270141"/>
                </a:moveTo>
                <a:lnTo>
                  <a:pt x="109372" y="250164"/>
                </a:lnTo>
                <a:lnTo>
                  <a:pt x="109372" y="290093"/>
                </a:lnTo>
                <a:lnTo>
                  <a:pt x="209219" y="270141"/>
                </a:lnTo>
                <a:close/>
              </a:path>
              <a:path w="1798320" h="1574800">
                <a:moveTo>
                  <a:pt x="305841" y="78994"/>
                </a:moveTo>
                <a:lnTo>
                  <a:pt x="205981" y="98971"/>
                </a:lnTo>
                <a:lnTo>
                  <a:pt x="305841" y="118922"/>
                </a:lnTo>
                <a:lnTo>
                  <a:pt x="305841" y="78994"/>
                </a:lnTo>
                <a:close/>
              </a:path>
              <a:path w="1798320" h="1574800">
                <a:moveTo>
                  <a:pt x="348640" y="250164"/>
                </a:moveTo>
                <a:lnTo>
                  <a:pt x="248780" y="270141"/>
                </a:lnTo>
                <a:lnTo>
                  <a:pt x="348640" y="290093"/>
                </a:lnTo>
                <a:lnTo>
                  <a:pt x="348640" y="250164"/>
                </a:lnTo>
                <a:close/>
              </a:path>
              <a:path w="1798320" h="1574800">
                <a:moveTo>
                  <a:pt x="378764" y="1554226"/>
                </a:moveTo>
                <a:lnTo>
                  <a:pt x="278930" y="1534248"/>
                </a:lnTo>
                <a:lnTo>
                  <a:pt x="278930" y="1574190"/>
                </a:lnTo>
                <a:lnTo>
                  <a:pt x="378764" y="1554226"/>
                </a:lnTo>
                <a:close/>
              </a:path>
              <a:path w="1798320" h="1574800">
                <a:moveTo>
                  <a:pt x="608622" y="1534248"/>
                </a:moveTo>
                <a:lnTo>
                  <a:pt x="508762" y="1554226"/>
                </a:lnTo>
                <a:lnTo>
                  <a:pt x="608622" y="1574190"/>
                </a:lnTo>
                <a:lnTo>
                  <a:pt x="608622" y="1534248"/>
                </a:lnTo>
                <a:close/>
              </a:path>
              <a:path w="1798320" h="1574800">
                <a:moveTo>
                  <a:pt x="673735" y="1501025"/>
                </a:moveTo>
                <a:lnTo>
                  <a:pt x="664057" y="1501025"/>
                </a:lnTo>
                <a:lnTo>
                  <a:pt x="664057" y="1466100"/>
                </a:lnTo>
                <a:lnTo>
                  <a:pt x="664057" y="1453934"/>
                </a:lnTo>
                <a:lnTo>
                  <a:pt x="657212" y="1453934"/>
                </a:lnTo>
                <a:lnTo>
                  <a:pt x="656018" y="1455648"/>
                </a:lnTo>
                <a:lnTo>
                  <a:pt x="656018" y="1466100"/>
                </a:lnTo>
                <a:lnTo>
                  <a:pt x="656018" y="1501025"/>
                </a:lnTo>
                <a:lnTo>
                  <a:pt x="632053" y="1501025"/>
                </a:lnTo>
                <a:lnTo>
                  <a:pt x="655802" y="1466100"/>
                </a:lnTo>
                <a:lnTo>
                  <a:pt x="656018" y="1466100"/>
                </a:lnTo>
                <a:lnTo>
                  <a:pt x="656018" y="1455648"/>
                </a:lnTo>
                <a:lnTo>
                  <a:pt x="624700" y="1500314"/>
                </a:lnTo>
                <a:lnTo>
                  <a:pt x="624700" y="1508569"/>
                </a:lnTo>
                <a:lnTo>
                  <a:pt x="656018" y="1508569"/>
                </a:lnTo>
                <a:lnTo>
                  <a:pt x="656018" y="1525282"/>
                </a:lnTo>
                <a:lnTo>
                  <a:pt x="664057" y="1525282"/>
                </a:lnTo>
                <a:lnTo>
                  <a:pt x="664057" y="1508569"/>
                </a:lnTo>
                <a:lnTo>
                  <a:pt x="673735" y="1508569"/>
                </a:lnTo>
                <a:lnTo>
                  <a:pt x="673735" y="1501025"/>
                </a:lnTo>
                <a:close/>
              </a:path>
              <a:path w="1798320" h="1574800">
                <a:moveTo>
                  <a:pt x="730084" y="1502537"/>
                </a:moveTo>
                <a:lnTo>
                  <a:pt x="728751" y="1494282"/>
                </a:lnTo>
                <a:lnTo>
                  <a:pt x="728713" y="1494078"/>
                </a:lnTo>
                <a:lnTo>
                  <a:pt x="728599" y="1493354"/>
                </a:lnTo>
                <a:lnTo>
                  <a:pt x="724827" y="1486928"/>
                </a:lnTo>
                <a:lnTo>
                  <a:pt x="724293" y="1486014"/>
                </a:lnTo>
                <a:lnTo>
                  <a:pt x="721017" y="1483702"/>
                </a:lnTo>
                <a:lnTo>
                  <a:pt x="721017" y="1494282"/>
                </a:lnTo>
                <a:lnTo>
                  <a:pt x="721017" y="1511592"/>
                </a:lnTo>
                <a:lnTo>
                  <a:pt x="715886" y="1518932"/>
                </a:lnTo>
                <a:lnTo>
                  <a:pt x="697280" y="1518932"/>
                </a:lnTo>
                <a:lnTo>
                  <a:pt x="691832" y="1511896"/>
                </a:lnTo>
                <a:lnTo>
                  <a:pt x="691832" y="1494078"/>
                </a:lnTo>
                <a:lnTo>
                  <a:pt x="695756" y="1488732"/>
                </a:lnTo>
                <a:lnTo>
                  <a:pt x="697077" y="1486928"/>
                </a:lnTo>
                <a:lnTo>
                  <a:pt x="716407" y="1486928"/>
                </a:lnTo>
                <a:lnTo>
                  <a:pt x="721017" y="1494282"/>
                </a:lnTo>
                <a:lnTo>
                  <a:pt x="721017" y="1483702"/>
                </a:lnTo>
                <a:lnTo>
                  <a:pt x="717423" y="1481150"/>
                </a:lnTo>
                <a:lnTo>
                  <a:pt x="708240" y="1479384"/>
                </a:lnTo>
                <a:lnTo>
                  <a:pt x="700493" y="1479384"/>
                </a:lnTo>
                <a:lnTo>
                  <a:pt x="694461" y="1482204"/>
                </a:lnTo>
                <a:lnTo>
                  <a:pt x="690549" y="1488541"/>
                </a:lnTo>
                <a:lnTo>
                  <a:pt x="690435" y="1488732"/>
                </a:lnTo>
                <a:lnTo>
                  <a:pt x="690219" y="1488541"/>
                </a:lnTo>
                <a:lnTo>
                  <a:pt x="691045" y="1479689"/>
                </a:lnTo>
                <a:lnTo>
                  <a:pt x="693559" y="1470888"/>
                </a:lnTo>
                <a:lnTo>
                  <a:pt x="698741" y="1464157"/>
                </a:lnTo>
                <a:lnTo>
                  <a:pt x="707542" y="1461465"/>
                </a:lnTo>
                <a:lnTo>
                  <a:pt x="714273" y="1461465"/>
                </a:lnTo>
                <a:lnTo>
                  <a:pt x="718705" y="1465694"/>
                </a:lnTo>
                <a:lnTo>
                  <a:pt x="719505" y="1472145"/>
                </a:lnTo>
                <a:lnTo>
                  <a:pt x="728078" y="1472145"/>
                </a:lnTo>
                <a:lnTo>
                  <a:pt x="707948" y="1453921"/>
                </a:lnTo>
                <a:lnTo>
                  <a:pt x="695261" y="1457147"/>
                </a:lnTo>
                <a:lnTo>
                  <a:pt x="687184" y="1465694"/>
                </a:lnTo>
                <a:lnTo>
                  <a:pt x="682917" y="1477924"/>
                </a:lnTo>
                <a:lnTo>
                  <a:pt x="681672" y="1492173"/>
                </a:lnTo>
                <a:lnTo>
                  <a:pt x="682434" y="1502537"/>
                </a:lnTo>
                <a:lnTo>
                  <a:pt x="682536" y="1503857"/>
                </a:lnTo>
                <a:lnTo>
                  <a:pt x="686028" y="1514944"/>
                </a:lnTo>
                <a:lnTo>
                  <a:pt x="693470" y="1523225"/>
                </a:lnTo>
                <a:lnTo>
                  <a:pt x="706234" y="1526476"/>
                </a:lnTo>
                <a:lnTo>
                  <a:pt x="717562" y="1524203"/>
                </a:lnTo>
                <a:lnTo>
                  <a:pt x="724230" y="1518932"/>
                </a:lnTo>
                <a:lnTo>
                  <a:pt x="724916" y="1518399"/>
                </a:lnTo>
                <a:lnTo>
                  <a:pt x="728891" y="1510652"/>
                </a:lnTo>
                <a:lnTo>
                  <a:pt x="730084" y="1502537"/>
                </a:lnTo>
                <a:close/>
              </a:path>
              <a:path w="1798320" h="1574800">
                <a:moveTo>
                  <a:pt x="920864" y="63804"/>
                </a:moveTo>
                <a:lnTo>
                  <a:pt x="882827" y="63804"/>
                </a:lnTo>
                <a:lnTo>
                  <a:pt x="882827" y="0"/>
                </a:lnTo>
                <a:lnTo>
                  <a:pt x="873252" y="0"/>
                </a:lnTo>
                <a:lnTo>
                  <a:pt x="873252" y="71856"/>
                </a:lnTo>
                <a:lnTo>
                  <a:pt x="920864" y="71856"/>
                </a:lnTo>
                <a:lnTo>
                  <a:pt x="920864" y="63804"/>
                </a:lnTo>
                <a:close/>
              </a:path>
              <a:path w="1798320" h="1574800">
                <a:moveTo>
                  <a:pt x="1548460" y="270141"/>
                </a:moveTo>
                <a:lnTo>
                  <a:pt x="1448600" y="250164"/>
                </a:lnTo>
                <a:lnTo>
                  <a:pt x="1448600" y="290093"/>
                </a:lnTo>
                <a:lnTo>
                  <a:pt x="1548460" y="270141"/>
                </a:lnTo>
                <a:close/>
              </a:path>
              <a:path w="1798320" h="1574800">
                <a:moveTo>
                  <a:pt x="1591246" y="98971"/>
                </a:moveTo>
                <a:lnTo>
                  <a:pt x="1491386" y="78994"/>
                </a:lnTo>
                <a:lnTo>
                  <a:pt x="1491386" y="118922"/>
                </a:lnTo>
                <a:lnTo>
                  <a:pt x="1591246" y="98971"/>
                </a:lnTo>
                <a:close/>
              </a:path>
              <a:path w="1798320" h="1574800">
                <a:moveTo>
                  <a:pt x="1687893" y="250164"/>
                </a:moveTo>
                <a:lnTo>
                  <a:pt x="1588008" y="270141"/>
                </a:lnTo>
                <a:lnTo>
                  <a:pt x="1687893" y="290093"/>
                </a:lnTo>
                <a:lnTo>
                  <a:pt x="1687893" y="250164"/>
                </a:lnTo>
                <a:close/>
              </a:path>
              <a:path w="1798320" h="1574800">
                <a:moveTo>
                  <a:pt x="1731873" y="171691"/>
                </a:moveTo>
                <a:lnTo>
                  <a:pt x="1725333" y="171691"/>
                </a:lnTo>
                <a:lnTo>
                  <a:pt x="1723402" y="182460"/>
                </a:lnTo>
                <a:lnTo>
                  <a:pt x="1714563" y="185089"/>
                </a:lnTo>
                <a:lnTo>
                  <a:pt x="1704759" y="185089"/>
                </a:lnTo>
                <a:lnTo>
                  <a:pt x="1704759" y="191935"/>
                </a:lnTo>
                <a:lnTo>
                  <a:pt x="1723301" y="191935"/>
                </a:lnTo>
                <a:lnTo>
                  <a:pt x="1723301" y="243116"/>
                </a:lnTo>
                <a:lnTo>
                  <a:pt x="1731873" y="243116"/>
                </a:lnTo>
                <a:lnTo>
                  <a:pt x="1731873" y="171691"/>
                </a:lnTo>
                <a:close/>
              </a:path>
              <a:path w="1798320" h="1574800">
                <a:moveTo>
                  <a:pt x="1797697" y="213982"/>
                </a:moveTo>
                <a:lnTo>
                  <a:pt x="1793468" y="207137"/>
                </a:lnTo>
                <a:lnTo>
                  <a:pt x="1784794" y="205219"/>
                </a:lnTo>
                <a:lnTo>
                  <a:pt x="1784794" y="205016"/>
                </a:lnTo>
                <a:lnTo>
                  <a:pt x="1790230" y="202501"/>
                </a:lnTo>
                <a:lnTo>
                  <a:pt x="1794662" y="197053"/>
                </a:lnTo>
                <a:lnTo>
                  <a:pt x="1794662" y="190804"/>
                </a:lnTo>
                <a:lnTo>
                  <a:pt x="1792998" y="182245"/>
                </a:lnTo>
                <a:lnTo>
                  <a:pt x="1788414" y="176288"/>
                </a:lnTo>
                <a:lnTo>
                  <a:pt x="1781517" y="172808"/>
                </a:lnTo>
                <a:lnTo>
                  <a:pt x="1772907" y="171678"/>
                </a:lnTo>
                <a:lnTo>
                  <a:pt x="1763483" y="173367"/>
                </a:lnTo>
                <a:lnTo>
                  <a:pt x="1756689" y="178104"/>
                </a:lnTo>
                <a:lnTo>
                  <a:pt x="1752473" y="185394"/>
                </a:lnTo>
                <a:lnTo>
                  <a:pt x="1750834" y="194741"/>
                </a:lnTo>
                <a:lnTo>
                  <a:pt x="1759394" y="194741"/>
                </a:lnTo>
                <a:lnTo>
                  <a:pt x="1759496" y="186372"/>
                </a:lnTo>
                <a:lnTo>
                  <a:pt x="1763522" y="179222"/>
                </a:lnTo>
                <a:lnTo>
                  <a:pt x="1780171" y="179222"/>
                </a:lnTo>
                <a:lnTo>
                  <a:pt x="1785607" y="183248"/>
                </a:lnTo>
                <a:lnTo>
                  <a:pt x="1785607" y="198462"/>
                </a:lnTo>
                <a:lnTo>
                  <a:pt x="1779257" y="202399"/>
                </a:lnTo>
                <a:lnTo>
                  <a:pt x="1768271" y="202298"/>
                </a:lnTo>
                <a:lnTo>
                  <a:pt x="1768271" y="209550"/>
                </a:lnTo>
                <a:lnTo>
                  <a:pt x="1771688" y="209245"/>
                </a:lnTo>
                <a:lnTo>
                  <a:pt x="1781860" y="209245"/>
                </a:lnTo>
                <a:lnTo>
                  <a:pt x="1788617" y="213982"/>
                </a:lnTo>
                <a:lnTo>
                  <a:pt x="1788617" y="231609"/>
                </a:lnTo>
                <a:lnTo>
                  <a:pt x="1781479" y="236740"/>
                </a:lnTo>
                <a:lnTo>
                  <a:pt x="1763344" y="236740"/>
                </a:lnTo>
                <a:lnTo>
                  <a:pt x="1758213" y="230301"/>
                </a:lnTo>
                <a:lnTo>
                  <a:pt x="1757883" y="221030"/>
                </a:lnTo>
                <a:lnTo>
                  <a:pt x="1749336" y="221030"/>
                </a:lnTo>
                <a:lnTo>
                  <a:pt x="1750872" y="230873"/>
                </a:lnTo>
                <a:lnTo>
                  <a:pt x="1755660" y="238188"/>
                </a:lnTo>
                <a:lnTo>
                  <a:pt x="1763217" y="242747"/>
                </a:lnTo>
                <a:lnTo>
                  <a:pt x="1773097" y="244309"/>
                </a:lnTo>
                <a:lnTo>
                  <a:pt x="1782597" y="242925"/>
                </a:lnTo>
                <a:lnTo>
                  <a:pt x="1790420" y="238798"/>
                </a:lnTo>
                <a:lnTo>
                  <a:pt x="1795729" y="231978"/>
                </a:lnTo>
                <a:lnTo>
                  <a:pt x="1797697" y="222542"/>
                </a:lnTo>
                <a:lnTo>
                  <a:pt x="1797697" y="213982"/>
                </a:lnTo>
                <a:close/>
              </a:path>
            </a:pathLst>
          </a:custGeom>
          <a:solidFill>
            <a:srgbClr val="000000"/>
          </a:solidFill>
        </xdr:spPr>
      </xdr:sp>
    </xdr:grpSp>
    <xdr:clientData/>
  </xdr:oneCellAnchor>
  <xdr:oneCellAnchor>
    <xdr:from>
      <xdr:col>0</xdr:col>
      <xdr:colOff>60849</xdr:colOff>
      <xdr:row>58</xdr:row>
      <xdr:rowOff>2197195</xdr:rowOff>
    </xdr:from>
    <xdr:ext cx="1872195" cy="523839"/>
    <xdr:pic>
      <xdr:nvPicPr>
        <xdr:cNvPr id="91" name="image51.png">
          <a:extLst>
            <a:ext uri="{FF2B5EF4-FFF2-40B4-BE49-F238E27FC236}">
              <a16:creationId xmlns:a16="http://schemas.microsoft.com/office/drawing/2014/main" id="{87DB0666-BD86-4A5D-AC38-FA9CD356792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0849" y="15640145"/>
          <a:ext cx="1872195" cy="523839"/>
        </a:xfrm>
        <a:prstGeom prst="rect">
          <a:avLst/>
        </a:prstGeom>
      </xdr:spPr>
    </xdr:pic>
    <xdr:clientData/>
  </xdr:oneCellAnchor>
  <xdr:oneCellAnchor>
    <xdr:from>
      <xdr:col>0</xdr:col>
      <xdr:colOff>62166</xdr:colOff>
      <xdr:row>83</xdr:row>
      <xdr:rowOff>289526</xdr:rowOff>
    </xdr:from>
    <xdr:ext cx="2108200" cy="1623060"/>
    <xdr:grpSp>
      <xdr:nvGrpSpPr>
        <xdr:cNvPr id="92" name="Group 348">
          <a:extLst>
            <a:ext uri="{FF2B5EF4-FFF2-40B4-BE49-F238E27FC236}">
              <a16:creationId xmlns:a16="http://schemas.microsoft.com/office/drawing/2014/main" id="{0F5C9118-1A75-4A1D-A292-C8B99DA090E1}"/>
            </a:ext>
          </a:extLst>
        </xdr:cNvPr>
        <xdr:cNvGrpSpPr/>
      </xdr:nvGrpSpPr>
      <xdr:grpSpPr>
        <a:xfrm>
          <a:off x="62166" y="20006276"/>
          <a:ext cx="2108200" cy="1623060"/>
          <a:chOff x="0" y="0"/>
          <a:chExt cx="2108200" cy="1623060"/>
        </a:xfrm>
      </xdr:grpSpPr>
      <xdr:pic>
        <xdr:nvPicPr>
          <xdr:cNvPr id="93" name="image52.png">
            <a:extLst>
              <a:ext uri="{FF2B5EF4-FFF2-40B4-BE49-F238E27FC236}">
                <a16:creationId xmlns:a16="http://schemas.microsoft.com/office/drawing/2014/main" id="{7F639104-1437-31FB-685B-3A517640B86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481836"/>
            <a:ext cx="1884650" cy="869886"/>
          </a:xfrm>
          <a:prstGeom prst="rect">
            <a:avLst/>
          </a:prstGeom>
        </xdr:spPr>
      </xdr:pic>
      <xdr:sp macro="" textlink="">
        <xdr:nvSpPr>
          <xdr:cNvPr id="94" name="Shape 350">
            <a:extLst>
              <a:ext uri="{FF2B5EF4-FFF2-40B4-BE49-F238E27FC236}">
                <a16:creationId xmlns:a16="http://schemas.microsoft.com/office/drawing/2014/main" id="{42E60BAE-749C-2E31-329F-808DE189BC25}"/>
              </a:ext>
            </a:extLst>
          </xdr:cNvPr>
          <xdr:cNvSpPr/>
        </xdr:nvSpPr>
        <xdr:spPr>
          <a:xfrm>
            <a:off x="258820" y="42731"/>
            <a:ext cx="1849120" cy="1579880"/>
          </a:xfrm>
          <a:custGeom>
            <a:avLst/>
            <a:gdLst/>
            <a:ahLst/>
            <a:cxnLst/>
            <a:rect l="0" t="0" r="0" b="0"/>
            <a:pathLst>
              <a:path w="1849120" h="1579880">
                <a:moveTo>
                  <a:pt x="271424" y="410095"/>
                </a:moveTo>
                <a:lnTo>
                  <a:pt x="271424" y="172427"/>
                </a:lnTo>
              </a:path>
              <a:path w="1849120" h="1579880">
                <a:moveTo>
                  <a:pt x="231571" y="427520"/>
                </a:moveTo>
                <a:lnTo>
                  <a:pt x="231571" y="0"/>
                </a:lnTo>
              </a:path>
              <a:path w="1849120" h="1579880">
                <a:moveTo>
                  <a:pt x="328358" y="229374"/>
                </a:moveTo>
                <a:lnTo>
                  <a:pt x="414020" y="229374"/>
                </a:lnTo>
              </a:path>
              <a:path w="1849120" h="1579880">
                <a:moveTo>
                  <a:pt x="174637" y="229374"/>
                </a:moveTo>
                <a:lnTo>
                  <a:pt x="0" y="229374"/>
                </a:lnTo>
              </a:path>
              <a:path w="1849120" h="1579880">
                <a:moveTo>
                  <a:pt x="1580616" y="410095"/>
                </a:moveTo>
                <a:lnTo>
                  <a:pt x="1580616" y="172427"/>
                </a:lnTo>
              </a:path>
              <a:path w="1849120" h="1579880">
                <a:moveTo>
                  <a:pt x="1620456" y="427520"/>
                </a:moveTo>
                <a:lnTo>
                  <a:pt x="1620456" y="0"/>
                </a:lnTo>
              </a:path>
              <a:path w="1849120" h="1579880">
                <a:moveTo>
                  <a:pt x="1523695" y="229374"/>
                </a:moveTo>
                <a:lnTo>
                  <a:pt x="1438008" y="229374"/>
                </a:lnTo>
              </a:path>
              <a:path w="1849120" h="1579880">
                <a:moveTo>
                  <a:pt x="1677390" y="229374"/>
                </a:moveTo>
                <a:lnTo>
                  <a:pt x="1848916" y="229374"/>
                </a:lnTo>
              </a:path>
              <a:path w="1849120" h="1579880">
                <a:moveTo>
                  <a:pt x="231571" y="229374"/>
                </a:moveTo>
                <a:lnTo>
                  <a:pt x="271424" y="229374"/>
                </a:lnTo>
              </a:path>
              <a:path w="1849120" h="1579880">
                <a:moveTo>
                  <a:pt x="1580616" y="229374"/>
                </a:moveTo>
                <a:lnTo>
                  <a:pt x="1620456" y="229374"/>
                </a:lnTo>
              </a:path>
              <a:path w="1849120" h="1579880">
                <a:moveTo>
                  <a:pt x="271424" y="410095"/>
                </a:moveTo>
                <a:lnTo>
                  <a:pt x="271424" y="172427"/>
                </a:lnTo>
              </a:path>
              <a:path w="1849120" h="1579880">
                <a:moveTo>
                  <a:pt x="1580616" y="410095"/>
                </a:moveTo>
                <a:lnTo>
                  <a:pt x="1580616" y="172427"/>
                </a:lnTo>
              </a:path>
              <a:path w="1849120" h="1579880">
                <a:moveTo>
                  <a:pt x="328358" y="56946"/>
                </a:moveTo>
                <a:lnTo>
                  <a:pt x="1523695" y="56946"/>
                </a:lnTo>
              </a:path>
              <a:path w="1849120" h="1579880">
                <a:moveTo>
                  <a:pt x="402374" y="1337132"/>
                </a:moveTo>
                <a:lnTo>
                  <a:pt x="402374" y="1579791"/>
                </a:lnTo>
              </a:path>
              <a:path w="1849120" h="1579880">
                <a:moveTo>
                  <a:pt x="533311" y="1337132"/>
                </a:moveTo>
                <a:lnTo>
                  <a:pt x="533311" y="1579791"/>
                </a:lnTo>
              </a:path>
              <a:path w="1849120" h="1579880">
                <a:moveTo>
                  <a:pt x="345414" y="1522856"/>
                </a:moveTo>
                <a:lnTo>
                  <a:pt x="268655" y="1522856"/>
                </a:lnTo>
              </a:path>
              <a:path w="1849120" h="1579880">
                <a:moveTo>
                  <a:pt x="590283" y="1522856"/>
                </a:moveTo>
                <a:lnTo>
                  <a:pt x="774319" y="1522856"/>
                </a:lnTo>
              </a:path>
              <a:path w="1849120" h="1579880">
                <a:moveTo>
                  <a:pt x="402374" y="1522856"/>
                </a:moveTo>
                <a:lnTo>
                  <a:pt x="533311" y="1522856"/>
                </a:lnTo>
              </a:path>
            </a:pathLst>
          </a:custGeom>
          <a:ln w="6083">
            <a:solidFill>
              <a:srgbClr val="000000"/>
            </a:solidFill>
          </a:ln>
        </xdr:spPr>
      </xdr:sp>
      <xdr:sp macro="" textlink="">
        <xdr:nvSpPr>
          <xdr:cNvPr id="95" name="Shape 351">
            <a:extLst>
              <a:ext uri="{FF2B5EF4-FFF2-40B4-BE49-F238E27FC236}">
                <a16:creationId xmlns:a16="http://schemas.microsoft.com/office/drawing/2014/main" id="{B31EDEB8-EFA6-5E65-C7A9-CAF7575F0933}"/>
              </a:ext>
            </a:extLst>
          </xdr:cNvPr>
          <xdr:cNvSpPr/>
        </xdr:nvSpPr>
        <xdr:spPr>
          <a:xfrm>
            <a:off x="279654" y="9"/>
            <a:ext cx="1811020" cy="1586230"/>
          </a:xfrm>
          <a:custGeom>
            <a:avLst/>
            <a:gdLst/>
            <a:ahLst/>
            <a:cxnLst/>
            <a:rect l="0" t="0" r="0" b="0"/>
            <a:pathLst>
              <a:path w="1811020" h="1586230">
                <a:moveTo>
                  <a:pt x="27292" y="172872"/>
                </a:moveTo>
                <a:lnTo>
                  <a:pt x="20701" y="172872"/>
                </a:lnTo>
                <a:lnTo>
                  <a:pt x="18770" y="183718"/>
                </a:lnTo>
                <a:lnTo>
                  <a:pt x="9842" y="186359"/>
                </a:lnTo>
                <a:lnTo>
                  <a:pt x="0" y="186359"/>
                </a:lnTo>
                <a:lnTo>
                  <a:pt x="0" y="193268"/>
                </a:lnTo>
                <a:lnTo>
                  <a:pt x="18669" y="193268"/>
                </a:lnTo>
                <a:lnTo>
                  <a:pt x="18669" y="244817"/>
                </a:lnTo>
                <a:lnTo>
                  <a:pt x="27292" y="244817"/>
                </a:lnTo>
                <a:lnTo>
                  <a:pt x="27292" y="172872"/>
                </a:lnTo>
                <a:close/>
              </a:path>
              <a:path w="1811020" h="1586230">
                <a:moveTo>
                  <a:pt x="93586" y="215480"/>
                </a:moveTo>
                <a:lnTo>
                  <a:pt x="89331" y="208584"/>
                </a:lnTo>
                <a:lnTo>
                  <a:pt x="80594" y="206654"/>
                </a:lnTo>
                <a:lnTo>
                  <a:pt x="80594" y="206438"/>
                </a:lnTo>
                <a:lnTo>
                  <a:pt x="86080" y="203911"/>
                </a:lnTo>
                <a:lnTo>
                  <a:pt x="90538" y="198424"/>
                </a:lnTo>
                <a:lnTo>
                  <a:pt x="90538" y="192138"/>
                </a:lnTo>
                <a:lnTo>
                  <a:pt x="88874" y="183515"/>
                </a:lnTo>
                <a:lnTo>
                  <a:pt x="84264" y="177507"/>
                </a:lnTo>
                <a:lnTo>
                  <a:pt x="77304" y="174002"/>
                </a:lnTo>
                <a:lnTo>
                  <a:pt x="68618" y="172859"/>
                </a:lnTo>
                <a:lnTo>
                  <a:pt x="59143" y="174561"/>
                </a:lnTo>
                <a:lnTo>
                  <a:pt x="52298" y="179336"/>
                </a:lnTo>
                <a:lnTo>
                  <a:pt x="48056" y="186690"/>
                </a:lnTo>
                <a:lnTo>
                  <a:pt x="46405" y="196100"/>
                </a:lnTo>
                <a:lnTo>
                  <a:pt x="55016" y="196100"/>
                </a:lnTo>
                <a:lnTo>
                  <a:pt x="55118" y="187667"/>
                </a:lnTo>
                <a:lnTo>
                  <a:pt x="59169" y="180467"/>
                </a:lnTo>
                <a:lnTo>
                  <a:pt x="75920" y="180467"/>
                </a:lnTo>
                <a:lnTo>
                  <a:pt x="81407" y="184518"/>
                </a:lnTo>
                <a:lnTo>
                  <a:pt x="81407" y="199847"/>
                </a:lnTo>
                <a:lnTo>
                  <a:pt x="75018" y="203809"/>
                </a:lnTo>
                <a:lnTo>
                  <a:pt x="63944" y="203708"/>
                </a:lnTo>
                <a:lnTo>
                  <a:pt x="63944" y="211010"/>
                </a:lnTo>
                <a:lnTo>
                  <a:pt x="67386" y="210705"/>
                </a:lnTo>
                <a:lnTo>
                  <a:pt x="77647" y="210705"/>
                </a:lnTo>
                <a:lnTo>
                  <a:pt x="84455" y="215480"/>
                </a:lnTo>
                <a:lnTo>
                  <a:pt x="84455" y="233235"/>
                </a:lnTo>
                <a:lnTo>
                  <a:pt x="77254" y="238404"/>
                </a:lnTo>
                <a:lnTo>
                  <a:pt x="58978" y="238404"/>
                </a:lnTo>
                <a:lnTo>
                  <a:pt x="53809" y="231914"/>
                </a:lnTo>
                <a:lnTo>
                  <a:pt x="53492" y="222580"/>
                </a:lnTo>
                <a:lnTo>
                  <a:pt x="44881" y="222580"/>
                </a:lnTo>
                <a:lnTo>
                  <a:pt x="46431" y="232498"/>
                </a:lnTo>
                <a:lnTo>
                  <a:pt x="51257" y="239852"/>
                </a:lnTo>
                <a:lnTo>
                  <a:pt x="58877" y="244436"/>
                </a:lnTo>
                <a:lnTo>
                  <a:pt x="68821" y="246024"/>
                </a:lnTo>
                <a:lnTo>
                  <a:pt x="78384" y="244627"/>
                </a:lnTo>
                <a:lnTo>
                  <a:pt x="86271" y="240461"/>
                </a:lnTo>
                <a:lnTo>
                  <a:pt x="91617" y="233603"/>
                </a:lnTo>
                <a:lnTo>
                  <a:pt x="93586" y="224104"/>
                </a:lnTo>
                <a:lnTo>
                  <a:pt x="93586" y="215480"/>
                </a:lnTo>
                <a:close/>
              </a:path>
              <a:path w="1811020" h="1586230">
                <a:moveTo>
                  <a:pt x="210743" y="272110"/>
                </a:moveTo>
                <a:lnTo>
                  <a:pt x="110159" y="251980"/>
                </a:lnTo>
                <a:lnTo>
                  <a:pt x="110159" y="292201"/>
                </a:lnTo>
                <a:lnTo>
                  <a:pt x="210743" y="272110"/>
                </a:lnTo>
                <a:close/>
              </a:path>
              <a:path w="1811020" h="1586230">
                <a:moveTo>
                  <a:pt x="308063" y="79552"/>
                </a:moveTo>
                <a:lnTo>
                  <a:pt x="207479" y="99682"/>
                </a:lnTo>
                <a:lnTo>
                  <a:pt x="308063" y="119773"/>
                </a:lnTo>
                <a:lnTo>
                  <a:pt x="308063" y="79552"/>
                </a:lnTo>
                <a:close/>
              </a:path>
              <a:path w="1811020" h="1586230">
                <a:moveTo>
                  <a:pt x="351180" y="251980"/>
                </a:moveTo>
                <a:lnTo>
                  <a:pt x="250583" y="272110"/>
                </a:lnTo>
                <a:lnTo>
                  <a:pt x="351180" y="292201"/>
                </a:lnTo>
                <a:lnTo>
                  <a:pt x="351180" y="251980"/>
                </a:lnTo>
                <a:close/>
              </a:path>
              <a:path w="1811020" h="1586230">
                <a:moveTo>
                  <a:pt x="381533" y="1565592"/>
                </a:moveTo>
                <a:lnTo>
                  <a:pt x="280962" y="1545475"/>
                </a:lnTo>
                <a:lnTo>
                  <a:pt x="280962" y="1585709"/>
                </a:lnTo>
                <a:lnTo>
                  <a:pt x="381533" y="1565592"/>
                </a:lnTo>
                <a:close/>
              </a:path>
              <a:path w="1811020" h="1586230">
                <a:moveTo>
                  <a:pt x="613067" y="1545475"/>
                </a:moveTo>
                <a:lnTo>
                  <a:pt x="512483" y="1565592"/>
                </a:lnTo>
                <a:lnTo>
                  <a:pt x="613067" y="1585709"/>
                </a:lnTo>
                <a:lnTo>
                  <a:pt x="613067" y="1545475"/>
                </a:lnTo>
                <a:close/>
              </a:path>
              <a:path w="1811020" h="1586230">
                <a:moveTo>
                  <a:pt x="678649" y="1512011"/>
                </a:moveTo>
                <a:lnTo>
                  <a:pt x="668909" y="1512011"/>
                </a:lnTo>
                <a:lnTo>
                  <a:pt x="668909" y="1476819"/>
                </a:lnTo>
                <a:lnTo>
                  <a:pt x="668909" y="1464564"/>
                </a:lnTo>
                <a:lnTo>
                  <a:pt x="662012" y="1464564"/>
                </a:lnTo>
                <a:lnTo>
                  <a:pt x="660806" y="1466291"/>
                </a:lnTo>
                <a:lnTo>
                  <a:pt x="660806" y="1476819"/>
                </a:lnTo>
                <a:lnTo>
                  <a:pt x="660806" y="1512011"/>
                </a:lnTo>
                <a:lnTo>
                  <a:pt x="636676" y="1512011"/>
                </a:lnTo>
                <a:lnTo>
                  <a:pt x="660590" y="1476819"/>
                </a:lnTo>
                <a:lnTo>
                  <a:pt x="660806" y="1476819"/>
                </a:lnTo>
                <a:lnTo>
                  <a:pt x="660806" y="1466291"/>
                </a:lnTo>
                <a:lnTo>
                  <a:pt x="629259" y="1511300"/>
                </a:lnTo>
                <a:lnTo>
                  <a:pt x="629259" y="1519618"/>
                </a:lnTo>
                <a:lnTo>
                  <a:pt x="660806" y="1519618"/>
                </a:lnTo>
                <a:lnTo>
                  <a:pt x="660806" y="1536446"/>
                </a:lnTo>
                <a:lnTo>
                  <a:pt x="668909" y="1536446"/>
                </a:lnTo>
                <a:lnTo>
                  <a:pt x="668909" y="1519618"/>
                </a:lnTo>
                <a:lnTo>
                  <a:pt x="678649" y="1519618"/>
                </a:lnTo>
                <a:lnTo>
                  <a:pt x="678649" y="1512011"/>
                </a:lnTo>
                <a:close/>
              </a:path>
              <a:path w="1811020" h="1586230">
                <a:moveTo>
                  <a:pt x="735418" y="1513522"/>
                </a:moveTo>
                <a:lnTo>
                  <a:pt x="734072" y="1505204"/>
                </a:lnTo>
                <a:lnTo>
                  <a:pt x="734034" y="1505013"/>
                </a:lnTo>
                <a:lnTo>
                  <a:pt x="733920" y="1504276"/>
                </a:lnTo>
                <a:lnTo>
                  <a:pt x="730123" y="1497799"/>
                </a:lnTo>
                <a:lnTo>
                  <a:pt x="729589" y="1496885"/>
                </a:lnTo>
                <a:lnTo>
                  <a:pt x="726287" y="1494548"/>
                </a:lnTo>
                <a:lnTo>
                  <a:pt x="726287" y="1522653"/>
                </a:lnTo>
                <a:lnTo>
                  <a:pt x="721118" y="1530045"/>
                </a:lnTo>
                <a:lnTo>
                  <a:pt x="702373" y="1530045"/>
                </a:lnTo>
                <a:lnTo>
                  <a:pt x="696887" y="1522958"/>
                </a:lnTo>
                <a:lnTo>
                  <a:pt x="696887" y="1505013"/>
                </a:lnTo>
                <a:lnTo>
                  <a:pt x="700824" y="1499628"/>
                </a:lnTo>
                <a:lnTo>
                  <a:pt x="702170" y="1497799"/>
                </a:lnTo>
                <a:lnTo>
                  <a:pt x="721639" y="1497799"/>
                </a:lnTo>
                <a:lnTo>
                  <a:pt x="726160" y="1505013"/>
                </a:lnTo>
                <a:lnTo>
                  <a:pt x="726287" y="1522653"/>
                </a:lnTo>
                <a:lnTo>
                  <a:pt x="726287" y="1494548"/>
                </a:lnTo>
                <a:lnTo>
                  <a:pt x="722668" y="1491983"/>
                </a:lnTo>
                <a:lnTo>
                  <a:pt x="713422" y="1490205"/>
                </a:lnTo>
                <a:lnTo>
                  <a:pt x="705612" y="1490205"/>
                </a:lnTo>
                <a:lnTo>
                  <a:pt x="699541" y="1493050"/>
                </a:lnTo>
                <a:lnTo>
                  <a:pt x="695604" y="1499425"/>
                </a:lnTo>
                <a:lnTo>
                  <a:pt x="695477" y="1499628"/>
                </a:lnTo>
                <a:lnTo>
                  <a:pt x="712711" y="1472158"/>
                </a:lnTo>
                <a:lnTo>
                  <a:pt x="719493" y="1472158"/>
                </a:lnTo>
                <a:lnTo>
                  <a:pt x="723950" y="1476413"/>
                </a:lnTo>
                <a:lnTo>
                  <a:pt x="724763" y="1482915"/>
                </a:lnTo>
                <a:lnTo>
                  <a:pt x="733399" y="1482915"/>
                </a:lnTo>
                <a:lnTo>
                  <a:pt x="731469" y="1475130"/>
                </a:lnTo>
                <a:lnTo>
                  <a:pt x="729322" y="1472158"/>
                </a:lnTo>
                <a:lnTo>
                  <a:pt x="727316" y="1469377"/>
                </a:lnTo>
                <a:lnTo>
                  <a:pt x="721144" y="1465795"/>
                </a:lnTo>
                <a:lnTo>
                  <a:pt x="713117" y="1464564"/>
                </a:lnTo>
                <a:lnTo>
                  <a:pt x="700341" y="1467802"/>
                </a:lnTo>
                <a:lnTo>
                  <a:pt x="692200" y="1476413"/>
                </a:lnTo>
                <a:lnTo>
                  <a:pt x="687908" y="1488732"/>
                </a:lnTo>
                <a:lnTo>
                  <a:pt x="686650" y="1503095"/>
                </a:lnTo>
                <a:lnTo>
                  <a:pt x="687425" y="1513522"/>
                </a:lnTo>
                <a:lnTo>
                  <a:pt x="687514" y="1514868"/>
                </a:lnTo>
                <a:lnTo>
                  <a:pt x="691032" y="1526032"/>
                </a:lnTo>
                <a:lnTo>
                  <a:pt x="698538" y="1534375"/>
                </a:lnTo>
                <a:lnTo>
                  <a:pt x="711403" y="1537639"/>
                </a:lnTo>
                <a:lnTo>
                  <a:pt x="722807" y="1535341"/>
                </a:lnTo>
                <a:lnTo>
                  <a:pt x="729513" y="1530045"/>
                </a:lnTo>
                <a:lnTo>
                  <a:pt x="730211" y="1529499"/>
                </a:lnTo>
                <a:lnTo>
                  <a:pt x="734212" y="1521701"/>
                </a:lnTo>
                <a:lnTo>
                  <a:pt x="735418" y="1513522"/>
                </a:lnTo>
                <a:close/>
              </a:path>
              <a:path w="1811020" h="1586230">
                <a:moveTo>
                  <a:pt x="900023" y="64274"/>
                </a:moveTo>
                <a:lnTo>
                  <a:pt x="861707" y="64274"/>
                </a:lnTo>
                <a:lnTo>
                  <a:pt x="861707" y="0"/>
                </a:lnTo>
                <a:lnTo>
                  <a:pt x="852068" y="0"/>
                </a:lnTo>
                <a:lnTo>
                  <a:pt x="852068" y="72377"/>
                </a:lnTo>
                <a:lnTo>
                  <a:pt x="900023" y="72377"/>
                </a:lnTo>
                <a:lnTo>
                  <a:pt x="900023" y="64274"/>
                </a:lnTo>
                <a:close/>
              </a:path>
              <a:path w="1811020" h="1586230">
                <a:moveTo>
                  <a:pt x="1559775" y="272110"/>
                </a:moveTo>
                <a:lnTo>
                  <a:pt x="1459191" y="251980"/>
                </a:lnTo>
                <a:lnTo>
                  <a:pt x="1459191" y="292201"/>
                </a:lnTo>
                <a:lnTo>
                  <a:pt x="1559775" y="272110"/>
                </a:lnTo>
                <a:close/>
              </a:path>
              <a:path w="1811020" h="1586230">
                <a:moveTo>
                  <a:pt x="1602879" y="99682"/>
                </a:moveTo>
                <a:lnTo>
                  <a:pt x="1502295" y="79552"/>
                </a:lnTo>
                <a:lnTo>
                  <a:pt x="1502295" y="119773"/>
                </a:lnTo>
                <a:lnTo>
                  <a:pt x="1602879" y="99682"/>
                </a:lnTo>
                <a:close/>
              </a:path>
              <a:path w="1811020" h="1586230">
                <a:moveTo>
                  <a:pt x="1700225" y="251980"/>
                </a:moveTo>
                <a:lnTo>
                  <a:pt x="1599615" y="272110"/>
                </a:lnTo>
                <a:lnTo>
                  <a:pt x="1700225" y="292201"/>
                </a:lnTo>
                <a:lnTo>
                  <a:pt x="1700225" y="251980"/>
                </a:lnTo>
                <a:close/>
              </a:path>
              <a:path w="1811020" h="1586230">
                <a:moveTo>
                  <a:pt x="1744560" y="172872"/>
                </a:moveTo>
                <a:lnTo>
                  <a:pt x="1737969" y="172872"/>
                </a:lnTo>
                <a:lnTo>
                  <a:pt x="1736064" y="183718"/>
                </a:lnTo>
                <a:lnTo>
                  <a:pt x="1727123" y="186359"/>
                </a:lnTo>
                <a:lnTo>
                  <a:pt x="1717268" y="186359"/>
                </a:lnTo>
                <a:lnTo>
                  <a:pt x="1717268" y="193268"/>
                </a:lnTo>
                <a:lnTo>
                  <a:pt x="1735963" y="193268"/>
                </a:lnTo>
                <a:lnTo>
                  <a:pt x="1735963" y="244817"/>
                </a:lnTo>
                <a:lnTo>
                  <a:pt x="1744560" y="244817"/>
                </a:lnTo>
                <a:lnTo>
                  <a:pt x="1744560" y="172872"/>
                </a:lnTo>
                <a:close/>
              </a:path>
              <a:path w="1811020" h="1586230">
                <a:moveTo>
                  <a:pt x="1810854" y="215480"/>
                </a:moveTo>
                <a:lnTo>
                  <a:pt x="1806600" y="208584"/>
                </a:lnTo>
                <a:lnTo>
                  <a:pt x="1797862" y="206654"/>
                </a:lnTo>
                <a:lnTo>
                  <a:pt x="1797862" y="206438"/>
                </a:lnTo>
                <a:lnTo>
                  <a:pt x="1803349" y="203911"/>
                </a:lnTo>
                <a:lnTo>
                  <a:pt x="1807819" y="198424"/>
                </a:lnTo>
                <a:lnTo>
                  <a:pt x="1807819" y="192138"/>
                </a:lnTo>
                <a:lnTo>
                  <a:pt x="1806155" y="183515"/>
                </a:lnTo>
                <a:lnTo>
                  <a:pt x="1801533" y="177507"/>
                </a:lnTo>
                <a:lnTo>
                  <a:pt x="1794586" y="174002"/>
                </a:lnTo>
                <a:lnTo>
                  <a:pt x="1785899" y="172859"/>
                </a:lnTo>
                <a:lnTo>
                  <a:pt x="1776412" y="174561"/>
                </a:lnTo>
                <a:lnTo>
                  <a:pt x="1769567" y="179336"/>
                </a:lnTo>
                <a:lnTo>
                  <a:pt x="1765325" y="186690"/>
                </a:lnTo>
                <a:lnTo>
                  <a:pt x="1763674" y="196100"/>
                </a:lnTo>
                <a:lnTo>
                  <a:pt x="1772297" y="196100"/>
                </a:lnTo>
                <a:lnTo>
                  <a:pt x="1772386" y="187667"/>
                </a:lnTo>
                <a:lnTo>
                  <a:pt x="1776450" y="180467"/>
                </a:lnTo>
                <a:lnTo>
                  <a:pt x="1793201" y="180467"/>
                </a:lnTo>
                <a:lnTo>
                  <a:pt x="1798675" y="184518"/>
                </a:lnTo>
                <a:lnTo>
                  <a:pt x="1798675" y="199847"/>
                </a:lnTo>
                <a:lnTo>
                  <a:pt x="1792287" y="203809"/>
                </a:lnTo>
                <a:lnTo>
                  <a:pt x="1781213" y="203708"/>
                </a:lnTo>
                <a:lnTo>
                  <a:pt x="1781213" y="211010"/>
                </a:lnTo>
                <a:lnTo>
                  <a:pt x="1784654" y="210705"/>
                </a:lnTo>
                <a:lnTo>
                  <a:pt x="1794916" y="210705"/>
                </a:lnTo>
                <a:lnTo>
                  <a:pt x="1801736" y="215480"/>
                </a:lnTo>
                <a:lnTo>
                  <a:pt x="1801736" y="233235"/>
                </a:lnTo>
                <a:lnTo>
                  <a:pt x="1794510" y="238404"/>
                </a:lnTo>
                <a:lnTo>
                  <a:pt x="1776247" y="238404"/>
                </a:lnTo>
                <a:lnTo>
                  <a:pt x="1771078" y="231914"/>
                </a:lnTo>
                <a:lnTo>
                  <a:pt x="1770748" y="222580"/>
                </a:lnTo>
                <a:lnTo>
                  <a:pt x="1762150" y="222580"/>
                </a:lnTo>
                <a:lnTo>
                  <a:pt x="1763699" y="232498"/>
                </a:lnTo>
                <a:lnTo>
                  <a:pt x="1768525" y="239852"/>
                </a:lnTo>
                <a:lnTo>
                  <a:pt x="1776145" y="244436"/>
                </a:lnTo>
                <a:lnTo>
                  <a:pt x="1786077" y="246024"/>
                </a:lnTo>
                <a:lnTo>
                  <a:pt x="1795640" y="244627"/>
                </a:lnTo>
                <a:lnTo>
                  <a:pt x="1803527" y="240461"/>
                </a:lnTo>
                <a:lnTo>
                  <a:pt x="1808886" y="233603"/>
                </a:lnTo>
                <a:lnTo>
                  <a:pt x="1810854" y="224104"/>
                </a:lnTo>
                <a:lnTo>
                  <a:pt x="1810854" y="215480"/>
                </a:lnTo>
                <a:close/>
              </a:path>
            </a:pathLst>
          </a:custGeom>
          <a:solidFill>
            <a:srgbClr val="000000"/>
          </a:solidFill>
        </xdr:spPr>
      </xdr:sp>
    </xdr:grpSp>
    <xdr:clientData/>
  </xdr:oneCellAnchor>
  <xdr:oneCellAnchor>
    <xdr:from>
      <xdr:col>0</xdr:col>
      <xdr:colOff>59697</xdr:colOff>
      <xdr:row>83</xdr:row>
      <xdr:rowOff>2200033</xdr:rowOff>
    </xdr:from>
    <xdr:ext cx="1887178" cy="502644"/>
    <xdr:pic>
      <xdr:nvPicPr>
        <xdr:cNvPr id="96" name="image53.png">
          <a:extLst>
            <a:ext uri="{FF2B5EF4-FFF2-40B4-BE49-F238E27FC236}">
              <a16:creationId xmlns:a16="http://schemas.microsoft.com/office/drawing/2014/main" id="{C5756965-5ED8-44F7-8A81-14BC819D8ED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9697" y="22189833"/>
          <a:ext cx="1887178" cy="502644"/>
        </a:xfrm>
        <a:prstGeom prst="rect">
          <a:avLst/>
        </a:prstGeom>
      </xdr:spPr>
    </xdr:pic>
    <xdr:clientData/>
  </xdr:oneCellAnchor>
  <xdr:oneCellAnchor>
    <xdr:from>
      <xdr:col>5</xdr:col>
      <xdr:colOff>0</xdr:colOff>
      <xdr:row>83</xdr:row>
      <xdr:rowOff>461633</xdr:rowOff>
    </xdr:from>
    <xdr:ext cx="619760" cy="1449070"/>
    <xdr:grpSp>
      <xdr:nvGrpSpPr>
        <xdr:cNvPr id="97" name="Group 353">
          <a:extLst>
            <a:ext uri="{FF2B5EF4-FFF2-40B4-BE49-F238E27FC236}">
              <a16:creationId xmlns:a16="http://schemas.microsoft.com/office/drawing/2014/main" id="{BE26F657-6223-4DF8-9180-79FE9FF2D786}"/>
            </a:ext>
          </a:extLst>
        </xdr:cNvPr>
        <xdr:cNvGrpSpPr/>
      </xdr:nvGrpSpPr>
      <xdr:grpSpPr>
        <a:xfrm>
          <a:off x="2476500" y="20178383"/>
          <a:ext cx="619760" cy="1449070"/>
          <a:chOff x="0" y="0"/>
          <a:chExt cx="619760" cy="1449070"/>
        </a:xfrm>
      </xdr:grpSpPr>
      <xdr:sp macro="" textlink="">
        <xdr:nvSpPr>
          <xdr:cNvPr id="98" name="Shape 354">
            <a:extLst>
              <a:ext uri="{FF2B5EF4-FFF2-40B4-BE49-F238E27FC236}">
                <a16:creationId xmlns:a16="http://schemas.microsoft.com/office/drawing/2014/main" id="{29E62A06-A97E-786F-2C5C-0D575EAE5ED9}"/>
              </a:ext>
            </a:extLst>
          </xdr:cNvPr>
          <xdr:cNvSpPr/>
        </xdr:nvSpPr>
        <xdr:spPr>
          <a:xfrm>
            <a:off x="122180" y="315006"/>
            <a:ext cx="492759" cy="859790"/>
          </a:xfrm>
          <a:custGeom>
            <a:avLst/>
            <a:gdLst/>
            <a:ahLst/>
            <a:cxnLst/>
            <a:rect l="0" t="0" r="0" b="0"/>
            <a:pathLst>
              <a:path w="492759" h="859790">
                <a:moveTo>
                  <a:pt x="456907" y="0"/>
                </a:moveTo>
                <a:lnTo>
                  <a:pt x="35585" y="0"/>
                </a:lnTo>
                <a:lnTo>
                  <a:pt x="21736" y="2795"/>
                </a:lnTo>
                <a:lnTo>
                  <a:pt x="10425" y="10420"/>
                </a:lnTo>
                <a:lnTo>
                  <a:pt x="2797" y="21731"/>
                </a:lnTo>
                <a:lnTo>
                  <a:pt x="0" y="35585"/>
                </a:lnTo>
                <a:lnTo>
                  <a:pt x="0" y="824153"/>
                </a:lnTo>
                <a:lnTo>
                  <a:pt x="2797" y="838002"/>
                </a:lnTo>
                <a:lnTo>
                  <a:pt x="10425" y="849314"/>
                </a:lnTo>
                <a:lnTo>
                  <a:pt x="21736" y="856941"/>
                </a:lnTo>
                <a:lnTo>
                  <a:pt x="35585" y="859739"/>
                </a:lnTo>
                <a:lnTo>
                  <a:pt x="456907" y="859739"/>
                </a:lnTo>
                <a:lnTo>
                  <a:pt x="470767" y="856941"/>
                </a:lnTo>
                <a:lnTo>
                  <a:pt x="482077" y="849314"/>
                </a:lnTo>
                <a:lnTo>
                  <a:pt x="489699" y="838002"/>
                </a:lnTo>
                <a:lnTo>
                  <a:pt x="492493" y="824153"/>
                </a:lnTo>
                <a:lnTo>
                  <a:pt x="492493" y="35585"/>
                </a:lnTo>
                <a:lnTo>
                  <a:pt x="489699" y="21731"/>
                </a:lnTo>
                <a:lnTo>
                  <a:pt x="482077" y="10420"/>
                </a:lnTo>
                <a:lnTo>
                  <a:pt x="470767" y="2795"/>
                </a:lnTo>
                <a:lnTo>
                  <a:pt x="456907" y="0"/>
                </a:lnTo>
                <a:close/>
              </a:path>
            </a:pathLst>
          </a:custGeom>
          <a:solidFill>
            <a:srgbClr val="E3E3E3"/>
          </a:solidFill>
        </xdr:spPr>
      </xdr:sp>
      <xdr:sp macro="" textlink="">
        <xdr:nvSpPr>
          <xdr:cNvPr id="99" name="Shape 355">
            <a:extLst>
              <a:ext uri="{FF2B5EF4-FFF2-40B4-BE49-F238E27FC236}">
                <a16:creationId xmlns:a16="http://schemas.microsoft.com/office/drawing/2014/main" id="{B718C57D-0D04-96C2-8016-FE34441C621F}"/>
              </a:ext>
            </a:extLst>
          </xdr:cNvPr>
          <xdr:cNvSpPr/>
        </xdr:nvSpPr>
        <xdr:spPr>
          <a:xfrm>
            <a:off x="193362" y="513144"/>
            <a:ext cx="350520" cy="461645"/>
          </a:xfrm>
          <a:custGeom>
            <a:avLst/>
            <a:gdLst/>
            <a:ahLst/>
            <a:cxnLst/>
            <a:rect l="0" t="0" r="0" b="0"/>
            <a:pathLst>
              <a:path w="350520" h="461645">
                <a:moveTo>
                  <a:pt x="34150" y="7670"/>
                </a:moveTo>
                <a:lnTo>
                  <a:pt x="26492" y="0"/>
                </a:lnTo>
                <a:lnTo>
                  <a:pt x="7645" y="0"/>
                </a:lnTo>
                <a:lnTo>
                  <a:pt x="0" y="7670"/>
                </a:lnTo>
                <a:lnTo>
                  <a:pt x="0" y="453529"/>
                </a:lnTo>
                <a:lnTo>
                  <a:pt x="7645" y="461200"/>
                </a:lnTo>
                <a:lnTo>
                  <a:pt x="26492" y="461200"/>
                </a:lnTo>
                <a:lnTo>
                  <a:pt x="34150" y="453529"/>
                </a:lnTo>
                <a:lnTo>
                  <a:pt x="34150" y="17094"/>
                </a:lnTo>
                <a:lnTo>
                  <a:pt x="34150" y="7670"/>
                </a:lnTo>
                <a:close/>
              </a:path>
              <a:path w="350520" h="461645">
                <a:moveTo>
                  <a:pt x="139446" y="7670"/>
                </a:moveTo>
                <a:lnTo>
                  <a:pt x="131775" y="0"/>
                </a:lnTo>
                <a:lnTo>
                  <a:pt x="112928" y="0"/>
                </a:lnTo>
                <a:lnTo>
                  <a:pt x="105283" y="7670"/>
                </a:lnTo>
                <a:lnTo>
                  <a:pt x="105283" y="453529"/>
                </a:lnTo>
                <a:lnTo>
                  <a:pt x="112928" y="461200"/>
                </a:lnTo>
                <a:lnTo>
                  <a:pt x="131775" y="461200"/>
                </a:lnTo>
                <a:lnTo>
                  <a:pt x="139446" y="453529"/>
                </a:lnTo>
                <a:lnTo>
                  <a:pt x="139446" y="17094"/>
                </a:lnTo>
                <a:lnTo>
                  <a:pt x="139446" y="7670"/>
                </a:lnTo>
                <a:close/>
              </a:path>
              <a:path w="350520" h="461645">
                <a:moveTo>
                  <a:pt x="244817" y="7670"/>
                </a:moveTo>
                <a:lnTo>
                  <a:pt x="237147" y="0"/>
                </a:lnTo>
                <a:lnTo>
                  <a:pt x="218300" y="0"/>
                </a:lnTo>
                <a:lnTo>
                  <a:pt x="210654" y="7670"/>
                </a:lnTo>
                <a:lnTo>
                  <a:pt x="210654" y="453529"/>
                </a:lnTo>
                <a:lnTo>
                  <a:pt x="218300" y="461200"/>
                </a:lnTo>
                <a:lnTo>
                  <a:pt x="237147" y="461200"/>
                </a:lnTo>
                <a:lnTo>
                  <a:pt x="244817" y="453529"/>
                </a:lnTo>
                <a:lnTo>
                  <a:pt x="244817" y="17094"/>
                </a:lnTo>
                <a:lnTo>
                  <a:pt x="244817" y="7670"/>
                </a:lnTo>
                <a:close/>
              </a:path>
              <a:path w="350520" h="461645">
                <a:moveTo>
                  <a:pt x="350113" y="7670"/>
                </a:moveTo>
                <a:lnTo>
                  <a:pt x="342455" y="0"/>
                </a:lnTo>
                <a:lnTo>
                  <a:pt x="323608" y="0"/>
                </a:lnTo>
                <a:lnTo>
                  <a:pt x="315963" y="7670"/>
                </a:lnTo>
                <a:lnTo>
                  <a:pt x="315963" y="453529"/>
                </a:lnTo>
                <a:lnTo>
                  <a:pt x="323608" y="461200"/>
                </a:lnTo>
                <a:lnTo>
                  <a:pt x="342455" y="461200"/>
                </a:lnTo>
                <a:lnTo>
                  <a:pt x="350113" y="453529"/>
                </a:lnTo>
                <a:lnTo>
                  <a:pt x="350113" y="17094"/>
                </a:lnTo>
                <a:lnTo>
                  <a:pt x="350113" y="7670"/>
                </a:lnTo>
                <a:close/>
              </a:path>
            </a:pathLst>
          </a:custGeom>
          <a:solidFill>
            <a:srgbClr val="FFFFFF"/>
          </a:solidFill>
        </xdr:spPr>
      </xdr:sp>
      <xdr:pic>
        <xdr:nvPicPr>
          <xdr:cNvPr id="100" name="image54.png">
            <a:extLst>
              <a:ext uri="{FF2B5EF4-FFF2-40B4-BE49-F238E27FC236}">
                <a16:creationId xmlns:a16="http://schemas.microsoft.com/office/drawing/2014/main" id="{2B0684B6-02AA-0862-8ED8-744A466CFC0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7874" y="347294"/>
            <a:ext cx="141084" cy="123520"/>
          </a:xfrm>
          <a:prstGeom prst="rect">
            <a:avLst/>
          </a:prstGeom>
        </xdr:spPr>
      </xdr:pic>
      <xdr:pic>
        <xdr:nvPicPr>
          <xdr:cNvPr id="101" name="image55.png">
            <a:extLst>
              <a:ext uri="{FF2B5EF4-FFF2-40B4-BE49-F238E27FC236}">
                <a16:creationId xmlns:a16="http://schemas.microsoft.com/office/drawing/2014/main" id="{94416F21-D50B-80F0-A318-19EDB94A25D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97874" y="1019149"/>
            <a:ext cx="141084" cy="123520"/>
          </a:xfrm>
          <a:prstGeom prst="rect">
            <a:avLst/>
          </a:prstGeom>
        </xdr:spPr>
      </xdr:pic>
      <xdr:sp macro="" textlink="">
        <xdr:nvSpPr>
          <xdr:cNvPr id="102" name="Shape 358">
            <a:extLst>
              <a:ext uri="{FF2B5EF4-FFF2-40B4-BE49-F238E27FC236}">
                <a16:creationId xmlns:a16="http://schemas.microsoft.com/office/drawing/2014/main" id="{994A1107-CF1A-6AAA-99F5-7573AC0523FC}"/>
              </a:ext>
            </a:extLst>
          </xdr:cNvPr>
          <xdr:cNvSpPr/>
        </xdr:nvSpPr>
        <xdr:spPr>
          <a:xfrm>
            <a:off x="122157" y="315099"/>
            <a:ext cx="492759" cy="859790"/>
          </a:xfrm>
          <a:custGeom>
            <a:avLst/>
            <a:gdLst/>
            <a:ahLst/>
            <a:cxnLst/>
            <a:rect l="0" t="0" r="0" b="0"/>
            <a:pathLst>
              <a:path w="492759" h="859790">
                <a:moveTo>
                  <a:pt x="0" y="824166"/>
                </a:moveTo>
                <a:lnTo>
                  <a:pt x="0" y="35598"/>
                </a:lnTo>
              </a:path>
              <a:path w="492759" h="859790">
                <a:moveTo>
                  <a:pt x="105333" y="216382"/>
                </a:moveTo>
                <a:lnTo>
                  <a:pt x="105333" y="206921"/>
                </a:lnTo>
                <a:lnTo>
                  <a:pt x="97688" y="199275"/>
                </a:lnTo>
                <a:lnTo>
                  <a:pt x="88239" y="199275"/>
                </a:lnTo>
                <a:lnTo>
                  <a:pt x="78841" y="199275"/>
                </a:lnTo>
                <a:lnTo>
                  <a:pt x="71196" y="206921"/>
                </a:lnTo>
                <a:lnTo>
                  <a:pt x="71196" y="216382"/>
                </a:lnTo>
              </a:path>
              <a:path w="492759" h="859790">
                <a:moveTo>
                  <a:pt x="210667" y="216382"/>
                </a:moveTo>
                <a:lnTo>
                  <a:pt x="210667" y="206921"/>
                </a:lnTo>
                <a:lnTo>
                  <a:pt x="203034" y="199275"/>
                </a:lnTo>
                <a:lnTo>
                  <a:pt x="193598" y="199275"/>
                </a:lnTo>
                <a:lnTo>
                  <a:pt x="184150" y="199275"/>
                </a:lnTo>
                <a:lnTo>
                  <a:pt x="176504" y="206921"/>
                </a:lnTo>
                <a:lnTo>
                  <a:pt x="176504" y="216382"/>
                </a:lnTo>
              </a:path>
              <a:path w="492759" h="859790">
                <a:moveTo>
                  <a:pt x="316014" y="216382"/>
                </a:moveTo>
                <a:lnTo>
                  <a:pt x="316014" y="206921"/>
                </a:lnTo>
                <a:lnTo>
                  <a:pt x="308368" y="199275"/>
                </a:lnTo>
                <a:lnTo>
                  <a:pt x="298919" y="199275"/>
                </a:lnTo>
                <a:lnTo>
                  <a:pt x="289483" y="199275"/>
                </a:lnTo>
                <a:lnTo>
                  <a:pt x="281838" y="206921"/>
                </a:lnTo>
                <a:lnTo>
                  <a:pt x="281838" y="216382"/>
                </a:lnTo>
              </a:path>
              <a:path w="492759" h="859790">
                <a:moveTo>
                  <a:pt x="421322" y="216382"/>
                </a:moveTo>
                <a:lnTo>
                  <a:pt x="421322" y="206921"/>
                </a:lnTo>
                <a:lnTo>
                  <a:pt x="413677" y="199275"/>
                </a:lnTo>
                <a:lnTo>
                  <a:pt x="404253" y="199275"/>
                </a:lnTo>
                <a:lnTo>
                  <a:pt x="394830" y="199275"/>
                </a:lnTo>
                <a:lnTo>
                  <a:pt x="387184" y="206921"/>
                </a:lnTo>
                <a:lnTo>
                  <a:pt x="387184" y="216382"/>
                </a:lnTo>
              </a:path>
              <a:path w="492759" h="859790">
                <a:moveTo>
                  <a:pt x="325970" y="93967"/>
                </a:moveTo>
                <a:lnTo>
                  <a:pt x="319706" y="62935"/>
                </a:lnTo>
                <a:lnTo>
                  <a:pt x="302623" y="37596"/>
                </a:lnTo>
                <a:lnTo>
                  <a:pt x="277284" y="20513"/>
                </a:lnTo>
                <a:lnTo>
                  <a:pt x="246253" y="14249"/>
                </a:lnTo>
                <a:lnTo>
                  <a:pt x="215228" y="20513"/>
                </a:lnTo>
                <a:lnTo>
                  <a:pt x="189893" y="37596"/>
                </a:lnTo>
                <a:lnTo>
                  <a:pt x="172811" y="62935"/>
                </a:lnTo>
                <a:lnTo>
                  <a:pt x="166547" y="93967"/>
                </a:lnTo>
                <a:lnTo>
                  <a:pt x="172811" y="124984"/>
                </a:lnTo>
                <a:lnTo>
                  <a:pt x="189893" y="150315"/>
                </a:lnTo>
                <a:lnTo>
                  <a:pt x="215228" y="167396"/>
                </a:lnTo>
                <a:lnTo>
                  <a:pt x="246253" y="173659"/>
                </a:lnTo>
                <a:lnTo>
                  <a:pt x="277284" y="167396"/>
                </a:lnTo>
                <a:lnTo>
                  <a:pt x="302623" y="150315"/>
                </a:lnTo>
                <a:lnTo>
                  <a:pt x="319706" y="124984"/>
                </a:lnTo>
                <a:lnTo>
                  <a:pt x="325970" y="93967"/>
                </a:lnTo>
                <a:close/>
              </a:path>
              <a:path w="492759" h="859790">
                <a:moveTo>
                  <a:pt x="456933" y="0"/>
                </a:moveTo>
                <a:lnTo>
                  <a:pt x="35610" y="0"/>
                </a:lnTo>
              </a:path>
              <a:path w="492759" h="859790">
                <a:moveTo>
                  <a:pt x="35610" y="0"/>
                </a:moveTo>
                <a:lnTo>
                  <a:pt x="21747" y="2799"/>
                </a:lnTo>
                <a:lnTo>
                  <a:pt x="10428" y="10431"/>
                </a:lnTo>
                <a:lnTo>
                  <a:pt x="2797" y="21747"/>
                </a:lnTo>
                <a:lnTo>
                  <a:pt x="0" y="35598"/>
                </a:lnTo>
              </a:path>
              <a:path w="492759" h="859790">
                <a:moveTo>
                  <a:pt x="492518" y="35598"/>
                </a:moveTo>
                <a:lnTo>
                  <a:pt x="489721" y="21747"/>
                </a:lnTo>
                <a:lnTo>
                  <a:pt x="482093" y="10431"/>
                </a:lnTo>
                <a:lnTo>
                  <a:pt x="470782" y="2799"/>
                </a:lnTo>
                <a:lnTo>
                  <a:pt x="456933" y="0"/>
                </a:lnTo>
              </a:path>
              <a:path w="492759" h="859790">
                <a:moveTo>
                  <a:pt x="325970" y="765784"/>
                </a:moveTo>
                <a:lnTo>
                  <a:pt x="319706" y="734775"/>
                </a:lnTo>
                <a:lnTo>
                  <a:pt x="302623" y="709447"/>
                </a:lnTo>
                <a:lnTo>
                  <a:pt x="277284" y="692368"/>
                </a:lnTo>
                <a:lnTo>
                  <a:pt x="246253" y="686104"/>
                </a:lnTo>
                <a:lnTo>
                  <a:pt x="215228" y="692368"/>
                </a:lnTo>
                <a:lnTo>
                  <a:pt x="189893" y="709447"/>
                </a:lnTo>
                <a:lnTo>
                  <a:pt x="172811" y="734775"/>
                </a:lnTo>
                <a:lnTo>
                  <a:pt x="166547" y="765784"/>
                </a:lnTo>
                <a:lnTo>
                  <a:pt x="172811" y="796821"/>
                </a:lnTo>
                <a:lnTo>
                  <a:pt x="189893" y="822159"/>
                </a:lnTo>
                <a:lnTo>
                  <a:pt x="215228" y="839240"/>
                </a:lnTo>
                <a:lnTo>
                  <a:pt x="246253" y="845502"/>
                </a:lnTo>
                <a:lnTo>
                  <a:pt x="277284" y="839240"/>
                </a:lnTo>
                <a:lnTo>
                  <a:pt x="302623" y="822159"/>
                </a:lnTo>
                <a:lnTo>
                  <a:pt x="319706" y="796821"/>
                </a:lnTo>
                <a:lnTo>
                  <a:pt x="325970" y="765784"/>
                </a:lnTo>
                <a:close/>
              </a:path>
              <a:path w="492759" h="859790">
                <a:moveTo>
                  <a:pt x="71196" y="643381"/>
                </a:moveTo>
                <a:lnTo>
                  <a:pt x="71196" y="652843"/>
                </a:lnTo>
                <a:lnTo>
                  <a:pt x="78841" y="660488"/>
                </a:lnTo>
                <a:lnTo>
                  <a:pt x="88239" y="660488"/>
                </a:lnTo>
                <a:lnTo>
                  <a:pt x="97688" y="660488"/>
                </a:lnTo>
                <a:lnTo>
                  <a:pt x="105333" y="652843"/>
                </a:lnTo>
                <a:lnTo>
                  <a:pt x="105333" y="643381"/>
                </a:lnTo>
              </a:path>
              <a:path w="492759" h="859790">
                <a:moveTo>
                  <a:pt x="281838" y="643381"/>
                </a:moveTo>
                <a:lnTo>
                  <a:pt x="281838" y="652843"/>
                </a:lnTo>
                <a:lnTo>
                  <a:pt x="289483" y="660488"/>
                </a:lnTo>
                <a:lnTo>
                  <a:pt x="298919" y="660488"/>
                </a:lnTo>
                <a:lnTo>
                  <a:pt x="308368" y="660488"/>
                </a:lnTo>
                <a:lnTo>
                  <a:pt x="316014" y="652843"/>
                </a:lnTo>
                <a:lnTo>
                  <a:pt x="316014" y="643381"/>
                </a:lnTo>
              </a:path>
              <a:path w="492759" h="859790">
                <a:moveTo>
                  <a:pt x="387184" y="643381"/>
                </a:moveTo>
                <a:lnTo>
                  <a:pt x="387184" y="652843"/>
                </a:lnTo>
                <a:lnTo>
                  <a:pt x="394830" y="660488"/>
                </a:lnTo>
                <a:lnTo>
                  <a:pt x="404253" y="660488"/>
                </a:lnTo>
                <a:lnTo>
                  <a:pt x="413677" y="660488"/>
                </a:lnTo>
                <a:lnTo>
                  <a:pt x="421322" y="652843"/>
                </a:lnTo>
                <a:lnTo>
                  <a:pt x="421322" y="643381"/>
                </a:lnTo>
              </a:path>
              <a:path w="492759" h="859790">
                <a:moveTo>
                  <a:pt x="176504" y="643381"/>
                </a:moveTo>
                <a:lnTo>
                  <a:pt x="176504" y="652843"/>
                </a:lnTo>
                <a:lnTo>
                  <a:pt x="184150" y="660488"/>
                </a:lnTo>
                <a:lnTo>
                  <a:pt x="193598" y="660488"/>
                </a:lnTo>
                <a:lnTo>
                  <a:pt x="203034" y="660488"/>
                </a:lnTo>
                <a:lnTo>
                  <a:pt x="210667" y="652843"/>
                </a:lnTo>
                <a:lnTo>
                  <a:pt x="210667" y="643381"/>
                </a:lnTo>
              </a:path>
              <a:path w="492759" h="859790">
                <a:moveTo>
                  <a:pt x="456933" y="859764"/>
                </a:moveTo>
                <a:lnTo>
                  <a:pt x="35610" y="859764"/>
                </a:lnTo>
              </a:path>
              <a:path w="492759" h="859790">
                <a:moveTo>
                  <a:pt x="0" y="824166"/>
                </a:moveTo>
                <a:lnTo>
                  <a:pt x="2797" y="838011"/>
                </a:lnTo>
                <a:lnTo>
                  <a:pt x="10428" y="849328"/>
                </a:lnTo>
                <a:lnTo>
                  <a:pt x="21747" y="856963"/>
                </a:lnTo>
                <a:lnTo>
                  <a:pt x="35610" y="859764"/>
                </a:lnTo>
              </a:path>
              <a:path w="492759" h="859790">
                <a:moveTo>
                  <a:pt x="456933" y="859764"/>
                </a:moveTo>
                <a:lnTo>
                  <a:pt x="470782" y="856963"/>
                </a:lnTo>
                <a:lnTo>
                  <a:pt x="482093" y="849328"/>
                </a:lnTo>
                <a:lnTo>
                  <a:pt x="489721" y="838011"/>
                </a:lnTo>
                <a:lnTo>
                  <a:pt x="492518" y="824166"/>
                </a:lnTo>
              </a:path>
              <a:path w="492759" h="859790">
                <a:moveTo>
                  <a:pt x="71196" y="643381"/>
                </a:moveTo>
                <a:lnTo>
                  <a:pt x="71196" y="216382"/>
                </a:lnTo>
              </a:path>
              <a:path w="492759" h="859790">
                <a:moveTo>
                  <a:pt x="105333" y="643381"/>
                </a:moveTo>
                <a:lnTo>
                  <a:pt x="105333" y="216382"/>
                </a:lnTo>
              </a:path>
              <a:path w="492759" h="859790">
                <a:moveTo>
                  <a:pt x="176504" y="643381"/>
                </a:moveTo>
                <a:lnTo>
                  <a:pt x="176504" y="216382"/>
                </a:lnTo>
              </a:path>
              <a:path w="492759" h="859790">
                <a:moveTo>
                  <a:pt x="210667" y="643381"/>
                </a:moveTo>
                <a:lnTo>
                  <a:pt x="210667" y="216382"/>
                </a:lnTo>
              </a:path>
              <a:path w="492759" h="859790">
                <a:moveTo>
                  <a:pt x="281838" y="643381"/>
                </a:moveTo>
                <a:lnTo>
                  <a:pt x="281838" y="216382"/>
                </a:lnTo>
              </a:path>
              <a:path w="492759" h="859790">
                <a:moveTo>
                  <a:pt x="316014" y="643381"/>
                </a:moveTo>
                <a:lnTo>
                  <a:pt x="316014" y="216382"/>
                </a:lnTo>
              </a:path>
              <a:path w="492759" h="859790">
                <a:moveTo>
                  <a:pt x="387184" y="643381"/>
                </a:moveTo>
                <a:lnTo>
                  <a:pt x="387184" y="216382"/>
                </a:lnTo>
              </a:path>
              <a:path w="492759" h="859790">
                <a:moveTo>
                  <a:pt x="421322" y="643381"/>
                </a:moveTo>
                <a:lnTo>
                  <a:pt x="421322" y="216382"/>
                </a:lnTo>
              </a:path>
              <a:path w="492759" h="859790">
                <a:moveTo>
                  <a:pt x="492518" y="824166"/>
                </a:moveTo>
                <a:lnTo>
                  <a:pt x="492518" y="35598"/>
                </a:lnTo>
              </a:path>
            </a:pathLst>
          </a:custGeom>
          <a:ln w="10134">
            <a:solidFill>
              <a:srgbClr val="000000"/>
            </a:solidFill>
          </a:ln>
        </xdr:spPr>
      </xdr:sp>
      <xdr:sp macro="" textlink="">
        <xdr:nvSpPr>
          <xdr:cNvPr id="103" name="Shape 359">
            <a:extLst>
              <a:ext uri="{FF2B5EF4-FFF2-40B4-BE49-F238E27FC236}">
                <a16:creationId xmlns:a16="http://schemas.microsoft.com/office/drawing/2014/main" id="{805FB161-856B-C86D-2318-99876B089FA0}"/>
              </a:ext>
            </a:extLst>
          </xdr:cNvPr>
          <xdr:cNvSpPr/>
        </xdr:nvSpPr>
        <xdr:spPr>
          <a:xfrm>
            <a:off x="0" y="42113"/>
            <a:ext cx="614680" cy="1406525"/>
          </a:xfrm>
          <a:custGeom>
            <a:avLst/>
            <a:gdLst/>
            <a:ahLst/>
            <a:cxnLst/>
            <a:rect l="0" t="0" r="0" b="0"/>
            <a:pathLst>
              <a:path w="614680" h="1406525">
                <a:moveTo>
                  <a:pt x="122161" y="251650"/>
                </a:moveTo>
                <a:lnTo>
                  <a:pt x="122161" y="0"/>
                </a:lnTo>
              </a:path>
              <a:path w="614680" h="1406525">
                <a:moveTo>
                  <a:pt x="614667" y="251650"/>
                </a:moveTo>
                <a:lnTo>
                  <a:pt x="614667" y="0"/>
                </a:lnTo>
              </a:path>
              <a:path w="614680" h="1406525">
                <a:moveTo>
                  <a:pt x="179095" y="56934"/>
                </a:moveTo>
                <a:lnTo>
                  <a:pt x="557720" y="56934"/>
                </a:lnTo>
              </a:path>
              <a:path w="614680" h="1406525">
                <a:moveTo>
                  <a:pt x="425195" y="1095717"/>
                </a:moveTo>
                <a:lnTo>
                  <a:pt x="425195" y="1406499"/>
                </a:lnTo>
              </a:path>
              <a:path w="614680" h="1406525">
                <a:moveTo>
                  <a:pt x="311657" y="1095717"/>
                </a:moveTo>
                <a:lnTo>
                  <a:pt x="311657" y="1406499"/>
                </a:lnTo>
              </a:path>
              <a:path w="614680" h="1406525">
                <a:moveTo>
                  <a:pt x="482130" y="1349552"/>
                </a:moveTo>
                <a:lnTo>
                  <a:pt x="572350" y="1349552"/>
                </a:lnTo>
              </a:path>
              <a:path w="614680" h="1406525">
                <a:moveTo>
                  <a:pt x="254711" y="1349552"/>
                </a:moveTo>
                <a:lnTo>
                  <a:pt x="0" y="1349552"/>
                </a:lnTo>
              </a:path>
              <a:path w="614680" h="1406525">
                <a:moveTo>
                  <a:pt x="311657" y="1349552"/>
                </a:moveTo>
                <a:lnTo>
                  <a:pt x="425195" y="1349552"/>
                </a:lnTo>
              </a:path>
              <a:path w="614680" h="1406525">
                <a:moveTo>
                  <a:pt x="285216" y="366953"/>
                </a:moveTo>
                <a:lnTo>
                  <a:pt x="451611" y="366953"/>
                </a:lnTo>
              </a:path>
              <a:path w="614680" h="1406525">
                <a:moveTo>
                  <a:pt x="368414" y="454952"/>
                </a:moveTo>
                <a:lnTo>
                  <a:pt x="368414" y="278650"/>
                </a:lnTo>
              </a:path>
              <a:path w="614680" h="1406525">
                <a:moveTo>
                  <a:pt x="368414" y="950772"/>
                </a:moveTo>
                <a:lnTo>
                  <a:pt x="368414" y="1127086"/>
                </a:lnTo>
              </a:path>
              <a:path w="614680" h="1406525">
                <a:moveTo>
                  <a:pt x="285216" y="1038771"/>
                </a:moveTo>
                <a:lnTo>
                  <a:pt x="451611" y="1038771"/>
                </a:lnTo>
              </a:path>
            </a:pathLst>
          </a:custGeom>
          <a:ln w="6083">
            <a:solidFill>
              <a:srgbClr val="000000"/>
            </a:solidFill>
          </a:ln>
        </xdr:spPr>
      </xdr:sp>
      <xdr:sp macro="" textlink="">
        <xdr:nvSpPr>
          <xdr:cNvPr id="104" name="Shape 360">
            <a:extLst>
              <a:ext uri="{FF2B5EF4-FFF2-40B4-BE49-F238E27FC236}">
                <a16:creationId xmlns:a16="http://schemas.microsoft.com/office/drawing/2014/main" id="{7F552E5B-AB34-1768-FBC5-EF3E0F3C9BA9}"/>
              </a:ext>
            </a:extLst>
          </xdr:cNvPr>
          <xdr:cNvSpPr/>
        </xdr:nvSpPr>
        <xdr:spPr>
          <a:xfrm>
            <a:off x="5974" y="0"/>
            <a:ext cx="608965" cy="1412240"/>
          </a:xfrm>
          <a:custGeom>
            <a:avLst/>
            <a:gdLst/>
            <a:ahLst/>
            <a:cxnLst/>
            <a:rect l="0" t="0" r="0" b="0"/>
            <a:pathLst>
              <a:path w="608965" h="1412240">
                <a:moveTo>
                  <a:pt x="27292" y="1290675"/>
                </a:moveTo>
                <a:lnTo>
                  <a:pt x="20701" y="1290675"/>
                </a:lnTo>
                <a:lnTo>
                  <a:pt x="18770" y="1301534"/>
                </a:lnTo>
                <a:lnTo>
                  <a:pt x="9855" y="1304163"/>
                </a:lnTo>
                <a:lnTo>
                  <a:pt x="0" y="1304163"/>
                </a:lnTo>
                <a:lnTo>
                  <a:pt x="0" y="1311059"/>
                </a:lnTo>
                <a:lnTo>
                  <a:pt x="18669" y="1311059"/>
                </a:lnTo>
                <a:lnTo>
                  <a:pt x="18669" y="1362557"/>
                </a:lnTo>
                <a:lnTo>
                  <a:pt x="27292" y="1362557"/>
                </a:lnTo>
                <a:lnTo>
                  <a:pt x="27292" y="1290675"/>
                </a:lnTo>
                <a:close/>
              </a:path>
              <a:path w="608965" h="1412240">
                <a:moveTo>
                  <a:pt x="72834" y="1291971"/>
                </a:moveTo>
                <a:lnTo>
                  <a:pt x="68237" y="1291971"/>
                </a:lnTo>
                <a:lnTo>
                  <a:pt x="66878" y="1299552"/>
                </a:lnTo>
                <a:lnTo>
                  <a:pt x="60629" y="1301419"/>
                </a:lnTo>
                <a:lnTo>
                  <a:pt x="53759" y="1301419"/>
                </a:lnTo>
                <a:lnTo>
                  <a:pt x="53759" y="1306233"/>
                </a:lnTo>
                <a:lnTo>
                  <a:pt x="66789" y="1306233"/>
                </a:lnTo>
                <a:lnTo>
                  <a:pt x="66789" y="1342288"/>
                </a:lnTo>
                <a:lnTo>
                  <a:pt x="72834" y="1342288"/>
                </a:lnTo>
                <a:lnTo>
                  <a:pt x="72834" y="1291971"/>
                </a:lnTo>
                <a:close/>
              </a:path>
              <a:path w="608965" h="1412240">
                <a:moveTo>
                  <a:pt x="122605" y="1288440"/>
                </a:moveTo>
                <a:lnTo>
                  <a:pt x="115201" y="1288440"/>
                </a:lnTo>
                <a:lnTo>
                  <a:pt x="85191" y="1364284"/>
                </a:lnTo>
                <a:lnTo>
                  <a:pt x="92595" y="1364284"/>
                </a:lnTo>
                <a:lnTo>
                  <a:pt x="122605" y="1288440"/>
                </a:lnTo>
                <a:close/>
              </a:path>
              <a:path w="608965" h="1412240">
                <a:moveTo>
                  <a:pt x="157314" y="1345450"/>
                </a:moveTo>
                <a:lnTo>
                  <a:pt x="150507" y="1345450"/>
                </a:lnTo>
                <a:lnTo>
                  <a:pt x="150507" y="1320838"/>
                </a:lnTo>
                <a:lnTo>
                  <a:pt x="150507" y="1312240"/>
                </a:lnTo>
                <a:lnTo>
                  <a:pt x="145681" y="1312240"/>
                </a:lnTo>
                <a:lnTo>
                  <a:pt x="144830" y="1313459"/>
                </a:lnTo>
                <a:lnTo>
                  <a:pt x="144830" y="1320838"/>
                </a:lnTo>
                <a:lnTo>
                  <a:pt x="144830" y="1345450"/>
                </a:lnTo>
                <a:lnTo>
                  <a:pt x="127939" y="1345450"/>
                </a:lnTo>
                <a:lnTo>
                  <a:pt x="144691" y="1320838"/>
                </a:lnTo>
                <a:lnTo>
                  <a:pt x="144830" y="1320838"/>
                </a:lnTo>
                <a:lnTo>
                  <a:pt x="144830" y="1313459"/>
                </a:lnTo>
                <a:lnTo>
                  <a:pt x="122770" y="1344955"/>
                </a:lnTo>
                <a:lnTo>
                  <a:pt x="122770" y="1350772"/>
                </a:lnTo>
                <a:lnTo>
                  <a:pt x="144830" y="1350772"/>
                </a:lnTo>
                <a:lnTo>
                  <a:pt x="144830" y="1362557"/>
                </a:lnTo>
                <a:lnTo>
                  <a:pt x="150507" y="1362557"/>
                </a:lnTo>
                <a:lnTo>
                  <a:pt x="150507" y="1350772"/>
                </a:lnTo>
                <a:lnTo>
                  <a:pt x="157314" y="1350772"/>
                </a:lnTo>
                <a:lnTo>
                  <a:pt x="157314" y="1345450"/>
                </a:lnTo>
                <a:close/>
              </a:path>
              <a:path w="608965" h="1412240">
                <a:moveTo>
                  <a:pt x="178193" y="1290154"/>
                </a:moveTo>
                <a:lnTo>
                  <a:pt x="171297" y="1290154"/>
                </a:lnTo>
                <a:lnTo>
                  <a:pt x="171297" y="1316316"/>
                </a:lnTo>
                <a:lnTo>
                  <a:pt x="178193" y="1316316"/>
                </a:lnTo>
                <a:lnTo>
                  <a:pt x="178193" y="1290154"/>
                </a:lnTo>
                <a:close/>
              </a:path>
              <a:path w="608965" h="1412240">
                <a:moveTo>
                  <a:pt x="192392" y="1290154"/>
                </a:moveTo>
                <a:lnTo>
                  <a:pt x="185496" y="1290154"/>
                </a:lnTo>
                <a:lnTo>
                  <a:pt x="185496" y="1316316"/>
                </a:lnTo>
                <a:lnTo>
                  <a:pt x="192392" y="1316316"/>
                </a:lnTo>
                <a:lnTo>
                  <a:pt x="192392" y="1290154"/>
                </a:lnTo>
                <a:close/>
              </a:path>
              <a:path w="608965" h="1412240">
                <a:moveTo>
                  <a:pt x="216789" y="78943"/>
                </a:moveTo>
                <a:lnTo>
                  <a:pt x="116192" y="99047"/>
                </a:lnTo>
                <a:lnTo>
                  <a:pt x="216789" y="119176"/>
                </a:lnTo>
                <a:lnTo>
                  <a:pt x="216789" y="78943"/>
                </a:lnTo>
                <a:close/>
              </a:path>
              <a:path w="608965" h="1412240">
                <a:moveTo>
                  <a:pt x="303847" y="1391932"/>
                </a:moveTo>
                <a:lnTo>
                  <a:pt x="203250" y="1371815"/>
                </a:lnTo>
                <a:lnTo>
                  <a:pt x="203250" y="1412049"/>
                </a:lnTo>
                <a:lnTo>
                  <a:pt x="303847" y="1391932"/>
                </a:lnTo>
                <a:close/>
              </a:path>
              <a:path w="608965" h="1412240">
                <a:moveTo>
                  <a:pt x="315963" y="0"/>
                </a:moveTo>
                <a:lnTo>
                  <a:pt x="309651" y="0"/>
                </a:lnTo>
                <a:lnTo>
                  <a:pt x="307809" y="10388"/>
                </a:lnTo>
                <a:lnTo>
                  <a:pt x="299250" y="12915"/>
                </a:lnTo>
                <a:lnTo>
                  <a:pt x="289826" y="12915"/>
                </a:lnTo>
                <a:lnTo>
                  <a:pt x="289826" y="19519"/>
                </a:lnTo>
                <a:lnTo>
                  <a:pt x="307708" y="19519"/>
                </a:lnTo>
                <a:lnTo>
                  <a:pt x="307708" y="68897"/>
                </a:lnTo>
                <a:lnTo>
                  <a:pt x="315963" y="68897"/>
                </a:lnTo>
                <a:lnTo>
                  <a:pt x="315963" y="0"/>
                </a:lnTo>
                <a:close/>
              </a:path>
              <a:path w="608965" h="1412240">
                <a:moveTo>
                  <a:pt x="384886" y="1168"/>
                </a:moveTo>
                <a:lnTo>
                  <a:pt x="340283" y="1168"/>
                </a:lnTo>
                <a:lnTo>
                  <a:pt x="340283" y="8953"/>
                </a:lnTo>
                <a:lnTo>
                  <a:pt x="376428" y="8953"/>
                </a:lnTo>
                <a:lnTo>
                  <a:pt x="366280" y="21513"/>
                </a:lnTo>
                <a:lnTo>
                  <a:pt x="357974" y="35928"/>
                </a:lnTo>
                <a:lnTo>
                  <a:pt x="352082" y="51854"/>
                </a:lnTo>
                <a:lnTo>
                  <a:pt x="349224" y="68910"/>
                </a:lnTo>
                <a:lnTo>
                  <a:pt x="358444" y="68910"/>
                </a:lnTo>
                <a:lnTo>
                  <a:pt x="361162" y="52273"/>
                </a:lnTo>
                <a:lnTo>
                  <a:pt x="366928" y="35674"/>
                </a:lnTo>
                <a:lnTo>
                  <a:pt x="375069" y="20523"/>
                </a:lnTo>
                <a:lnTo>
                  <a:pt x="384886" y="8267"/>
                </a:lnTo>
                <a:lnTo>
                  <a:pt x="384886" y="1168"/>
                </a:lnTo>
                <a:close/>
              </a:path>
              <a:path w="608965" h="1412240">
                <a:moveTo>
                  <a:pt x="439013" y="40817"/>
                </a:moveTo>
                <a:lnTo>
                  <a:pt x="434936" y="34213"/>
                </a:lnTo>
                <a:lnTo>
                  <a:pt x="426567" y="32359"/>
                </a:lnTo>
                <a:lnTo>
                  <a:pt x="426567" y="32169"/>
                </a:lnTo>
                <a:lnTo>
                  <a:pt x="431800" y="29743"/>
                </a:lnTo>
                <a:lnTo>
                  <a:pt x="436079" y="24498"/>
                </a:lnTo>
                <a:lnTo>
                  <a:pt x="436079" y="18478"/>
                </a:lnTo>
                <a:lnTo>
                  <a:pt x="434479" y="10210"/>
                </a:lnTo>
                <a:lnTo>
                  <a:pt x="430072" y="4470"/>
                </a:lnTo>
                <a:lnTo>
                  <a:pt x="423418" y="1104"/>
                </a:lnTo>
                <a:lnTo>
                  <a:pt x="415086" y="12"/>
                </a:lnTo>
                <a:lnTo>
                  <a:pt x="406006" y="1638"/>
                </a:lnTo>
                <a:lnTo>
                  <a:pt x="399465" y="6210"/>
                </a:lnTo>
                <a:lnTo>
                  <a:pt x="395401" y="13233"/>
                </a:lnTo>
                <a:lnTo>
                  <a:pt x="393801" y="22250"/>
                </a:lnTo>
                <a:lnTo>
                  <a:pt x="402069" y="22250"/>
                </a:lnTo>
                <a:lnTo>
                  <a:pt x="402170" y="14198"/>
                </a:lnTo>
                <a:lnTo>
                  <a:pt x="406069" y="7289"/>
                </a:lnTo>
                <a:lnTo>
                  <a:pt x="422109" y="7289"/>
                </a:lnTo>
                <a:lnTo>
                  <a:pt x="427355" y="11176"/>
                </a:lnTo>
                <a:lnTo>
                  <a:pt x="427355" y="25857"/>
                </a:lnTo>
                <a:lnTo>
                  <a:pt x="421233" y="29641"/>
                </a:lnTo>
                <a:lnTo>
                  <a:pt x="410629" y="29552"/>
                </a:lnTo>
                <a:lnTo>
                  <a:pt x="410629" y="36537"/>
                </a:lnTo>
                <a:lnTo>
                  <a:pt x="413918" y="36258"/>
                </a:lnTo>
                <a:lnTo>
                  <a:pt x="423748" y="36258"/>
                </a:lnTo>
                <a:lnTo>
                  <a:pt x="430263" y="40817"/>
                </a:lnTo>
                <a:lnTo>
                  <a:pt x="430263" y="57823"/>
                </a:lnTo>
                <a:lnTo>
                  <a:pt x="423341" y="62788"/>
                </a:lnTo>
                <a:lnTo>
                  <a:pt x="405866" y="62788"/>
                </a:lnTo>
                <a:lnTo>
                  <a:pt x="400913" y="56565"/>
                </a:lnTo>
                <a:lnTo>
                  <a:pt x="400608" y="47625"/>
                </a:lnTo>
                <a:lnTo>
                  <a:pt x="392366" y="47625"/>
                </a:lnTo>
                <a:lnTo>
                  <a:pt x="393852" y="57111"/>
                </a:lnTo>
                <a:lnTo>
                  <a:pt x="398462" y="64173"/>
                </a:lnTo>
                <a:lnTo>
                  <a:pt x="405765" y="68567"/>
                </a:lnTo>
                <a:lnTo>
                  <a:pt x="415290" y="70078"/>
                </a:lnTo>
                <a:lnTo>
                  <a:pt x="424459" y="68732"/>
                </a:lnTo>
                <a:lnTo>
                  <a:pt x="432003" y="64744"/>
                </a:lnTo>
                <a:lnTo>
                  <a:pt x="437134" y="58178"/>
                </a:lnTo>
                <a:lnTo>
                  <a:pt x="439013" y="49085"/>
                </a:lnTo>
                <a:lnTo>
                  <a:pt x="439013" y="40817"/>
                </a:lnTo>
                <a:close/>
              </a:path>
              <a:path w="608965" h="1412240">
                <a:moveTo>
                  <a:pt x="521563" y="1371815"/>
                </a:moveTo>
                <a:lnTo>
                  <a:pt x="420966" y="1391932"/>
                </a:lnTo>
                <a:lnTo>
                  <a:pt x="521563" y="1412049"/>
                </a:lnTo>
                <a:lnTo>
                  <a:pt x="521563" y="1371815"/>
                </a:lnTo>
                <a:close/>
              </a:path>
              <a:path w="608965" h="1412240">
                <a:moveTo>
                  <a:pt x="608723" y="99047"/>
                </a:moveTo>
                <a:lnTo>
                  <a:pt x="508127" y="78943"/>
                </a:lnTo>
                <a:lnTo>
                  <a:pt x="508127" y="119176"/>
                </a:lnTo>
                <a:lnTo>
                  <a:pt x="608723" y="99047"/>
                </a:lnTo>
                <a:close/>
              </a:path>
            </a:pathLst>
          </a:custGeom>
          <a:solidFill>
            <a:srgbClr val="000000"/>
          </a:solidFill>
        </xdr:spPr>
      </xdr:sp>
    </xdr:grpSp>
    <xdr:clientData/>
  </xdr:oneCellAnchor>
  <xdr:oneCellAnchor>
    <xdr:from>
      <xdr:col>1</xdr:col>
      <xdr:colOff>0</xdr:colOff>
      <xdr:row>108</xdr:row>
      <xdr:rowOff>222154</xdr:rowOff>
    </xdr:from>
    <xdr:ext cx="2118360" cy="1630680"/>
    <xdr:grpSp>
      <xdr:nvGrpSpPr>
        <xdr:cNvPr id="105" name="Group 361">
          <a:extLst>
            <a:ext uri="{FF2B5EF4-FFF2-40B4-BE49-F238E27FC236}">
              <a16:creationId xmlns:a16="http://schemas.microsoft.com/office/drawing/2014/main" id="{CAE64576-D8F6-4214-8EB2-0A09F3E061F8}"/>
            </a:ext>
          </a:extLst>
        </xdr:cNvPr>
        <xdr:cNvGrpSpPr/>
      </xdr:nvGrpSpPr>
      <xdr:grpSpPr>
        <a:xfrm>
          <a:off x="495300" y="26368279"/>
          <a:ext cx="2118360" cy="1630680"/>
          <a:chOff x="0" y="0"/>
          <a:chExt cx="2118360" cy="1630680"/>
        </a:xfrm>
      </xdr:grpSpPr>
      <xdr:pic>
        <xdr:nvPicPr>
          <xdr:cNvPr id="106" name="image56.png">
            <a:extLst>
              <a:ext uri="{FF2B5EF4-FFF2-40B4-BE49-F238E27FC236}">
                <a16:creationId xmlns:a16="http://schemas.microsoft.com/office/drawing/2014/main" id="{CEC16655-6C90-0AD2-2262-FF1E979F248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484188"/>
            <a:ext cx="1893841" cy="874135"/>
          </a:xfrm>
          <a:prstGeom prst="rect">
            <a:avLst/>
          </a:prstGeom>
        </xdr:spPr>
      </xdr:pic>
      <xdr:sp macro="" textlink="">
        <xdr:nvSpPr>
          <xdr:cNvPr id="107" name="Shape 363">
            <a:extLst>
              <a:ext uri="{FF2B5EF4-FFF2-40B4-BE49-F238E27FC236}">
                <a16:creationId xmlns:a16="http://schemas.microsoft.com/office/drawing/2014/main" id="{C4C72845-5D7B-D64E-AE09-7F43E145DB6F}"/>
              </a:ext>
            </a:extLst>
          </xdr:cNvPr>
          <xdr:cNvSpPr/>
        </xdr:nvSpPr>
        <xdr:spPr>
          <a:xfrm>
            <a:off x="260087" y="42948"/>
            <a:ext cx="1858010" cy="1587500"/>
          </a:xfrm>
          <a:custGeom>
            <a:avLst/>
            <a:gdLst/>
            <a:ahLst/>
            <a:cxnLst/>
            <a:rect l="0" t="0" r="0" b="0"/>
            <a:pathLst>
              <a:path w="1858010" h="1587500">
                <a:moveTo>
                  <a:pt x="272745" y="412089"/>
                </a:moveTo>
                <a:lnTo>
                  <a:pt x="272745" y="173266"/>
                </a:lnTo>
              </a:path>
              <a:path w="1858010" h="1587500">
                <a:moveTo>
                  <a:pt x="232702" y="429602"/>
                </a:moveTo>
                <a:lnTo>
                  <a:pt x="232702" y="0"/>
                </a:lnTo>
              </a:path>
              <a:path w="1858010" h="1587500">
                <a:moveTo>
                  <a:pt x="329958" y="230479"/>
                </a:moveTo>
                <a:lnTo>
                  <a:pt x="416026" y="230479"/>
                </a:lnTo>
              </a:path>
              <a:path w="1858010" h="1587500">
                <a:moveTo>
                  <a:pt x="175488" y="230479"/>
                </a:moveTo>
                <a:lnTo>
                  <a:pt x="0" y="230479"/>
                </a:lnTo>
              </a:path>
              <a:path w="1858010" h="1587500">
                <a:moveTo>
                  <a:pt x="1588325" y="412089"/>
                </a:moveTo>
                <a:lnTo>
                  <a:pt x="1588325" y="173266"/>
                </a:lnTo>
              </a:path>
              <a:path w="1858010" h="1587500">
                <a:moveTo>
                  <a:pt x="1628368" y="429602"/>
                </a:moveTo>
                <a:lnTo>
                  <a:pt x="1628368" y="0"/>
                </a:lnTo>
              </a:path>
              <a:path w="1858010" h="1587500">
                <a:moveTo>
                  <a:pt x="1531124" y="230479"/>
                </a:moveTo>
                <a:lnTo>
                  <a:pt x="1445018" y="230479"/>
                </a:lnTo>
              </a:path>
              <a:path w="1858010" h="1587500">
                <a:moveTo>
                  <a:pt x="1685569" y="230479"/>
                </a:moveTo>
                <a:lnTo>
                  <a:pt x="1857921" y="230479"/>
                </a:lnTo>
              </a:path>
              <a:path w="1858010" h="1587500">
                <a:moveTo>
                  <a:pt x="232702" y="230479"/>
                </a:moveTo>
                <a:lnTo>
                  <a:pt x="272745" y="230479"/>
                </a:lnTo>
              </a:path>
              <a:path w="1858010" h="1587500">
                <a:moveTo>
                  <a:pt x="1588325" y="230479"/>
                </a:moveTo>
                <a:lnTo>
                  <a:pt x="1628368" y="230479"/>
                </a:lnTo>
              </a:path>
              <a:path w="1858010" h="1587500">
                <a:moveTo>
                  <a:pt x="272745" y="412089"/>
                </a:moveTo>
                <a:lnTo>
                  <a:pt x="272745" y="173266"/>
                </a:lnTo>
              </a:path>
              <a:path w="1858010" h="1587500">
                <a:moveTo>
                  <a:pt x="1588325" y="412089"/>
                </a:moveTo>
                <a:lnTo>
                  <a:pt x="1588325" y="173266"/>
                </a:lnTo>
              </a:path>
              <a:path w="1858010" h="1587500">
                <a:moveTo>
                  <a:pt x="329958" y="57213"/>
                </a:moveTo>
                <a:lnTo>
                  <a:pt x="1531124" y="57213"/>
                </a:lnTo>
              </a:path>
              <a:path w="1858010" h="1587500">
                <a:moveTo>
                  <a:pt x="404329" y="1343647"/>
                </a:moveTo>
                <a:lnTo>
                  <a:pt x="404329" y="1587487"/>
                </a:lnTo>
              </a:path>
              <a:path w="1858010" h="1587500">
                <a:moveTo>
                  <a:pt x="535914" y="1343647"/>
                </a:moveTo>
                <a:lnTo>
                  <a:pt x="535914" y="1587487"/>
                </a:lnTo>
              </a:path>
              <a:path w="1858010" h="1587500">
                <a:moveTo>
                  <a:pt x="347103" y="1530286"/>
                </a:moveTo>
                <a:lnTo>
                  <a:pt x="269963" y="1530286"/>
                </a:lnTo>
              </a:path>
              <a:path w="1858010" h="1587500">
                <a:moveTo>
                  <a:pt x="593153" y="1530286"/>
                </a:moveTo>
                <a:lnTo>
                  <a:pt x="778090" y="1530286"/>
                </a:lnTo>
              </a:path>
              <a:path w="1858010" h="1587500">
                <a:moveTo>
                  <a:pt x="404329" y="1530286"/>
                </a:moveTo>
                <a:lnTo>
                  <a:pt x="535914" y="1530286"/>
                </a:lnTo>
              </a:path>
            </a:pathLst>
          </a:custGeom>
          <a:ln w="6108">
            <a:solidFill>
              <a:srgbClr val="000000"/>
            </a:solidFill>
          </a:ln>
        </xdr:spPr>
      </xdr:sp>
      <xdr:sp macro="" textlink="">
        <xdr:nvSpPr>
          <xdr:cNvPr id="108" name="Shape 364">
            <a:extLst>
              <a:ext uri="{FF2B5EF4-FFF2-40B4-BE49-F238E27FC236}">
                <a16:creationId xmlns:a16="http://schemas.microsoft.com/office/drawing/2014/main" id="{260401B8-9981-C46D-35A8-3F202AAC9473}"/>
              </a:ext>
            </a:extLst>
          </xdr:cNvPr>
          <xdr:cNvSpPr/>
        </xdr:nvSpPr>
        <xdr:spPr>
          <a:xfrm>
            <a:off x="281015" y="8"/>
            <a:ext cx="1819910" cy="1593850"/>
          </a:xfrm>
          <a:custGeom>
            <a:avLst/>
            <a:gdLst/>
            <a:ahLst/>
            <a:cxnLst/>
            <a:rect l="0" t="0" r="0" b="0"/>
            <a:pathLst>
              <a:path w="1819910" h="1593850">
                <a:moveTo>
                  <a:pt x="27432" y="173697"/>
                </a:moveTo>
                <a:lnTo>
                  <a:pt x="20802" y="173697"/>
                </a:lnTo>
                <a:lnTo>
                  <a:pt x="18872" y="184607"/>
                </a:lnTo>
                <a:lnTo>
                  <a:pt x="9893" y="187261"/>
                </a:lnTo>
                <a:lnTo>
                  <a:pt x="0" y="187261"/>
                </a:lnTo>
                <a:lnTo>
                  <a:pt x="0" y="194195"/>
                </a:lnTo>
                <a:lnTo>
                  <a:pt x="18770" y="194195"/>
                </a:lnTo>
                <a:lnTo>
                  <a:pt x="18770" y="245999"/>
                </a:lnTo>
                <a:lnTo>
                  <a:pt x="27432" y="245999"/>
                </a:lnTo>
                <a:lnTo>
                  <a:pt x="27432" y="173697"/>
                </a:lnTo>
                <a:close/>
              </a:path>
              <a:path w="1819910" h="1593850">
                <a:moveTo>
                  <a:pt x="94043" y="216522"/>
                </a:moveTo>
                <a:lnTo>
                  <a:pt x="89776" y="209575"/>
                </a:lnTo>
                <a:lnTo>
                  <a:pt x="81000" y="207645"/>
                </a:lnTo>
                <a:lnTo>
                  <a:pt x="81000" y="207429"/>
                </a:lnTo>
                <a:lnTo>
                  <a:pt x="86512" y="204889"/>
                </a:lnTo>
                <a:lnTo>
                  <a:pt x="90982" y="199390"/>
                </a:lnTo>
                <a:lnTo>
                  <a:pt x="90982" y="193052"/>
                </a:lnTo>
                <a:lnTo>
                  <a:pt x="89306" y="184391"/>
                </a:lnTo>
                <a:lnTo>
                  <a:pt x="84670" y="178358"/>
                </a:lnTo>
                <a:lnTo>
                  <a:pt x="77698" y="174828"/>
                </a:lnTo>
                <a:lnTo>
                  <a:pt x="68961" y="173685"/>
                </a:lnTo>
                <a:lnTo>
                  <a:pt x="59436" y="175399"/>
                </a:lnTo>
                <a:lnTo>
                  <a:pt x="52552" y="180187"/>
                </a:lnTo>
                <a:lnTo>
                  <a:pt x="48298" y="187579"/>
                </a:lnTo>
                <a:lnTo>
                  <a:pt x="46634" y="197040"/>
                </a:lnTo>
                <a:lnTo>
                  <a:pt x="55283" y="197040"/>
                </a:lnTo>
                <a:lnTo>
                  <a:pt x="55384" y="188569"/>
                </a:lnTo>
                <a:lnTo>
                  <a:pt x="59461" y="181330"/>
                </a:lnTo>
                <a:lnTo>
                  <a:pt x="76301" y="181330"/>
                </a:lnTo>
                <a:lnTo>
                  <a:pt x="81813" y="185407"/>
                </a:lnTo>
                <a:lnTo>
                  <a:pt x="81813" y="200799"/>
                </a:lnTo>
                <a:lnTo>
                  <a:pt x="75387" y="204787"/>
                </a:lnTo>
                <a:lnTo>
                  <a:pt x="64262" y="204685"/>
                </a:lnTo>
                <a:lnTo>
                  <a:pt x="64262" y="212026"/>
                </a:lnTo>
                <a:lnTo>
                  <a:pt x="67729" y="211721"/>
                </a:lnTo>
                <a:lnTo>
                  <a:pt x="78028" y="211721"/>
                </a:lnTo>
                <a:lnTo>
                  <a:pt x="84874" y="216522"/>
                </a:lnTo>
                <a:lnTo>
                  <a:pt x="84874" y="234353"/>
                </a:lnTo>
                <a:lnTo>
                  <a:pt x="77635" y="239560"/>
                </a:lnTo>
                <a:lnTo>
                  <a:pt x="59270" y="239560"/>
                </a:lnTo>
                <a:lnTo>
                  <a:pt x="54076" y="233032"/>
                </a:lnTo>
                <a:lnTo>
                  <a:pt x="53759" y="223647"/>
                </a:lnTo>
                <a:lnTo>
                  <a:pt x="45097" y="223647"/>
                </a:lnTo>
                <a:lnTo>
                  <a:pt x="46659" y="233616"/>
                </a:lnTo>
                <a:lnTo>
                  <a:pt x="51498" y="241007"/>
                </a:lnTo>
                <a:lnTo>
                  <a:pt x="59156" y="245618"/>
                </a:lnTo>
                <a:lnTo>
                  <a:pt x="69151" y="247205"/>
                </a:lnTo>
                <a:lnTo>
                  <a:pt x="78778" y="245795"/>
                </a:lnTo>
                <a:lnTo>
                  <a:pt x="86690" y="241617"/>
                </a:lnTo>
                <a:lnTo>
                  <a:pt x="92062" y="234734"/>
                </a:lnTo>
                <a:lnTo>
                  <a:pt x="94043" y="225183"/>
                </a:lnTo>
                <a:lnTo>
                  <a:pt x="94043" y="216522"/>
                </a:lnTo>
                <a:close/>
              </a:path>
              <a:path w="1819910" h="1593850">
                <a:moveTo>
                  <a:pt x="211759" y="273443"/>
                </a:moveTo>
                <a:lnTo>
                  <a:pt x="110693" y="253212"/>
                </a:lnTo>
                <a:lnTo>
                  <a:pt x="110693" y="293636"/>
                </a:lnTo>
                <a:lnTo>
                  <a:pt x="211759" y="273443"/>
                </a:lnTo>
                <a:close/>
              </a:path>
              <a:path w="1819910" h="1593850">
                <a:moveTo>
                  <a:pt x="309575" y="79946"/>
                </a:moveTo>
                <a:lnTo>
                  <a:pt x="208495" y="100177"/>
                </a:lnTo>
                <a:lnTo>
                  <a:pt x="309575" y="120370"/>
                </a:lnTo>
                <a:lnTo>
                  <a:pt x="309575" y="79946"/>
                </a:lnTo>
                <a:close/>
              </a:path>
              <a:path w="1819910" h="1593850">
                <a:moveTo>
                  <a:pt x="352894" y="253212"/>
                </a:moveTo>
                <a:lnTo>
                  <a:pt x="251815" y="273443"/>
                </a:lnTo>
                <a:lnTo>
                  <a:pt x="352894" y="293636"/>
                </a:lnTo>
                <a:lnTo>
                  <a:pt x="352894" y="253212"/>
                </a:lnTo>
                <a:close/>
              </a:path>
              <a:path w="1819910" h="1593850">
                <a:moveTo>
                  <a:pt x="383387" y="1573237"/>
                </a:moveTo>
                <a:lnTo>
                  <a:pt x="282333" y="1553019"/>
                </a:lnTo>
                <a:lnTo>
                  <a:pt x="282333" y="1593456"/>
                </a:lnTo>
                <a:lnTo>
                  <a:pt x="383387" y="1573237"/>
                </a:lnTo>
                <a:close/>
              </a:path>
              <a:path w="1819910" h="1593850">
                <a:moveTo>
                  <a:pt x="616064" y="1553019"/>
                </a:moveTo>
                <a:lnTo>
                  <a:pt x="514985" y="1573237"/>
                </a:lnTo>
                <a:lnTo>
                  <a:pt x="616064" y="1593456"/>
                </a:lnTo>
                <a:lnTo>
                  <a:pt x="616064" y="1553019"/>
                </a:lnTo>
                <a:close/>
              </a:path>
              <a:path w="1819910" h="1593850">
                <a:moveTo>
                  <a:pt x="681964" y="1519389"/>
                </a:moveTo>
                <a:lnTo>
                  <a:pt x="672172" y="1519389"/>
                </a:lnTo>
                <a:lnTo>
                  <a:pt x="672172" y="1484033"/>
                </a:lnTo>
                <a:lnTo>
                  <a:pt x="672172" y="1471714"/>
                </a:lnTo>
                <a:lnTo>
                  <a:pt x="665251" y="1471714"/>
                </a:lnTo>
                <a:lnTo>
                  <a:pt x="664032" y="1473454"/>
                </a:lnTo>
                <a:lnTo>
                  <a:pt x="664032" y="1484033"/>
                </a:lnTo>
                <a:lnTo>
                  <a:pt x="664032" y="1519389"/>
                </a:lnTo>
                <a:lnTo>
                  <a:pt x="639775" y="1519389"/>
                </a:lnTo>
                <a:lnTo>
                  <a:pt x="663816" y="1484033"/>
                </a:lnTo>
                <a:lnTo>
                  <a:pt x="664032" y="1484033"/>
                </a:lnTo>
                <a:lnTo>
                  <a:pt x="664032" y="1473454"/>
                </a:lnTo>
                <a:lnTo>
                  <a:pt x="632333" y="1518678"/>
                </a:lnTo>
                <a:lnTo>
                  <a:pt x="632333" y="1527035"/>
                </a:lnTo>
                <a:lnTo>
                  <a:pt x="664032" y="1527035"/>
                </a:lnTo>
                <a:lnTo>
                  <a:pt x="664032" y="1543939"/>
                </a:lnTo>
                <a:lnTo>
                  <a:pt x="672172" y="1543939"/>
                </a:lnTo>
                <a:lnTo>
                  <a:pt x="672172" y="1527035"/>
                </a:lnTo>
                <a:lnTo>
                  <a:pt x="681964" y="1527035"/>
                </a:lnTo>
                <a:lnTo>
                  <a:pt x="681964" y="1519389"/>
                </a:lnTo>
                <a:close/>
              </a:path>
              <a:path w="1819910" h="1593850">
                <a:moveTo>
                  <a:pt x="739013" y="1520913"/>
                </a:moveTo>
                <a:lnTo>
                  <a:pt x="737654" y="1512557"/>
                </a:lnTo>
                <a:lnTo>
                  <a:pt x="737628" y="1512366"/>
                </a:lnTo>
                <a:lnTo>
                  <a:pt x="737501" y="1511630"/>
                </a:lnTo>
                <a:lnTo>
                  <a:pt x="733691" y="1505115"/>
                </a:lnTo>
                <a:lnTo>
                  <a:pt x="733158" y="1504200"/>
                </a:lnTo>
                <a:lnTo>
                  <a:pt x="729843" y="1501863"/>
                </a:lnTo>
                <a:lnTo>
                  <a:pt x="729843" y="1530096"/>
                </a:lnTo>
                <a:lnTo>
                  <a:pt x="724649" y="1537512"/>
                </a:lnTo>
                <a:lnTo>
                  <a:pt x="705802" y="1537512"/>
                </a:lnTo>
                <a:lnTo>
                  <a:pt x="700290" y="1530388"/>
                </a:lnTo>
                <a:lnTo>
                  <a:pt x="700290" y="1512366"/>
                </a:lnTo>
                <a:lnTo>
                  <a:pt x="704265" y="1506943"/>
                </a:lnTo>
                <a:lnTo>
                  <a:pt x="705599" y="1505115"/>
                </a:lnTo>
                <a:lnTo>
                  <a:pt x="725157" y="1505115"/>
                </a:lnTo>
                <a:lnTo>
                  <a:pt x="729729" y="1512366"/>
                </a:lnTo>
                <a:lnTo>
                  <a:pt x="729843" y="1530096"/>
                </a:lnTo>
                <a:lnTo>
                  <a:pt x="729843" y="1501863"/>
                </a:lnTo>
                <a:lnTo>
                  <a:pt x="726198" y="1499273"/>
                </a:lnTo>
                <a:lnTo>
                  <a:pt x="716902" y="1497482"/>
                </a:lnTo>
                <a:lnTo>
                  <a:pt x="709066" y="1497482"/>
                </a:lnTo>
                <a:lnTo>
                  <a:pt x="702957" y="1500339"/>
                </a:lnTo>
                <a:lnTo>
                  <a:pt x="698982" y="1506753"/>
                </a:lnTo>
                <a:lnTo>
                  <a:pt x="698868" y="1506943"/>
                </a:lnTo>
                <a:lnTo>
                  <a:pt x="698652" y="1506753"/>
                </a:lnTo>
                <a:lnTo>
                  <a:pt x="699490" y="1497787"/>
                </a:lnTo>
                <a:lnTo>
                  <a:pt x="702043" y="1488884"/>
                </a:lnTo>
                <a:lnTo>
                  <a:pt x="707275" y="1482077"/>
                </a:lnTo>
                <a:lnTo>
                  <a:pt x="716191" y="1479346"/>
                </a:lnTo>
                <a:lnTo>
                  <a:pt x="723011" y="1479346"/>
                </a:lnTo>
                <a:lnTo>
                  <a:pt x="727494" y="1483626"/>
                </a:lnTo>
                <a:lnTo>
                  <a:pt x="728306" y="1490154"/>
                </a:lnTo>
                <a:lnTo>
                  <a:pt x="736981" y="1490154"/>
                </a:lnTo>
                <a:lnTo>
                  <a:pt x="716610" y="1471714"/>
                </a:lnTo>
                <a:lnTo>
                  <a:pt x="703757" y="1474978"/>
                </a:lnTo>
                <a:lnTo>
                  <a:pt x="695579" y="1483626"/>
                </a:lnTo>
                <a:lnTo>
                  <a:pt x="691261" y="1495996"/>
                </a:lnTo>
                <a:lnTo>
                  <a:pt x="690003" y="1510436"/>
                </a:lnTo>
                <a:lnTo>
                  <a:pt x="690778" y="1520913"/>
                </a:lnTo>
                <a:lnTo>
                  <a:pt x="690880" y="1522260"/>
                </a:lnTo>
                <a:lnTo>
                  <a:pt x="694410" y="1533486"/>
                </a:lnTo>
                <a:lnTo>
                  <a:pt x="701954" y="1541868"/>
                </a:lnTo>
                <a:lnTo>
                  <a:pt x="714870" y="1545158"/>
                </a:lnTo>
                <a:lnTo>
                  <a:pt x="726325" y="1542846"/>
                </a:lnTo>
                <a:lnTo>
                  <a:pt x="733082" y="1537512"/>
                </a:lnTo>
                <a:lnTo>
                  <a:pt x="733780" y="1536979"/>
                </a:lnTo>
                <a:lnTo>
                  <a:pt x="737806" y="1529130"/>
                </a:lnTo>
                <a:lnTo>
                  <a:pt x="739013" y="1520913"/>
                </a:lnTo>
                <a:close/>
              </a:path>
              <a:path w="1819910" h="1593850">
                <a:moveTo>
                  <a:pt x="904430" y="64579"/>
                </a:moveTo>
                <a:lnTo>
                  <a:pt x="865924" y="64579"/>
                </a:lnTo>
                <a:lnTo>
                  <a:pt x="865924" y="0"/>
                </a:lnTo>
                <a:lnTo>
                  <a:pt x="856234" y="0"/>
                </a:lnTo>
                <a:lnTo>
                  <a:pt x="856234" y="72732"/>
                </a:lnTo>
                <a:lnTo>
                  <a:pt x="904430" y="72732"/>
                </a:lnTo>
                <a:lnTo>
                  <a:pt x="904430" y="64579"/>
                </a:lnTo>
                <a:close/>
              </a:path>
              <a:path w="1819910" h="1593850">
                <a:moveTo>
                  <a:pt x="1567395" y="273443"/>
                </a:moveTo>
                <a:lnTo>
                  <a:pt x="1466316" y="253212"/>
                </a:lnTo>
                <a:lnTo>
                  <a:pt x="1466316" y="293636"/>
                </a:lnTo>
                <a:lnTo>
                  <a:pt x="1567395" y="273443"/>
                </a:lnTo>
                <a:close/>
              </a:path>
              <a:path w="1819910" h="1593850">
                <a:moveTo>
                  <a:pt x="1610715" y="100177"/>
                </a:moveTo>
                <a:lnTo>
                  <a:pt x="1509636" y="79946"/>
                </a:lnTo>
                <a:lnTo>
                  <a:pt x="1509636" y="120370"/>
                </a:lnTo>
                <a:lnTo>
                  <a:pt x="1610715" y="100177"/>
                </a:lnTo>
                <a:close/>
              </a:path>
              <a:path w="1819910" h="1593850">
                <a:moveTo>
                  <a:pt x="1708518" y="253212"/>
                </a:moveTo>
                <a:lnTo>
                  <a:pt x="1607426" y="273443"/>
                </a:lnTo>
                <a:lnTo>
                  <a:pt x="1708518" y="293636"/>
                </a:lnTo>
                <a:lnTo>
                  <a:pt x="1708518" y="253212"/>
                </a:lnTo>
                <a:close/>
              </a:path>
              <a:path w="1819910" h="1593850">
                <a:moveTo>
                  <a:pt x="1753082" y="173697"/>
                </a:moveTo>
                <a:lnTo>
                  <a:pt x="1746465" y="173697"/>
                </a:lnTo>
                <a:lnTo>
                  <a:pt x="1744522" y="184607"/>
                </a:lnTo>
                <a:lnTo>
                  <a:pt x="1735543" y="187261"/>
                </a:lnTo>
                <a:lnTo>
                  <a:pt x="1725637" y="187261"/>
                </a:lnTo>
                <a:lnTo>
                  <a:pt x="1725637" y="194195"/>
                </a:lnTo>
                <a:lnTo>
                  <a:pt x="1744421" y="194195"/>
                </a:lnTo>
                <a:lnTo>
                  <a:pt x="1744421" y="245999"/>
                </a:lnTo>
                <a:lnTo>
                  <a:pt x="1753082" y="245999"/>
                </a:lnTo>
                <a:lnTo>
                  <a:pt x="1753082" y="173697"/>
                </a:lnTo>
                <a:close/>
              </a:path>
              <a:path w="1819910" h="1593850">
                <a:moveTo>
                  <a:pt x="1819694" y="216522"/>
                </a:moveTo>
                <a:lnTo>
                  <a:pt x="1815414" y="209575"/>
                </a:lnTo>
                <a:lnTo>
                  <a:pt x="1806651" y="207645"/>
                </a:lnTo>
                <a:lnTo>
                  <a:pt x="1806651" y="207429"/>
                </a:lnTo>
                <a:lnTo>
                  <a:pt x="1812150" y="204889"/>
                </a:lnTo>
                <a:lnTo>
                  <a:pt x="1816633" y="199390"/>
                </a:lnTo>
                <a:lnTo>
                  <a:pt x="1816633" y="193052"/>
                </a:lnTo>
                <a:lnTo>
                  <a:pt x="1814957" y="184391"/>
                </a:lnTo>
                <a:lnTo>
                  <a:pt x="1810321" y="178358"/>
                </a:lnTo>
                <a:lnTo>
                  <a:pt x="1803336" y="174828"/>
                </a:lnTo>
                <a:lnTo>
                  <a:pt x="1794611" y="173685"/>
                </a:lnTo>
                <a:lnTo>
                  <a:pt x="1785086" y="175399"/>
                </a:lnTo>
                <a:lnTo>
                  <a:pt x="1778203" y="180187"/>
                </a:lnTo>
                <a:lnTo>
                  <a:pt x="1773936" y="187579"/>
                </a:lnTo>
                <a:lnTo>
                  <a:pt x="1772272" y="197040"/>
                </a:lnTo>
                <a:lnTo>
                  <a:pt x="1780933" y="197040"/>
                </a:lnTo>
                <a:lnTo>
                  <a:pt x="1781035" y="188569"/>
                </a:lnTo>
                <a:lnTo>
                  <a:pt x="1785112" y="181330"/>
                </a:lnTo>
                <a:lnTo>
                  <a:pt x="1801939" y="181330"/>
                </a:lnTo>
                <a:lnTo>
                  <a:pt x="1807464" y="185407"/>
                </a:lnTo>
                <a:lnTo>
                  <a:pt x="1807464" y="200799"/>
                </a:lnTo>
                <a:lnTo>
                  <a:pt x="1801025" y="204787"/>
                </a:lnTo>
                <a:lnTo>
                  <a:pt x="1789899" y="204685"/>
                </a:lnTo>
                <a:lnTo>
                  <a:pt x="1789899" y="212026"/>
                </a:lnTo>
                <a:lnTo>
                  <a:pt x="1793367" y="211721"/>
                </a:lnTo>
                <a:lnTo>
                  <a:pt x="1803679" y="211721"/>
                </a:lnTo>
                <a:lnTo>
                  <a:pt x="1810524" y="216522"/>
                </a:lnTo>
                <a:lnTo>
                  <a:pt x="1810524" y="234353"/>
                </a:lnTo>
                <a:lnTo>
                  <a:pt x="1803285" y="239560"/>
                </a:lnTo>
                <a:lnTo>
                  <a:pt x="1784908" y="239560"/>
                </a:lnTo>
                <a:lnTo>
                  <a:pt x="1779714" y="233032"/>
                </a:lnTo>
                <a:lnTo>
                  <a:pt x="1779409" y="223647"/>
                </a:lnTo>
                <a:lnTo>
                  <a:pt x="1770748" y="223647"/>
                </a:lnTo>
                <a:lnTo>
                  <a:pt x="1772310" y="233616"/>
                </a:lnTo>
                <a:lnTo>
                  <a:pt x="1777149" y="241007"/>
                </a:lnTo>
                <a:lnTo>
                  <a:pt x="1784807" y="245618"/>
                </a:lnTo>
                <a:lnTo>
                  <a:pt x="1794814" y="247205"/>
                </a:lnTo>
                <a:lnTo>
                  <a:pt x="1804428" y="245795"/>
                </a:lnTo>
                <a:lnTo>
                  <a:pt x="1812340" y="241617"/>
                </a:lnTo>
                <a:lnTo>
                  <a:pt x="1817712" y="234734"/>
                </a:lnTo>
                <a:lnTo>
                  <a:pt x="1819694" y="225183"/>
                </a:lnTo>
                <a:lnTo>
                  <a:pt x="1819694" y="216522"/>
                </a:lnTo>
                <a:close/>
              </a:path>
            </a:pathLst>
          </a:custGeom>
          <a:solidFill>
            <a:srgbClr val="000000"/>
          </a:solidFill>
        </xdr:spPr>
      </xdr:sp>
    </xdr:grpSp>
    <xdr:clientData/>
  </xdr:oneCellAnchor>
  <xdr:oneCellAnchor>
    <xdr:from>
      <xdr:col>1</xdr:col>
      <xdr:colOff>0</xdr:colOff>
      <xdr:row>108</xdr:row>
      <xdr:rowOff>2145404</xdr:rowOff>
    </xdr:from>
    <xdr:ext cx="1897663" cy="610947"/>
    <xdr:pic>
      <xdr:nvPicPr>
        <xdr:cNvPr id="109" name="image57.png">
          <a:extLst>
            <a:ext uri="{FF2B5EF4-FFF2-40B4-BE49-F238E27FC236}">
              <a16:creationId xmlns:a16="http://schemas.microsoft.com/office/drawing/2014/main" id="{47FAE79F-E237-4658-A9E1-4F4A67958DFE}"/>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20700" y="28675704"/>
          <a:ext cx="1897663" cy="610947"/>
        </a:xfrm>
        <a:prstGeom prst="rect">
          <a:avLst/>
        </a:prstGeom>
      </xdr:spPr>
    </xdr:pic>
    <xdr:clientData/>
  </xdr:oneCellAnchor>
  <xdr:oneCellAnchor>
    <xdr:from>
      <xdr:col>6</xdr:col>
      <xdr:colOff>0</xdr:colOff>
      <xdr:row>108</xdr:row>
      <xdr:rowOff>391204</xdr:rowOff>
    </xdr:from>
    <xdr:ext cx="678180" cy="1459865"/>
    <xdr:grpSp>
      <xdr:nvGrpSpPr>
        <xdr:cNvPr id="110" name="Group 366">
          <a:extLst>
            <a:ext uri="{FF2B5EF4-FFF2-40B4-BE49-F238E27FC236}">
              <a16:creationId xmlns:a16="http://schemas.microsoft.com/office/drawing/2014/main" id="{B3A47139-F985-4F30-9B4E-6834217ACB69}"/>
            </a:ext>
          </a:extLst>
        </xdr:cNvPr>
        <xdr:cNvGrpSpPr/>
      </xdr:nvGrpSpPr>
      <xdr:grpSpPr>
        <a:xfrm>
          <a:off x="2971800" y="26537329"/>
          <a:ext cx="678180" cy="1459865"/>
          <a:chOff x="0" y="0"/>
          <a:chExt cx="678180" cy="1459865"/>
        </a:xfrm>
      </xdr:grpSpPr>
      <xdr:sp macro="" textlink="">
        <xdr:nvSpPr>
          <xdr:cNvPr id="111" name="Shape 367">
            <a:extLst>
              <a:ext uri="{FF2B5EF4-FFF2-40B4-BE49-F238E27FC236}">
                <a16:creationId xmlns:a16="http://schemas.microsoft.com/office/drawing/2014/main" id="{FA29A79E-BE5F-3764-BF21-4899410DC993}"/>
              </a:ext>
            </a:extLst>
          </xdr:cNvPr>
          <xdr:cNvSpPr/>
        </xdr:nvSpPr>
        <xdr:spPr>
          <a:xfrm>
            <a:off x="72181" y="320436"/>
            <a:ext cx="600075" cy="864235"/>
          </a:xfrm>
          <a:custGeom>
            <a:avLst/>
            <a:gdLst/>
            <a:ahLst/>
            <a:cxnLst/>
            <a:rect l="0" t="0" r="0" b="0"/>
            <a:pathLst>
              <a:path w="600075" h="864235">
                <a:moveTo>
                  <a:pt x="564299" y="0"/>
                </a:moveTo>
                <a:lnTo>
                  <a:pt x="35763" y="0"/>
                </a:lnTo>
                <a:lnTo>
                  <a:pt x="21843" y="2810"/>
                </a:lnTo>
                <a:lnTo>
                  <a:pt x="10475" y="10475"/>
                </a:lnTo>
                <a:lnTo>
                  <a:pt x="2810" y="21843"/>
                </a:lnTo>
                <a:lnTo>
                  <a:pt x="0" y="35763"/>
                </a:lnTo>
                <a:lnTo>
                  <a:pt x="0" y="828179"/>
                </a:lnTo>
                <a:lnTo>
                  <a:pt x="2810" y="842091"/>
                </a:lnTo>
                <a:lnTo>
                  <a:pt x="10475" y="853455"/>
                </a:lnTo>
                <a:lnTo>
                  <a:pt x="21843" y="861119"/>
                </a:lnTo>
                <a:lnTo>
                  <a:pt x="35763" y="863930"/>
                </a:lnTo>
                <a:lnTo>
                  <a:pt x="564299" y="863930"/>
                </a:lnTo>
                <a:lnTo>
                  <a:pt x="578214" y="861119"/>
                </a:lnTo>
                <a:lnTo>
                  <a:pt x="589573" y="853455"/>
                </a:lnTo>
                <a:lnTo>
                  <a:pt x="597230" y="842091"/>
                </a:lnTo>
                <a:lnTo>
                  <a:pt x="600036" y="828179"/>
                </a:lnTo>
                <a:lnTo>
                  <a:pt x="600036" y="35763"/>
                </a:lnTo>
                <a:lnTo>
                  <a:pt x="597230" y="21843"/>
                </a:lnTo>
                <a:lnTo>
                  <a:pt x="589573" y="10475"/>
                </a:lnTo>
                <a:lnTo>
                  <a:pt x="578214" y="2810"/>
                </a:lnTo>
                <a:lnTo>
                  <a:pt x="564299" y="0"/>
                </a:lnTo>
                <a:close/>
              </a:path>
            </a:pathLst>
          </a:custGeom>
          <a:solidFill>
            <a:srgbClr val="E3E3E3"/>
          </a:solidFill>
        </xdr:spPr>
      </xdr:sp>
      <xdr:sp macro="" textlink="">
        <xdr:nvSpPr>
          <xdr:cNvPr id="112" name="Shape 368">
            <a:extLst>
              <a:ext uri="{FF2B5EF4-FFF2-40B4-BE49-F238E27FC236}">
                <a16:creationId xmlns:a16="http://schemas.microsoft.com/office/drawing/2014/main" id="{3D9E63BE-43F7-0520-411A-883CBCBC7D59}"/>
              </a:ext>
            </a:extLst>
          </xdr:cNvPr>
          <xdr:cNvSpPr/>
        </xdr:nvSpPr>
        <xdr:spPr>
          <a:xfrm>
            <a:off x="143717" y="519550"/>
            <a:ext cx="457200" cy="463550"/>
          </a:xfrm>
          <a:custGeom>
            <a:avLst/>
            <a:gdLst/>
            <a:ahLst/>
            <a:cxnLst/>
            <a:rect l="0" t="0" r="0" b="0"/>
            <a:pathLst>
              <a:path w="457200" h="463550">
                <a:moveTo>
                  <a:pt x="34315" y="7696"/>
                </a:moveTo>
                <a:lnTo>
                  <a:pt x="26631" y="0"/>
                </a:lnTo>
                <a:lnTo>
                  <a:pt x="7683" y="0"/>
                </a:lnTo>
                <a:lnTo>
                  <a:pt x="0" y="7696"/>
                </a:lnTo>
                <a:lnTo>
                  <a:pt x="0" y="455739"/>
                </a:lnTo>
                <a:lnTo>
                  <a:pt x="7683" y="463435"/>
                </a:lnTo>
                <a:lnTo>
                  <a:pt x="26631" y="463435"/>
                </a:lnTo>
                <a:lnTo>
                  <a:pt x="34315" y="455739"/>
                </a:lnTo>
                <a:lnTo>
                  <a:pt x="34315" y="17170"/>
                </a:lnTo>
                <a:lnTo>
                  <a:pt x="34315" y="7696"/>
                </a:lnTo>
                <a:close/>
              </a:path>
              <a:path w="457200" h="463550">
                <a:moveTo>
                  <a:pt x="140119" y="7696"/>
                </a:moveTo>
                <a:lnTo>
                  <a:pt x="132422" y="0"/>
                </a:lnTo>
                <a:lnTo>
                  <a:pt x="113461" y="0"/>
                </a:lnTo>
                <a:lnTo>
                  <a:pt x="105791" y="7696"/>
                </a:lnTo>
                <a:lnTo>
                  <a:pt x="105791" y="455739"/>
                </a:lnTo>
                <a:lnTo>
                  <a:pt x="113461" y="463435"/>
                </a:lnTo>
                <a:lnTo>
                  <a:pt x="132422" y="463435"/>
                </a:lnTo>
                <a:lnTo>
                  <a:pt x="140119" y="455739"/>
                </a:lnTo>
                <a:lnTo>
                  <a:pt x="140119" y="17170"/>
                </a:lnTo>
                <a:lnTo>
                  <a:pt x="140119" y="7696"/>
                </a:lnTo>
                <a:close/>
              </a:path>
              <a:path w="457200" h="463550">
                <a:moveTo>
                  <a:pt x="246011" y="7696"/>
                </a:moveTo>
                <a:lnTo>
                  <a:pt x="238315" y="0"/>
                </a:lnTo>
                <a:lnTo>
                  <a:pt x="219379" y="0"/>
                </a:lnTo>
                <a:lnTo>
                  <a:pt x="211696" y="7696"/>
                </a:lnTo>
                <a:lnTo>
                  <a:pt x="211696" y="455739"/>
                </a:lnTo>
                <a:lnTo>
                  <a:pt x="219379" y="463435"/>
                </a:lnTo>
                <a:lnTo>
                  <a:pt x="238315" y="463435"/>
                </a:lnTo>
                <a:lnTo>
                  <a:pt x="246011" y="455739"/>
                </a:lnTo>
                <a:lnTo>
                  <a:pt x="246011" y="17170"/>
                </a:lnTo>
                <a:lnTo>
                  <a:pt x="246011" y="7696"/>
                </a:lnTo>
                <a:close/>
              </a:path>
              <a:path w="457200" h="463550">
                <a:moveTo>
                  <a:pt x="351815" y="7696"/>
                </a:moveTo>
                <a:lnTo>
                  <a:pt x="344131" y="0"/>
                </a:lnTo>
                <a:lnTo>
                  <a:pt x="325183" y="0"/>
                </a:lnTo>
                <a:lnTo>
                  <a:pt x="317500" y="7696"/>
                </a:lnTo>
                <a:lnTo>
                  <a:pt x="317500" y="455739"/>
                </a:lnTo>
                <a:lnTo>
                  <a:pt x="325183" y="463435"/>
                </a:lnTo>
                <a:lnTo>
                  <a:pt x="344131" y="463435"/>
                </a:lnTo>
                <a:lnTo>
                  <a:pt x="351815" y="455739"/>
                </a:lnTo>
                <a:lnTo>
                  <a:pt x="351815" y="17170"/>
                </a:lnTo>
                <a:lnTo>
                  <a:pt x="351815" y="7696"/>
                </a:lnTo>
                <a:close/>
              </a:path>
              <a:path w="457200" h="463550">
                <a:moveTo>
                  <a:pt x="457085" y="7696"/>
                </a:moveTo>
                <a:lnTo>
                  <a:pt x="449389" y="0"/>
                </a:lnTo>
                <a:lnTo>
                  <a:pt x="430441" y="0"/>
                </a:lnTo>
                <a:lnTo>
                  <a:pt x="422757" y="7696"/>
                </a:lnTo>
                <a:lnTo>
                  <a:pt x="422757" y="455739"/>
                </a:lnTo>
                <a:lnTo>
                  <a:pt x="430441" y="463435"/>
                </a:lnTo>
                <a:lnTo>
                  <a:pt x="449389" y="463435"/>
                </a:lnTo>
                <a:lnTo>
                  <a:pt x="457085" y="455739"/>
                </a:lnTo>
                <a:lnTo>
                  <a:pt x="457085" y="17170"/>
                </a:lnTo>
                <a:lnTo>
                  <a:pt x="457085" y="7696"/>
                </a:lnTo>
                <a:close/>
              </a:path>
            </a:pathLst>
          </a:custGeom>
          <a:solidFill>
            <a:srgbClr val="FFFFFF"/>
          </a:solidFill>
        </xdr:spPr>
      </xdr:sp>
      <xdr:sp macro="" textlink="">
        <xdr:nvSpPr>
          <xdr:cNvPr id="113" name="Shape 369">
            <a:extLst>
              <a:ext uri="{FF2B5EF4-FFF2-40B4-BE49-F238E27FC236}">
                <a16:creationId xmlns:a16="http://schemas.microsoft.com/office/drawing/2014/main" id="{4EF25221-5FBC-D8A3-B780-B6C340A3769E}"/>
              </a:ext>
            </a:extLst>
          </xdr:cNvPr>
          <xdr:cNvSpPr/>
        </xdr:nvSpPr>
        <xdr:spPr>
          <a:xfrm>
            <a:off x="71796" y="356048"/>
            <a:ext cx="601345" cy="792480"/>
          </a:xfrm>
          <a:custGeom>
            <a:avLst/>
            <a:gdLst/>
            <a:ahLst/>
            <a:cxnLst/>
            <a:rect l="0" t="0" r="0" b="0"/>
            <a:pathLst>
              <a:path w="601345" h="792480">
                <a:moveTo>
                  <a:pt x="0" y="0"/>
                </a:moveTo>
                <a:lnTo>
                  <a:pt x="0" y="792403"/>
                </a:lnTo>
              </a:path>
              <a:path w="601345" h="792480">
                <a:moveTo>
                  <a:pt x="600722" y="0"/>
                </a:moveTo>
                <a:lnTo>
                  <a:pt x="600722" y="792403"/>
                </a:lnTo>
              </a:path>
            </a:pathLst>
          </a:custGeom>
          <a:ln w="10185">
            <a:solidFill>
              <a:srgbClr val="000000"/>
            </a:solidFill>
          </a:ln>
        </xdr:spPr>
      </xdr:sp>
      <xdr:pic>
        <xdr:nvPicPr>
          <xdr:cNvPr id="114" name="image58.png">
            <a:extLst>
              <a:ext uri="{FF2B5EF4-FFF2-40B4-BE49-F238E27FC236}">
                <a16:creationId xmlns:a16="http://schemas.microsoft.com/office/drawing/2014/main" id="{4E689078-A757-10E7-593A-E43CCA5A3A1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01260" y="1027738"/>
            <a:ext cx="141770" cy="124155"/>
          </a:xfrm>
          <a:prstGeom prst="rect">
            <a:avLst/>
          </a:prstGeom>
        </xdr:spPr>
      </xdr:pic>
      <xdr:pic>
        <xdr:nvPicPr>
          <xdr:cNvPr id="115" name="image59.png">
            <a:extLst>
              <a:ext uri="{FF2B5EF4-FFF2-40B4-BE49-F238E27FC236}">
                <a16:creationId xmlns:a16="http://schemas.microsoft.com/office/drawing/2014/main" id="{B8B50756-A2D3-1256-E800-C91B3233996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01260" y="352746"/>
            <a:ext cx="141770" cy="124155"/>
          </a:xfrm>
          <a:prstGeom prst="rect">
            <a:avLst/>
          </a:prstGeom>
        </xdr:spPr>
      </xdr:pic>
      <xdr:sp macro="" textlink="">
        <xdr:nvSpPr>
          <xdr:cNvPr id="116" name="Shape 372">
            <a:extLst>
              <a:ext uri="{FF2B5EF4-FFF2-40B4-BE49-F238E27FC236}">
                <a16:creationId xmlns:a16="http://schemas.microsoft.com/office/drawing/2014/main" id="{346C28C5-54D0-21FB-9863-9660E686990E}"/>
              </a:ext>
            </a:extLst>
          </xdr:cNvPr>
          <xdr:cNvSpPr/>
        </xdr:nvSpPr>
        <xdr:spPr>
          <a:xfrm>
            <a:off x="71796" y="320297"/>
            <a:ext cx="601345" cy="864235"/>
          </a:xfrm>
          <a:custGeom>
            <a:avLst/>
            <a:gdLst/>
            <a:ahLst/>
            <a:cxnLst/>
            <a:rect l="0" t="0" r="0" b="0"/>
            <a:pathLst>
              <a:path w="601345" h="864235">
                <a:moveTo>
                  <a:pt x="105829" y="217398"/>
                </a:moveTo>
                <a:lnTo>
                  <a:pt x="105829" y="207924"/>
                </a:lnTo>
                <a:lnTo>
                  <a:pt x="98145" y="200240"/>
                </a:lnTo>
                <a:lnTo>
                  <a:pt x="88671" y="200240"/>
                </a:lnTo>
                <a:lnTo>
                  <a:pt x="79184" y="200240"/>
                </a:lnTo>
                <a:lnTo>
                  <a:pt x="71501" y="207924"/>
                </a:lnTo>
                <a:lnTo>
                  <a:pt x="71501" y="217398"/>
                </a:lnTo>
              </a:path>
              <a:path w="601345" h="864235">
                <a:moveTo>
                  <a:pt x="317525" y="217398"/>
                </a:moveTo>
                <a:lnTo>
                  <a:pt x="317525" y="207924"/>
                </a:lnTo>
                <a:lnTo>
                  <a:pt x="309841" y="200240"/>
                </a:lnTo>
                <a:lnTo>
                  <a:pt x="300355" y="200240"/>
                </a:lnTo>
                <a:lnTo>
                  <a:pt x="290880" y="200240"/>
                </a:lnTo>
                <a:lnTo>
                  <a:pt x="283197" y="207924"/>
                </a:lnTo>
                <a:lnTo>
                  <a:pt x="283197" y="217398"/>
                </a:lnTo>
              </a:path>
              <a:path w="601345" h="864235">
                <a:moveTo>
                  <a:pt x="211683" y="217398"/>
                </a:moveTo>
                <a:lnTo>
                  <a:pt x="211683" y="207924"/>
                </a:lnTo>
                <a:lnTo>
                  <a:pt x="204000" y="200240"/>
                </a:lnTo>
                <a:lnTo>
                  <a:pt x="194525" y="200240"/>
                </a:lnTo>
                <a:lnTo>
                  <a:pt x="185051" y="200240"/>
                </a:lnTo>
                <a:lnTo>
                  <a:pt x="177342" y="207924"/>
                </a:lnTo>
                <a:lnTo>
                  <a:pt x="177342" y="217398"/>
                </a:lnTo>
              </a:path>
              <a:path w="601345" h="864235">
                <a:moveTo>
                  <a:pt x="423379" y="217398"/>
                </a:moveTo>
                <a:lnTo>
                  <a:pt x="423379" y="207924"/>
                </a:lnTo>
                <a:lnTo>
                  <a:pt x="415670" y="200240"/>
                </a:lnTo>
                <a:lnTo>
                  <a:pt x="406209" y="200240"/>
                </a:lnTo>
                <a:lnTo>
                  <a:pt x="396722" y="200240"/>
                </a:lnTo>
                <a:lnTo>
                  <a:pt x="389026" y="207924"/>
                </a:lnTo>
                <a:lnTo>
                  <a:pt x="389026" y="217398"/>
                </a:lnTo>
              </a:path>
              <a:path w="601345" h="864235">
                <a:moveTo>
                  <a:pt x="529209" y="217398"/>
                </a:moveTo>
                <a:lnTo>
                  <a:pt x="529209" y="207924"/>
                </a:lnTo>
                <a:lnTo>
                  <a:pt x="521525" y="200240"/>
                </a:lnTo>
                <a:lnTo>
                  <a:pt x="512051" y="200240"/>
                </a:lnTo>
                <a:lnTo>
                  <a:pt x="502577" y="200240"/>
                </a:lnTo>
                <a:lnTo>
                  <a:pt x="494893" y="207924"/>
                </a:lnTo>
                <a:lnTo>
                  <a:pt x="494893" y="217398"/>
                </a:lnTo>
              </a:path>
              <a:path w="601345" h="864235">
                <a:moveTo>
                  <a:pt x="564972" y="0"/>
                </a:moveTo>
                <a:lnTo>
                  <a:pt x="35763" y="0"/>
                </a:lnTo>
              </a:path>
              <a:path w="601345" h="864235">
                <a:moveTo>
                  <a:pt x="35763" y="0"/>
                </a:moveTo>
                <a:lnTo>
                  <a:pt x="21833" y="2807"/>
                </a:lnTo>
                <a:lnTo>
                  <a:pt x="10466" y="10464"/>
                </a:lnTo>
                <a:lnTo>
                  <a:pt x="2807" y="21827"/>
                </a:lnTo>
                <a:lnTo>
                  <a:pt x="0" y="35750"/>
                </a:lnTo>
              </a:path>
              <a:path w="601345" h="864235">
                <a:moveTo>
                  <a:pt x="380453" y="94386"/>
                </a:moveTo>
                <a:lnTo>
                  <a:pt x="374162" y="63211"/>
                </a:lnTo>
                <a:lnTo>
                  <a:pt x="357001" y="37755"/>
                </a:lnTo>
                <a:lnTo>
                  <a:pt x="331542" y="20593"/>
                </a:lnTo>
                <a:lnTo>
                  <a:pt x="300355" y="14300"/>
                </a:lnTo>
                <a:lnTo>
                  <a:pt x="269178" y="20593"/>
                </a:lnTo>
                <a:lnTo>
                  <a:pt x="243717" y="37755"/>
                </a:lnTo>
                <a:lnTo>
                  <a:pt x="226551" y="63211"/>
                </a:lnTo>
                <a:lnTo>
                  <a:pt x="220256" y="94386"/>
                </a:lnTo>
                <a:lnTo>
                  <a:pt x="226551" y="125575"/>
                </a:lnTo>
                <a:lnTo>
                  <a:pt x="243717" y="151039"/>
                </a:lnTo>
                <a:lnTo>
                  <a:pt x="269178" y="168204"/>
                </a:lnTo>
                <a:lnTo>
                  <a:pt x="300355" y="174498"/>
                </a:lnTo>
                <a:lnTo>
                  <a:pt x="331542" y="168204"/>
                </a:lnTo>
                <a:lnTo>
                  <a:pt x="357001" y="151039"/>
                </a:lnTo>
                <a:lnTo>
                  <a:pt x="374162" y="125575"/>
                </a:lnTo>
                <a:lnTo>
                  <a:pt x="380453" y="94386"/>
                </a:lnTo>
                <a:close/>
              </a:path>
              <a:path w="601345" h="864235">
                <a:moveTo>
                  <a:pt x="600722" y="35750"/>
                </a:moveTo>
                <a:lnTo>
                  <a:pt x="597915" y="21827"/>
                </a:lnTo>
                <a:lnTo>
                  <a:pt x="590257" y="10464"/>
                </a:lnTo>
                <a:lnTo>
                  <a:pt x="578894" y="2807"/>
                </a:lnTo>
                <a:lnTo>
                  <a:pt x="564972" y="0"/>
                </a:lnTo>
              </a:path>
              <a:path w="601345" h="864235">
                <a:moveTo>
                  <a:pt x="380453" y="769518"/>
                </a:moveTo>
                <a:lnTo>
                  <a:pt x="374162" y="738339"/>
                </a:lnTo>
                <a:lnTo>
                  <a:pt x="357001" y="712874"/>
                </a:lnTo>
                <a:lnTo>
                  <a:pt x="331542" y="695703"/>
                </a:lnTo>
                <a:lnTo>
                  <a:pt x="300355" y="689406"/>
                </a:lnTo>
                <a:lnTo>
                  <a:pt x="269178" y="695703"/>
                </a:lnTo>
                <a:lnTo>
                  <a:pt x="243717" y="712874"/>
                </a:lnTo>
                <a:lnTo>
                  <a:pt x="226551" y="738339"/>
                </a:lnTo>
                <a:lnTo>
                  <a:pt x="220256" y="769518"/>
                </a:lnTo>
                <a:lnTo>
                  <a:pt x="226551" y="800693"/>
                </a:lnTo>
                <a:lnTo>
                  <a:pt x="243717" y="826149"/>
                </a:lnTo>
                <a:lnTo>
                  <a:pt x="269178" y="843311"/>
                </a:lnTo>
                <a:lnTo>
                  <a:pt x="300355" y="849604"/>
                </a:lnTo>
                <a:lnTo>
                  <a:pt x="331542" y="843311"/>
                </a:lnTo>
                <a:lnTo>
                  <a:pt x="357001" y="826149"/>
                </a:lnTo>
                <a:lnTo>
                  <a:pt x="374162" y="800693"/>
                </a:lnTo>
                <a:lnTo>
                  <a:pt x="380453" y="769518"/>
                </a:lnTo>
                <a:close/>
              </a:path>
              <a:path w="601345" h="864235">
                <a:moveTo>
                  <a:pt x="177342" y="646518"/>
                </a:moveTo>
                <a:lnTo>
                  <a:pt x="177342" y="655980"/>
                </a:lnTo>
                <a:lnTo>
                  <a:pt x="185051" y="663663"/>
                </a:lnTo>
                <a:lnTo>
                  <a:pt x="194525" y="663663"/>
                </a:lnTo>
                <a:lnTo>
                  <a:pt x="204000" y="663663"/>
                </a:lnTo>
                <a:lnTo>
                  <a:pt x="211683" y="655980"/>
                </a:lnTo>
                <a:lnTo>
                  <a:pt x="211683" y="646518"/>
                </a:lnTo>
              </a:path>
              <a:path w="601345" h="864235">
                <a:moveTo>
                  <a:pt x="71501" y="646518"/>
                </a:moveTo>
                <a:lnTo>
                  <a:pt x="71501" y="655980"/>
                </a:lnTo>
                <a:lnTo>
                  <a:pt x="79184" y="663663"/>
                </a:lnTo>
                <a:lnTo>
                  <a:pt x="88671" y="663663"/>
                </a:lnTo>
                <a:lnTo>
                  <a:pt x="98145" y="663663"/>
                </a:lnTo>
                <a:lnTo>
                  <a:pt x="105829" y="655980"/>
                </a:lnTo>
                <a:lnTo>
                  <a:pt x="105829" y="646518"/>
                </a:lnTo>
              </a:path>
              <a:path w="601345" h="864235">
                <a:moveTo>
                  <a:pt x="389026" y="646518"/>
                </a:moveTo>
                <a:lnTo>
                  <a:pt x="389026" y="655980"/>
                </a:lnTo>
                <a:lnTo>
                  <a:pt x="396722" y="663663"/>
                </a:lnTo>
                <a:lnTo>
                  <a:pt x="406209" y="663663"/>
                </a:lnTo>
                <a:lnTo>
                  <a:pt x="415670" y="663663"/>
                </a:lnTo>
                <a:lnTo>
                  <a:pt x="423379" y="655980"/>
                </a:lnTo>
                <a:lnTo>
                  <a:pt x="423379" y="646518"/>
                </a:lnTo>
              </a:path>
              <a:path w="601345" h="864235">
                <a:moveTo>
                  <a:pt x="283197" y="646518"/>
                </a:moveTo>
                <a:lnTo>
                  <a:pt x="283197" y="655980"/>
                </a:lnTo>
                <a:lnTo>
                  <a:pt x="290880" y="663663"/>
                </a:lnTo>
                <a:lnTo>
                  <a:pt x="300355" y="663663"/>
                </a:lnTo>
                <a:lnTo>
                  <a:pt x="309841" y="663663"/>
                </a:lnTo>
                <a:lnTo>
                  <a:pt x="317525" y="655980"/>
                </a:lnTo>
                <a:lnTo>
                  <a:pt x="317525" y="646518"/>
                </a:lnTo>
              </a:path>
              <a:path w="601345" h="864235">
                <a:moveTo>
                  <a:pt x="494893" y="646518"/>
                </a:moveTo>
                <a:lnTo>
                  <a:pt x="494893" y="655980"/>
                </a:lnTo>
                <a:lnTo>
                  <a:pt x="502577" y="663663"/>
                </a:lnTo>
                <a:lnTo>
                  <a:pt x="512051" y="663663"/>
                </a:lnTo>
                <a:lnTo>
                  <a:pt x="521525" y="663663"/>
                </a:lnTo>
                <a:lnTo>
                  <a:pt x="529209" y="655980"/>
                </a:lnTo>
                <a:lnTo>
                  <a:pt x="529209" y="646518"/>
                </a:lnTo>
              </a:path>
              <a:path w="601345" h="864235">
                <a:moveTo>
                  <a:pt x="564972" y="863917"/>
                </a:moveTo>
                <a:lnTo>
                  <a:pt x="35763" y="863917"/>
                </a:lnTo>
              </a:path>
              <a:path w="601345" h="864235">
                <a:moveTo>
                  <a:pt x="0" y="828154"/>
                </a:moveTo>
                <a:lnTo>
                  <a:pt x="2807" y="842079"/>
                </a:lnTo>
                <a:lnTo>
                  <a:pt x="10466" y="853446"/>
                </a:lnTo>
                <a:lnTo>
                  <a:pt x="21833" y="861108"/>
                </a:lnTo>
                <a:lnTo>
                  <a:pt x="35763" y="863917"/>
                </a:lnTo>
              </a:path>
              <a:path w="601345" h="864235">
                <a:moveTo>
                  <a:pt x="564972" y="863917"/>
                </a:moveTo>
                <a:lnTo>
                  <a:pt x="578894" y="861108"/>
                </a:lnTo>
                <a:lnTo>
                  <a:pt x="590257" y="853446"/>
                </a:lnTo>
                <a:lnTo>
                  <a:pt x="597915" y="842079"/>
                </a:lnTo>
                <a:lnTo>
                  <a:pt x="600722" y="828154"/>
                </a:lnTo>
              </a:path>
              <a:path w="601345" h="864235">
                <a:moveTo>
                  <a:pt x="105829" y="646518"/>
                </a:moveTo>
                <a:lnTo>
                  <a:pt x="105829" y="217398"/>
                </a:lnTo>
              </a:path>
              <a:path w="601345" h="864235">
                <a:moveTo>
                  <a:pt x="71501" y="646518"/>
                </a:moveTo>
                <a:lnTo>
                  <a:pt x="71501" y="217398"/>
                </a:lnTo>
              </a:path>
              <a:path w="601345" h="864235">
                <a:moveTo>
                  <a:pt x="177342" y="646518"/>
                </a:moveTo>
                <a:lnTo>
                  <a:pt x="177342" y="217398"/>
                </a:lnTo>
              </a:path>
              <a:path w="601345" h="864235">
                <a:moveTo>
                  <a:pt x="211683" y="646518"/>
                </a:moveTo>
                <a:lnTo>
                  <a:pt x="211683" y="217398"/>
                </a:lnTo>
              </a:path>
              <a:path w="601345" h="864235">
                <a:moveTo>
                  <a:pt x="283197" y="646518"/>
                </a:moveTo>
                <a:lnTo>
                  <a:pt x="283197" y="217398"/>
                </a:lnTo>
              </a:path>
              <a:path w="601345" h="864235">
                <a:moveTo>
                  <a:pt x="317525" y="646518"/>
                </a:moveTo>
                <a:lnTo>
                  <a:pt x="317525" y="217398"/>
                </a:lnTo>
              </a:path>
              <a:path w="601345" h="864235">
                <a:moveTo>
                  <a:pt x="389026" y="646518"/>
                </a:moveTo>
                <a:lnTo>
                  <a:pt x="389026" y="217398"/>
                </a:lnTo>
              </a:path>
              <a:path w="601345" h="864235">
                <a:moveTo>
                  <a:pt x="423379" y="646518"/>
                </a:moveTo>
                <a:lnTo>
                  <a:pt x="423379" y="217398"/>
                </a:lnTo>
              </a:path>
              <a:path w="601345" h="864235">
                <a:moveTo>
                  <a:pt x="494893" y="646518"/>
                </a:moveTo>
                <a:lnTo>
                  <a:pt x="494893" y="217398"/>
                </a:lnTo>
              </a:path>
              <a:path w="601345" h="864235">
                <a:moveTo>
                  <a:pt x="529209" y="646518"/>
                </a:moveTo>
                <a:lnTo>
                  <a:pt x="529209" y="217398"/>
                </a:lnTo>
              </a:path>
            </a:pathLst>
          </a:custGeom>
          <a:ln w="10185">
            <a:solidFill>
              <a:srgbClr val="000000"/>
            </a:solidFill>
          </a:ln>
        </xdr:spPr>
      </xdr:sp>
      <xdr:sp macro="" textlink="">
        <xdr:nvSpPr>
          <xdr:cNvPr id="117" name="Shape 373">
            <a:extLst>
              <a:ext uri="{FF2B5EF4-FFF2-40B4-BE49-F238E27FC236}">
                <a16:creationId xmlns:a16="http://schemas.microsoft.com/office/drawing/2014/main" id="{EF8A3469-2760-7716-D0B3-6C1B10A9E656}"/>
              </a:ext>
            </a:extLst>
          </xdr:cNvPr>
          <xdr:cNvSpPr/>
        </xdr:nvSpPr>
        <xdr:spPr>
          <a:xfrm>
            <a:off x="288546" y="326101"/>
            <a:ext cx="167640" cy="852805"/>
          </a:xfrm>
          <a:custGeom>
            <a:avLst/>
            <a:gdLst/>
            <a:ahLst/>
            <a:cxnLst/>
            <a:rect l="0" t="0" r="0" b="0"/>
            <a:pathLst>
              <a:path w="167640" h="852805">
                <a:moveTo>
                  <a:pt x="83604" y="852182"/>
                </a:moveTo>
                <a:lnTo>
                  <a:pt x="83604" y="674992"/>
                </a:lnTo>
              </a:path>
              <a:path w="167640" h="852805">
                <a:moveTo>
                  <a:pt x="0" y="763714"/>
                </a:moveTo>
                <a:lnTo>
                  <a:pt x="167208" y="763714"/>
                </a:lnTo>
              </a:path>
              <a:path w="167640" h="852805">
                <a:moveTo>
                  <a:pt x="83604" y="177190"/>
                </a:moveTo>
                <a:lnTo>
                  <a:pt x="83604" y="0"/>
                </a:lnTo>
              </a:path>
              <a:path w="167640" h="852805">
                <a:moveTo>
                  <a:pt x="0" y="88722"/>
                </a:moveTo>
                <a:lnTo>
                  <a:pt x="167208" y="88722"/>
                </a:lnTo>
              </a:path>
            </a:pathLst>
          </a:custGeom>
          <a:ln w="6108">
            <a:solidFill>
              <a:srgbClr val="000000"/>
            </a:solidFill>
          </a:ln>
        </xdr:spPr>
      </xdr:sp>
      <xdr:sp macro="" textlink="">
        <xdr:nvSpPr>
          <xdr:cNvPr id="118" name="Shape 374">
            <a:extLst>
              <a:ext uri="{FF2B5EF4-FFF2-40B4-BE49-F238E27FC236}">
                <a16:creationId xmlns:a16="http://schemas.microsoft.com/office/drawing/2014/main" id="{74BC5FDB-33E4-0E33-58CD-F7ED22790DA3}"/>
              </a:ext>
            </a:extLst>
          </xdr:cNvPr>
          <xdr:cNvSpPr/>
        </xdr:nvSpPr>
        <xdr:spPr>
          <a:xfrm>
            <a:off x="1935" y="46222"/>
            <a:ext cx="671195" cy="1413510"/>
          </a:xfrm>
          <a:custGeom>
            <a:avLst/>
            <a:gdLst/>
            <a:ahLst/>
            <a:cxnLst/>
            <a:rect l="0" t="0" r="0" b="0"/>
            <a:pathLst>
              <a:path w="671195" h="1413510">
                <a:moveTo>
                  <a:pt x="69862" y="252615"/>
                </a:moveTo>
                <a:lnTo>
                  <a:pt x="69862" y="0"/>
                </a:lnTo>
              </a:path>
              <a:path w="671195" h="1413510">
                <a:moveTo>
                  <a:pt x="670585" y="252615"/>
                </a:moveTo>
                <a:lnTo>
                  <a:pt x="670585" y="0"/>
                </a:lnTo>
              </a:path>
              <a:path w="671195" h="1413510">
                <a:moveTo>
                  <a:pt x="127050" y="57200"/>
                </a:moveTo>
                <a:lnTo>
                  <a:pt x="613371" y="57200"/>
                </a:lnTo>
              </a:path>
              <a:path w="671195" h="1413510">
                <a:moveTo>
                  <a:pt x="427291" y="1100797"/>
                </a:moveTo>
                <a:lnTo>
                  <a:pt x="427291" y="1413357"/>
                </a:lnTo>
              </a:path>
              <a:path w="671195" h="1413510">
                <a:moveTo>
                  <a:pt x="313169" y="1100797"/>
                </a:moveTo>
                <a:lnTo>
                  <a:pt x="313169" y="1413357"/>
                </a:lnTo>
              </a:path>
              <a:path w="671195" h="1413510">
                <a:moveTo>
                  <a:pt x="502856" y="1356131"/>
                </a:moveTo>
                <a:lnTo>
                  <a:pt x="562940" y="1356131"/>
                </a:lnTo>
              </a:path>
              <a:path w="671195" h="1413510">
                <a:moveTo>
                  <a:pt x="255943" y="1356131"/>
                </a:moveTo>
                <a:lnTo>
                  <a:pt x="0" y="1356131"/>
                </a:lnTo>
              </a:path>
              <a:path w="671195" h="1413510">
                <a:moveTo>
                  <a:pt x="313169" y="1356131"/>
                </a:moveTo>
                <a:lnTo>
                  <a:pt x="427291" y="1356131"/>
                </a:lnTo>
              </a:path>
            </a:pathLst>
          </a:custGeom>
          <a:ln w="6108">
            <a:solidFill>
              <a:srgbClr val="000000"/>
            </a:solidFill>
          </a:ln>
        </xdr:spPr>
      </xdr:sp>
      <xdr:sp macro="" textlink="">
        <xdr:nvSpPr>
          <xdr:cNvPr id="119" name="Shape 375">
            <a:extLst>
              <a:ext uri="{FF2B5EF4-FFF2-40B4-BE49-F238E27FC236}">
                <a16:creationId xmlns:a16="http://schemas.microsoft.com/office/drawing/2014/main" id="{2B7EBFFE-35AE-D4D7-992D-FBCB3F3B83FA}"/>
              </a:ext>
            </a:extLst>
          </xdr:cNvPr>
          <xdr:cNvSpPr/>
        </xdr:nvSpPr>
        <xdr:spPr>
          <a:xfrm>
            <a:off x="0" y="1300874"/>
            <a:ext cx="27940" cy="72390"/>
          </a:xfrm>
          <a:custGeom>
            <a:avLst/>
            <a:gdLst/>
            <a:ahLst/>
            <a:cxnLst/>
            <a:rect l="0" t="0" r="0" b="0"/>
            <a:pathLst>
              <a:path w="27940" h="72390">
                <a:moveTo>
                  <a:pt x="27419" y="0"/>
                </a:moveTo>
                <a:lnTo>
                  <a:pt x="20802" y="0"/>
                </a:lnTo>
                <a:lnTo>
                  <a:pt x="18859" y="10909"/>
                </a:lnTo>
                <a:lnTo>
                  <a:pt x="9893" y="13550"/>
                </a:lnTo>
                <a:lnTo>
                  <a:pt x="0" y="13550"/>
                </a:lnTo>
                <a:lnTo>
                  <a:pt x="0" y="20472"/>
                </a:lnTo>
                <a:lnTo>
                  <a:pt x="18757" y="20472"/>
                </a:lnTo>
                <a:lnTo>
                  <a:pt x="18757" y="72224"/>
                </a:lnTo>
                <a:lnTo>
                  <a:pt x="27419" y="72224"/>
                </a:lnTo>
                <a:lnTo>
                  <a:pt x="27419" y="0"/>
                </a:lnTo>
                <a:close/>
              </a:path>
            </a:pathLst>
          </a:custGeom>
          <a:solidFill>
            <a:srgbClr val="000000"/>
          </a:solidFill>
        </xdr:spPr>
      </xdr:sp>
      <xdr:pic>
        <xdr:nvPicPr>
          <xdr:cNvPr id="120" name="image60.png">
            <a:extLst>
              <a:ext uri="{FF2B5EF4-FFF2-40B4-BE49-F238E27FC236}">
                <a16:creationId xmlns:a16="http://schemas.microsoft.com/office/drawing/2014/main" id="{41BAF7D7-B495-6EF5-B22C-127EA8F68D8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4005" y="1298623"/>
            <a:ext cx="139305" cy="76212"/>
          </a:xfrm>
          <a:prstGeom prst="rect">
            <a:avLst/>
          </a:prstGeom>
        </xdr:spPr>
      </xdr:pic>
      <xdr:sp macro="" textlink="">
        <xdr:nvSpPr>
          <xdr:cNvPr id="121" name="Shape 377">
            <a:extLst>
              <a:ext uri="{FF2B5EF4-FFF2-40B4-BE49-F238E27FC236}">
                <a16:creationId xmlns:a16="http://schemas.microsoft.com/office/drawing/2014/main" id="{4B3C3094-D9EC-8440-85E5-E7B612A7B4BD}"/>
              </a:ext>
            </a:extLst>
          </xdr:cNvPr>
          <xdr:cNvSpPr/>
        </xdr:nvSpPr>
        <xdr:spPr>
          <a:xfrm>
            <a:off x="72178" y="5"/>
            <a:ext cx="601345" cy="1423035"/>
          </a:xfrm>
          <a:custGeom>
            <a:avLst/>
            <a:gdLst/>
            <a:ahLst/>
            <a:cxnLst/>
            <a:rect l="0" t="0" r="0" b="0"/>
            <a:pathLst>
              <a:path w="601345" h="1423035">
                <a:moveTo>
                  <a:pt x="101079" y="83223"/>
                </a:moveTo>
                <a:lnTo>
                  <a:pt x="0" y="103416"/>
                </a:lnTo>
                <a:lnTo>
                  <a:pt x="101079" y="123659"/>
                </a:lnTo>
                <a:lnTo>
                  <a:pt x="101079" y="83223"/>
                </a:lnTo>
                <a:close/>
              </a:path>
              <a:path w="601345" h="1423035">
                <a:moveTo>
                  <a:pt x="244563" y="1402613"/>
                </a:moveTo>
                <a:lnTo>
                  <a:pt x="143484" y="1382395"/>
                </a:lnTo>
                <a:lnTo>
                  <a:pt x="143484" y="1422831"/>
                </a:lnTo>
                <a:lnTo>
                  <a:pt x="244563" y="1402613"/>
                </a:lnTo>
                <a:close/>
              </a:path>
              <a:path w="601345" h="1423035">
                <a:moveTo>
                  <a:pt x="268859" y="20777"/>
                </a:moveTo>
                <a:lnTo>
                  <a:pt x="267093" y="11861"/>
                </a:lnTo>
                <a:lnTo>
                  <a:pt x="262280" y="5346"/>
                </a:lnTo>
                <a:lnTo>
                  <a:pt x="255104" y="1358"/>
                </a:lnTo>
                <a:lnTo>
                  <a:pt x="246240" y="0"/>
                </a:lnTo>
                <a:lnTo>
                  <a:pt x="236054" y="1930"/>
                </a:lnTo>
                <a:lnTo>
                  <a:pt x="228612" y="7277"/>
                </a:lnTo>
                <a:lnTo>
                  <a:pt x="224180" y="15379"/>
                </a:lnTo>
                <a:lnTo>
                  <a:pt x="223012" y="25565"/>
                </a:lnTo>
                <a:lnTo>
                  <a:pt x="231648" y="25565"/>
                </a:lnTo>
                <a:lnTo>
                  <a:pt x="231368" y="16903"/>
                </a:lnTo>
                <a:lnTo>
                  <a:pt x="235648" y="7632"/>
                </a:lnTo>
                <a:lnTo>
                  <a:pt x="253377" y="7632"/>
                </a:lnTo>
                <a:lnTo>
                  <a:pt x="259664" y="12827"/>
                </a:lnTo>
                <a:lnTo>
                  <a:pt x="259664" y="20675"/>
                </a:lnTo>
                <a:lnTo>
                  <a:pt x="258508" y="27266"/>
                </a:lnTo>
                <a:lnTo>
                  <a:pt x="255041" y="32588"/>
                </a:lnTo>
                <a:lnTo>
                  <a:pt x="249288" y="37465"/>
                </a:lnTo>
                <a:lnTo>
                  <a:pt x="241249" y="42672"/>
                </a:lnTo>
                <a:lnTo>
                  <a:pt x="233984" y="47548"/>
                </a:lnTo>
                <a:lnTo>
                  <a:pt x="227825" y="53403"/>
                </a:lnTo>
                <a:lnTo>
                  <a:pt x="223316" y="61277"/>
                </a:lnTo>
                <a:lnTo>
                  <a:pt x="220980" y="72224"/>
                </a:lnTo>
                <a:lnTo>
                  <a:pt x="268122" y="72224"/>
                </a:lnTo>
                <a:lnTo>
                  <a:pt x="268122" y="64579"/>
                </a:lnTo>
                <a:lnTo>
                  <a:pt x="231063" y="64579"/>
                </a:lnTo>
                <a:lnTo>
                  <a:pt x="233680" y="58597"/>
                </a:lnTo>
                <a:lnTo>
                  <a:pt x="238442" y="53759"/>
                </a:lnTo>
                <a:lnTo>
                  <a:pt x="244576" y="49568"/>
                </a:lnTo>
                <a:lnTo>
                  <a:pt x="251333" y="45529"/>
                </a:lnTo>
                <a:lnTo>
                  <a:pt x="257848" y="41084"/>
                </a:lnTo>
                <a:lnTo>
                  <a:pt x="263448" y="35826"/>
                </a:lnTo>
                <a:lnTo>
                  <a:pt x="267373" y="29235"/>
                </a:lnTo>
                <a:lnTo>
                  <a:pt x="268859" y="20777"/>
                </a:lnTo>
                <a:close/>
              </a:path>
              <a:path w="601345" h="1423035">
                <a:moveTo>
                  <a:pt x="311416" y="0"/>
                </a:moveTo>
                <a:lnTo>
                  <a:pt x="304812" y="0"/>
                </a:lnTo>
                <a:lnTo>
                  <a:pt x="302856" y="10896"/>
                </a:lnTo>
                <a:lnTo>
                  <a:pt x="293916" y="13550"/>
                </a:lnTo>
                <a:lnTo>
                  <a:pt x="284035" y="13550"/>
                </a:lnTo>
                <a:lnTo>
                  <a:pt x="284035" y="20472"/>
                </a:lnTo>
                <a:lnTo>
                  <a:pt x="302780" y="20472"/>
                </a:lnTo>
                <a:lnTo>
                  <a:pt x="302780" y="72224"/>
                </a:lnTo>
                <a:lnTo>
                  <a:pt x="311416" y="72224"/>
                </a:lnTo>
                <a:lnTo>
                  <a:pt x="311416" y="0"/>
                </a:lnTo>
                <a:close/>
              </a:path>
              <a:path w="601345" h="1423035">
                <a:moveTo>
                  <a:pt x="384175" y="36766"/>
                </a:moveTo>
                <a:lnTo>
                  <a:pt x="383603" y="24282"/>
                </a:lnTo>
                <a:lnTo>
                  <a:pt x="380631" y="12382"/>
                </a:lnTo>
                <a:lnTo>
                  <a:pt x="376783" y="7632"/>
                </a:lnTo>
                <a:lnTo>
                  <a:pt x="374980" y="5410"/>
                </a:lnTo>
                <a:lnTo>
                  <a:pt x="374980" y="36766"/>
                </a:lnTo>
                <a:lnTo>
                  <a:pt x="374738" y="45783"/>
                </a:lnTo>
                <a:lnTo>
                  <a:pt x="373100" y="55295"/>
                </a:lnTo>
                <a:lnTo>
                  <a:pt x="368693" y="62776"/>
                </a:lnTo>
                <a:lnTo>
                  <a:pt x="360133" y="65811"/>
                </a:lnTo>
                <a:lnTo>
                  <a:pt x="351574" y="62776"/>
                </a:lnTo>
                <a:lnTo>
                  <a:pt x="347154" y="55295"/>
                </a:lnTo>
                <a:lnTo>
                  <a:pt x="345503" y="45783"/>
                </a:lnTo>
                <a:lnTo>
                  <a:pt x="345274" y="36766"/>
                </a:lnTo>
                <a:lnTo>
                  <a:pt x="345503" y="27622"/>
                </a:lnTo>
                <a:lnTo>
                  <a:pt x="347154" y="18135"/>
                </a:lnTo>
                <a:lnTo>
                  <a:pt x="351574" y="10668"/>
                </a:lnTo>
                <a:lnTo>
                  <a:pt x="360133" y="7632"/>
                </a:lnTo>
                <a:lnTo>
                  <a:pt x="368693" y="10668"/>
                </a:lnTo>
                <a:lnTo>
                  <a:pt x="373100" y="18135"/>
                </a:lnTo>
                <a:lnTo>
                  <a:pt x="374738" y="27622"/>
                </a:lnTo>
                <a:lnTo>
                  <a:pt x="374980" y="36766"/>
                </a:lnTo>
                <a:lnTo>
                  <a:pt x="374980" y="5410"/>
                </a:lnTo>
                <a:lnTo>
                  <a:pt x="373430" y="3492"/>
                </a:lnTo>
                <a:lnTo>
                  <a:pt x="360133" y="0"/>
                </a:lnTo>
                <a:lnTo>
                  <a:pt x="346837" y="3492"/>
                </a:lnTo>
                <a:lnTo>
                  <a:pt x="339623" y="12382"/>
                </a:lnTo>
                <a:lnTo>
                  <a:pt x="336651" y="24282"/>
                </a:lnTo>
                <a:lnTo>
                  <a:pt x="336067" y="36766"/>
                </a:lnTo>
                <a:lnTo>
                  <a:pt x="336651" y="49212"/>
                </a:lnTo>
                <a:lnTo>
                  <a:pt x="339623" y="61074"/>
                </a:lnTo>
                <a:lnTo>
                  <a:pt x="346837" y="69951"/>
                </a:lnTo>
                <a:lnTo>
                  <a:pt x="360133" y="73444"/>
                </a:lnTo>
                <a:lnTo>
                  <a:pt x="373430" y="69951"/>
                </a:lnTo>
                <a:lnTo>
                  <a:pt x="376783" y="65811"/>
                </a:lnTo>
                <a:lnTo>
                  <a:pt x="380631" y="61074"/>
                </a:lnTo>
                <a:lnTo>
                  <a:pt x="383603" y="49212"/>
                </a:lnTo>
                <a:lnTo>
                  <a:pt x="384175" y="36766"/>
                </a:lnTo>
                <a:close/>
              </a:path>
              <a:path w="601345" h="1423035">
                <a:moveTo>
                  <a:pt x="459257" y="1382395"/>
                </a:moveTo>
                <a:lnTo>
                  <a:pt x="358178" y="1402613"/>
                </a:lnTo>
                <a:lnTo>
                  <a:pt x="459257" y="1422831"/>
                </a:lnTo>
                <a:lnTo>
                  <a:pt x="459257" y="1382395"/>
                </a:lnTo>
                <a:close/>
              </a:path>
              <a:path w="601345" h="1423035">
                <a:moveTo>
                  <a:pt x="601154" y="103416"/>
                </a:moveTo>
                <a:lnTo>
                  <a:pt x="500075" y="83223"/>
                </a:lnTo>
                <a:lnTo>
                  <a:pt x="500075" y="123659"/>
                </a:lnTo>
                <a:lnTo>
                  <a:pt x="601154" y="103416"/>
                </a:lnTo>
                <a:close/>
              </a:path>
            </a:pathLst>
          </a:custGeom>
          <a:solidFill>
            <a:srgbClr val="000000"/>
          </a:solidFill>
        </xdr:spPr>
      </xdr:sp>
    </xdr:grpSp>
    <xdr:clientData/>
  </xdr:oneCellAnchor>
  <xdr:oneCellAnchor>
    <xdr:from>
      <xdr:col>6</xdr:col>
      <xdr:colOff>0</xdr:colOff>
      <xdr:row>116</xdr:row>
      <xdr:rowOff>162693</xdr:rowOff>
    </xdr:from>
    <xdr:ext cx="0" cy="139700"/>
    <xdr:sp macro="" textlink="">
      <xdr:nvSpPr>
        <xdr:cNvPr id="122" name="Shape 599">
          <a:extLst>
            <a:ext uri="{FF2B5EF4-FFF2-40B4-BE49-F238E27FC236}">
              <a16:creationId xmlns:a16="http://schemas.microsoft.com/office/drawing/2014/main" id="{01932383-B9E1-4A8D-B9C3-A824514039F7}"/>
            </a:ext>
          </a:extLst>
        </xdr:cNvPr>
        <xdr:cNvSpPr/>
      </xdr:nvSpPr>
      <xdr:spPr>
        <a:xfrm>
          <a:off x="3124200" y="30693493"/>
          <a:ext cx="0" cy="139700"/>
        </a:xfrm>
        <a:custGeom>
          <a:avLst/>
          <a:gdLst/>
          <a:ahLst/>
          <a:cxnLst/>
          <a:rect l="0" t="0" r="0" b="0"/>
          <a:pathLst>
            <a:path h="139700">
              <a:moveTo>
                <a:pt x="0" y="139103"/>
              </a:moveTo>
              <a:lnTo>
                <a:pt x="0" y="0"/>
              </a:lnTo>
            </a:path>
          </a:pathLst>
        </a:custGeom>
        <a:ln w="3175">
          <a:solidFill>
            <a:srgbClr val="000000"/>
          </a:solidFill>
        </a:ln>
      </xdr:spPr>
    </xdr:sp>
    <xdr:clientData/>
  </xdr:oneCellAnchor>
  <xdr:oneCellAnchor>
    <xdr:from>
      <xdr:col>5</xdr:col>
      <xdr:colOff>0</xdr:colOff>
      <xdr:row>134</xdr:row>
      <xdr:rowOff>661821</xdr:rowOff>
    </xdr:from>
    <xdr:ext cx="424180" cy="1175385"/>
    <xdr:grpSp>
      <xdr:nvGrpSpPr>
        <xdr:cNvPr id="123" name="Group 622">
          <a:extLst>
            <a:ext uri="{FF2B5EF4-FFF2-40B4-BE49-F238E27FC236}">
              <a16:creationId xmlns:a16="http://schemas.microsoft.com/office/drawing/2014/main" id="{42C49A9A-E748-4532-9552-B0D5AE3C5306}"/>
            </a:ext>
          </a:extLst>
        </xdr:cNvPr>
        <xdr:cNvGrpSpPr/>
      </xdr:nvGrpSpPr>
      <xdr:grpSpPr>
        <a:xfrm>
          <a:off x="2476500" y="33484971"/>
          <a:ext cx="424180" cy="1175385"/>
          <a:chOff x="0" y="0"/>
          <a:chExt cx="424180" cy="1175385"/>
        </a:xfrm>
      </xdr:grpSpPr>
      <xdr:sp macro="" textlink="">
        <xdr:nvSpPr>
          <xdr:cNvPr id="124" name="Shape 623">
            <a:extLst>
              <a:ext uri="{FF2B5EF4-FFF2-40B4-BE49-F238E27FC236}">
                <a16:creationId xmlns:a16="http://schemas.microsoft.com/office/drawing/2014/main" id="{3917B928-4673-5ADD-27A2-55648C10441E}"/>
              </a:ext>
            </a:extLst>
          </xdr:cNvPr>
          <xdr:cNvSpPr/>
        </xdr:nvSpPr>
        <xdr:spPr>
          <a:xfrm>
            <a:off x="122227" y="315099"/>
            <a:ext cx="175895" cy="855344"/>
          </a:xfrm>
          <a:custGeom>
            <a:avLst/>
            <a:gdLst/>
            <a:ahLst/>
            <a:cxnLst/>
            <a:rect l="0" t="0" r="0" b="0"/>
            <a:pathLst>
              <a:path w="175895" h="855344">
                <a:moveTo>
                  <a:pt x="175514" y="35382"/>
                </a:moveTo>
                <a:lnTo>
                  <a:pt x="172732" y="21615"/>
                </a:lnTo>
                <a:lnTo>
                  <a:pt x="165150" y="10363"/>
                </a:lnTo>
                <a:lnTo>
                  <a:pt x="153911" y="2781"/>
                </a:lnTo>
                <a:lnTo>
                  <a:pt x="140131" y="0"/>
                </a:lnTo>
                <a:lnTo>
                  <a:pt x="35394" y="0"/>
                </a:lnTo>
                <a:lnTo>
                  <a:pt x="21615" y="2781"/>
                </a:lnTo>
                <a:lnTo>
                  <a:pt x="10363" y="10363"/>
                </a:lnTo>
                <a:lnTo>
                  <a:pt x="2781" y="21615"/>
                </a:lnTo>
                <a:lnTo>
                  <a:pt x="0" y="35382"/>
                </a:lnTo>
                <a:lnTo>
                  <a:pt x="0" y="819492"/>
                </a:lnTo>
                <a:lnTo>
                  <a:pt x="2781" y="833272"/>
                </a:lnTo>
                <a:lnTo>
                  <a:pt x="10363" y="844511"/>
                </a:lnTo>
                <a:lnTo>
                  <a:pt x="21615" y="852093"/>
                </a:lnTo>
                <a:lnTo>
                  <a:pt x="35394" y="854875"/>
                </a:lnTo>
                <a:lnTo>
                  <a:pt x="140131" y="854875"/>
                </a:lnTo>
                <a:lnTo>
                  <a:pt x="153911" y="852093"/>
                </a:lnTo>
                <a:lnTo>
                  <a:pt x="165150" y="844511"/>
                </a:lnTo>
                <a:lnTo>
                  <a:pt x="172732" y="833272"/>
                </a:lnTo>
                <a:lnTo>
                  <a:pt x="175514" y="819492"/>
                </a:lnTo>
                <a:lnTo>
                  <a:pt x="175514" y="35382"/>
                </a:lnTo>
                <a:close/>
              </a:path>
            </a:pathLst>
          </a:custGeom>
          <a:solidFill>
            <a:srgbClr val="E3E3E3"/>
          </a:solidFill>
        </xdr:spPr>
      </xdr:sp>
      <xdr:sp macro="" textlink="">
        <xdr:nvSpPr>
          <xdr:cNvPr id="125" name="Shape 624">
            <a:extLst>
              <a:ext uri="{FF2B5EF4-FFF2-40B4-BE49-F238E27FC236}">
                <a16:creationId xmlns:a16="http://schemas.microsoft.com/office/drawing/2014/main" id="{89936FA8-FCA5-841B-F519-3A517D2B7987}"/>
              </a:ext>
            </a:extLst>
          </xdr:cNvPr>
          <xdr:cNvSpPr/>
        </xdr:nvSpPr>
        <xdr:spPr>
          <a:xfrm>
            <a:off x="144898" y="330659"/>
            <a:ext cx="130810" cy="824230"/>
          </a:xfrm>
          <a:custGeom>
            <a:avLst/>
            <a:gdLst/>
            <a:ahLst/>
            <a:cxnLst/>
            <a:rect l="0" t="0" r="0" b="0"/>
            <a:pathLst>
              <a:path w="130810" h="824230">
                <a:moveTo>
                  <a:pt x="130187" y="65112"/>
                </a:moveTo>
                <a:lnTo>
                  <a:pt x="125073" y="39765"/>
                </a:lnTo>
                <a:lnTo>
                  <a:pt x="111126" y="19069"/>
                </a:lnTo>
                <a:lnTo>
                  <a:pt x="90438" y="5116"/>
                </a:lnTo>
                <a:lnTo>
                  <a:pt x="65100" y="0"/>
                </a:lnTo>
                <a:lnTo>
                  <a:pt x="39754" y="5116"/>
                </a:lnTo>
                <a:lnTo>
                  <a:pt x="19062" y="19069"/>
                </a:lnTo>
                <a:lnTo>
                  <a:pt x="5114" y="39765"/>
                </a:lnTo>
                <a:lnTo>
                  <a:pt x="0" y="65112"/>
                </a:lnTo>
                <a:lnTo>
                  <a:pt x="5114" y="90454"/>
                </a:lnTo>
                <a:lnTo>
                  <a:pt x="19062" y="111151"/>
                </a:lnTo>
                <a:lnTo>
                  <a:pt x="39754" y="125107"/>
                </a:lnTo>
                <a:lnTo>
                  <a:pt x="65100" y="130225"/>
                </a:lnTo>
                <a:lnTo>
                  <a:pt x="90438" y="125107"/>
                </a:lnTo>
                <a:lnTo>
                  <a:pt x="111126" y="111151"/>
                </a:lnTo>
                <a:lnTo>
                  <a:pt x="125073" y="90454"/>
                </a:lnTo>
                <a:lnTo>
                  <a:pt x="130187" y="65112"/>
                </a:lnTo>
                <a:close/>
              </a:path>
              <a:path w="130810" h="824230">
                <a:moveTo>
                  <a:pt x="130187" y="758621"/>
                </a:moveTo>
                <a:lnTo>
                  <a:pt x="125073" y="733289"/>
                </a:lnTo>
                <a:lnTo>
                  <a:pt x="111126" y="712600"/>
                </a:lnTo>
                <a:lnTo>
                  <a:pt x="90438" y="698650"/>
                </a:lnTo>
                <a:lnTo>
                  <a:pt x="65100" y="693534"/>
                </a:lnTo>
                <a:lnTo>
                  <a:pt x="39754" y="698650"/>
                </a:lnTo>
                <a:lnTo>
                  <a:pt x="19062" y="712600"/>
                </a:lnTo>
                <a:lnTo>
                  <a:pt x="5114" y="733289"/>
                </a:lnTo>
                <a:lnTo>
                  <a:pt x="0" y="758621"/>
                </a:lnTo>
                <a:lnTo>
                  <a:pt x="5114" y="783974"/>
                </a:lnTo>
                <a:lnTo>
                  <a:pt x="19062" y="804670"/>
                </a:lnTo>
                <a:lnTo>
                  <a:pt x="39754" y="818620"/>
                </a:lnTo>
                <a:lnTo>
                  <a:pt x="65100" y="823734"/>
                </a:lnTo>
                <a:lnTo>
                  <a:pt x="90438" y="818620"/>
                </a:lnTo>
                <a:lnTo>
                  <a:pt x="111126" y="804670"/>
                </a:lnTo>
                <a:lnTo>
                  <a:pt x="125073" y="783974"/>
                </a:lnTo>
                <a:lnTo>
                  <a:pt x="130187" y="758621"/>
                </a:lnTo>
                <a:close/>
              </a:path>
            </a:pathLst>
          </a:custGeom>
          <a:ln w="10083">
            <a:solidFill>
              <a:srgbClr val="000000"/>
            </a:solidFill>
          </a:ln>
        </xdr:spPr>
      </xdr:sp>
      <xdr:sp macro="" textlink="">
        <xdr:nvSpPr>
          <xdr:cNvPr id="126" name="Shape 625">
            <a:extLst>
              <a:ext uri="{FF2B5EF4-FFF2-40B4-BE49-F238E27FC236}">
                <a16:creationId xmlns:a16="http://schemas.microsoft.com/office/drawing/2014/main" id="{4251D4E0-B213-5EE0-B3F2-7CF4BE61C99E}"/>
              </a:ext>
            </a:extLst>
          </xdr:cNvPr>
          <xdr:cNvSpPr/>
        </xdr:nvSpPr>
        <xdr:spPr>
          <a:xfrm>
            <a:off x="122232" y="315095"/>
            <a:ext cx="175895" cy="855344"/>
          </a:xfrm>
          <a:custGeom>
            <a:avLst/>
            <a:gdLst/>
            <a:ahLst/>
            <a:cxnLst/>
            <a:rect l="0" t="0" r="0" b="0"/>
            <a:pathLst>
              <a:path w="175895" h="855344">
                <a:moveTo>
                  <a:pt x="35394" y="0"/>
                </a:moveTo>
                <a:lnTo>
                  <a:pt x="21618" y="2779"/>
                </a:lnTo>
                <a:lnTo>
                  <a:pt x="10367" y="10361"/>
                </a:lnTo>
                <a:lnTo>
                  <a:pt x="2781" y="21608"/>
                </a:lnTo>
                <a:lnTo>
                  <a:pt x="0" y="35382"/>
                </a:lnTo>
              </a:path>
              <a:path w="175895" h="855344">
                <a:moveTo>
                  <a:pt x="175514" y="35382"/>
                </a:moveTo>
                <a:lnTo>
                  <a:pt x="172735" y="21608"/>
                </a:lnTo>
                <a:lnTo>
                  <a:pt x="165157" y="10361"/>
                </a:lnTo>
                <a:lnTo>
                  <a:pt x="153911" y="2779"/>
                </a:lnTo>
                <a:lnTo>
                  <a:pt x="140131" y="0"/>
                </a:lnTo>
              </a:path>
              <a:path w="175895" h="855344">
                <a:moveTo>
                  <a:pt x="0" y="819492"/>
                </a:moveTo>
                <a:lnTo>
                  <a:pt x="2781" y="833261"/>
                </a:lnTo>
                <a:lnTo>
                  <a:pt x="10367" y="844508"/>
                </a:lnTo>
                <a:lnTo>
                  <a:pt x="21618" y="852093"/>
                </a:lnTo>
                <a:lnTo>
                  <a:pt x="35394" y="854875"/>
                </a:lnTo>
              </a:path>
              <a:path w="175895" h="855344">
                <a:moveTo>
                  <a:pt x="140131" y="854875"/>
                </a:moveTo>
                <a:lnTo>
                  <a:pt x="153911" y="852093"/>
                </a:lnTo>
                <a:lnTo>
                  <a:pt x="165157" y="844508"/>
                </a:lnTo>
                <a:lnTo>
                  <a:pt x="172735" y="833261"/>
                </a:lnTo>
                <a:lnTo>
                  <a:pt x="175514" y="819492"/>
                </a:lnTo>
              </a:path>
              <a:path w="175895" h="855344">
                <a:moveTo>
                  <a:pt x="38214" y="774192"/>
                </a:moveTo>
                <a:lnTo>
                  <a:pt x="63017" y="817092"/>
                </a:lnTo>
              </a:path>
              <a:path w="175895" h="855344">
                <a:moveTo>
                  <a:pt x="38214" y="774192"/>
                </a:moveTo>
                <a:lnTo>
                  <a:pt x="63017" y="731291"/>
                </a:lnTo>
              </a:path>
              <a:path w="175895" h="855344">
                <a:moveTo>
                  <a:pt x="38214" y="80670"/>
                </a:moveTo>
                <a:lnTo>
                  <a:pt x="63017" y="123583"/>
                </a:lnTo>
              </a:path>
              <a:path w="175895" h="855344">
                <a:moveTo>
                  <a:pt x="38214" y="80670"/>
                </a:moveTo>
                <a:lnTo>
                  <a:pt x="63017" y="37769"/>
                </a:lnTo>
              </a:path>
              <a:path w="175895" h="855344">
                <a:moveTo>
                  <a:pt x="137287" y="774192"/>
                </a:moveTo>
                <a:lnTo>
                  <a:pt x="112534" y="817092"/>
                </a:lnTo>
              </a:path>
              <a:path w="175895" h="855344">
                <a:moveTo>
                  <a:pt x="137287" y="774192"/>
                </a:moveTo>
                <a:lnTo>
                  <a:pt x="112534" y="731291"/>
                </a:lnTo>
              </a:path>
              <a:path w="175895" h="855344">
                <a:moveTo>
                  <a:pt x="137287" y="80670"/>
                </a:moveTo>
                <a:lnTo>
                  <a:pt x="112534" y="123583"/>
                </a:lnTo>
              </a:path>
              <a:path w="175895" h="855344">
                <a:moveTo>
                  <a:pt x="137287" y="80670"/>
                </a:moveTo>
                <a:lnTo>
                  <a:pt x="112534" y="37769"/>
                </a:lnTo>
              </a:path>
            </a:pathLst>
          </a:custGeom>
          <a:ln w="10083">
            <a:solidFill>
              <a:srgbClr val="000000"/>
            </a:solidFill>
          </a:ln>
        </xdr:spPr>
      </xdr:sp>
      <xdr:sp macro="" textlink="">
        <xdr:nvSpPr>
          <xdr:cNvPr id="127" name="Shape 626">
            <a:extLst>
              <a:ext uri="{FF2B5EF4-FFF2-40B4-BE49-F238E27FC236}">
                <a16:creationId xmlns:a16="http://schemas.microsoft.com/office/drawing/2014/main" id="{2D9C8EBE-1784-03EA-896C-5E1D95867CEB}"/>
              </a:ext>
            </a:extLst>
          </xdr:cNvPr>
          <xdr:cNvSpPr/>
        </xdr:nvSpPr>
        <xdr:spPr>
          <a:xfrm>
            <a:off x="0" y="43759"/>
            <a:ext cx="424180" cy="250190"/>
          </a:xfrm>
          <a:custGeom>
            <a:avLst/>
            <a:gdLst/>
            <a:ahLst/>
            <a:cxnLst/>
            <a:rect l="0" t="0" r="0" b="0"/>
            <a:pathLst>
              <a:path w="424180" h="250190">
                <a:moveTo>
                  <a:pt x="122237" y="250101"/>
                </a:moveTo>
                <a:lnTo>
                  <a:pt x="122237" y="0"/>
                </a:lnTo>
              </a:path>
              <a:path w="424180" h="250190">
                <a:moveTo>
                  <a:pt x="297751" y="250101"/>
                </a:moveTo>
                <a:lnTo>
                  <a:pt x="297751" y="0"/>
                </a:lnTo>
              </a:path>
              <a:path w="424180" h="250190">
                <a:moveTo>
                  <a:pt x="0" y="56616"/>
                </a:moveTo>
                <a:lnTo>
                  <a:pt x="62255" y="56616"/>
                </a:lnTo>
              </a:path>
              <a:path w="424180" h="250190">
                <a:moveTo>
                  <a:pt x="361657" y="56616"/>
                </a:moveTo>
                <a:lnTo>
                  <a:pt x="423913" y="56616"/>
                </a:lnTo>
              </a:path>
              <a:path w="424180" h="250190">
                <a:moveTo>
                  <a:pt x="123482" y="56616"/>
                </a:moveTo>
                <a:lnTo>
                  <a:pt x="299910" y="56616"/>
                </a:lnTo>
              </a:path>
            </a:pathLst>
          </a:custGeom>
          <a:ln w="6045">
            <a:solidFill>
              <a:srgbClr val="000000"/>
            </a:solidFill>
          </a:ln>
        </xdr:spPr>
      </xdr:sp>
      <xdr:sp macro="" textlink="">
        <xdr:nvSpPr>
          <xdr:cNvPr id="128" name="Shape 627">
            <a:extLst>
              <a:ext uri="{FF2B5EF4-FFF2-40B4-BE49-F238E27FC236}">
                <a16:creationId xmlns:a16="http://schemas.microsoft.com/office/drawing/2014/main" id="{1D53AE7C-489A-1ECE-1D70-7E580C25FBDC}"/>
              </a:ext>
            </a:extLst>
          </xdr:cNvPr>
          <xdr:cNvSpPr/>
        </xdr:nvSpPr>
        <xdr:spPr>
          <a:xfrm>
            <a:off x="21325" y="0"/>
            <a:ext cx="379095" cy="120650"/>
          </a:xfrm>
          <a:custGeom>
            <a:avLst/>
            <a:gdLst/>
            <a:ahLst/>
            <a:cxnLst/>
            <a:rect l="0" t="0" r="0" b="0"/>
            <a:pathLst>
              <a:path w="379095" h="120650">
                <a:moveTo>
                  <a:pt x="99999" y="100393"/>
                </a:moveTo>
                <a:lnTo>
                  <a:pt x="0" y="80378"/>
                </a:lnTo>
                <a:lnTo>
                  <a:pt x="0" y="120383"/>
                </a:lnTo>
                <a:lnTo>
                  <a:pt x="99999" y="100393"/>
                </a:lnTo>
                <a:close/>
              </a:path>
              <a:path w="379095" h="120650">
                <a:moveTo>
                  <a:pt x="187248" y="48704"/>
                </a:moveTo>
                <a:lnTo>
                  <a:pt x="185902" y="40424"/>
                </a:lnTo>
                <a:lnTo>
                  <a:pt x="185877" y="40233"/>
                </a:lnTo>
                <a:lnTo>
                  <a:pt x="185750" y="39497"/>
                </a:lnTo>
                <a:lnTo>
                  <a:pt x="181991" y="33070"/>
                </a:lnTo>
                <a:lnTo>
                  <a:pt x="181444" y="32143"/>
                </a:lnTo>
                <a:lnTo>
                  <a:pt x="178168" y="29832"/>
                </a:lnTo>
                <a:lnTo>
                  <a:pt x="178168" y="57759"/>
                </a:lnTo>
                <a:lnTo>
                  <a:pt x="173037" y="65125"/>
                </a:lnTo>
                <a:lnTo>
                  <a:pt x="154381" y="65125"/>
                </a:lnTo>
                <a:lnTo>
                  <a:pt x="148958" y="58077"/>
                </a:lnTo>
                <a:lnTo>
                  <a:pt x="148958" y="40233"/>
                </a:lnTo>
                <a:lnTo>
                  <a:pt x="152844" y="34886"/>
                </a:lnTo>
                <a:lnTo>
                  <a:pt x="154178" y="33070"/>
                </a:lnTo>
                <a:lnTo>
                  <a:pt x="173532" y="33070"/>
                </a:lnTo>
                <a:lnTo>
                  <a:pt x="178041" y="40233"/>
                </a:lnTo>
                <a:lnTo>
                  <a:pt x="178168" y="57759"/>
                </a:lnTo>
                <a:lnTo>
                  <a:pt x="178168" y="29832"/>
                </a:lnTo>
                <a:lnTo>
                  <a:pt x="174574" y="27279"/>
                </a:lnTo>
                <a:lnTo>
                  <a:pt x="165366" y="25514"/>
                </a:lnTo>
                <a:lnTo>
                  <a:pt x="157607" y="25514"/>
                </a:lnTo>
                <a:lnTo>
                  <a:pt x="151561" y="28333"/>
                </a:lnTo>
                <a:lnTo>
                  <a:pt x="147637" y="34683"/>
                </a:lnTo>
                <a:lnTo>
                  <a:pt x="147523" y="34886"/>
                </a:lnTo>
                <a:lnTo>
                  <a:pt x="147345" y="34683"/>
                </a:lnTo>
                <a:lnTo>
                  <a:pt x="148145" y="25806"/>
                </a:lnTo>
                <a:lnTo>
                  <a:pt x="150660" y="17005"/>
                </a:lnTo>
                <a:lnTo>
                  <a:pt x="155841" y="10261"/>
                </a:lnTo>
                <a:lnTo>
                  <a:pt x="164668" y="7569"/>
                </a:lnTo>
                <a:lnTo>
                  <a:pt x="171424" y="7569"/>
                </a:lnTo>
                <a:lnTo>
                  <a:pt x="175869" y="11798"/>
                </a:lnTo>
                <a:lnTo>
                  <a:pt x="176682" y="18249"/>
                </a:lnTo>
                <a:lnTo>
                  <a:pt x="185229" y="18249"/>
                </a:lnTo>
                <a:lnTo>
                  <a:pt x="183311" y="10515"/>
                </a:lnTo>
                <a:lnTo>
                  <a:pt x="181190" y="7569"/>
                </a:lnTo>
                <a:lnTo>
                  <a:pt x="179197" y="4787"/>
                </a:lnTo>
                <a:lnTo>
                  <a:pt x="173050" y="1231"/>
                </a:lnTo>
                <a:lnTo>
                  <a:pt x="165061" y="12"/>
                </a:lnTo>
                <a:lnTo>
                  <a:pt x="152374" y="3225"/>
                </a:lnTo>
                <a:lnTo>
                  <a:pt x="144284" y="11798"/>
                </a:lnTo>
                <a:lnTo>
                  <a:pt x="140017" y="24028"/>
                </a:lnTo>
                <a:lnTo>
                  <a:pt x="138772" y="38315"/>
                </a:lnTo>
                <a:lnTo>
                  <a:pt x="139534" y="48704"/>
                </a:lnTo>
                <a:lnTo>
                  <a:pt x="139636" y="50025"/>
                </a:lnTo>
                <a:lnTo>
                  <a:pt x="143129" y="61137"/>
                </a:lnTo>
                <a:lnTo>
                  <a:pt x="150583" y="69430"/>
                </a:lnTo>
                <a:lnTo>
                  <a:pt x="163347" y="72694"/>
                </a:lnTo>
                <a:lnTo>
                  <a:pt x="174688" y="70396"/>
                </a:lnTo>
                <a:lnTo>
                  <a:pt x="181381" y="65125"/>
                </a:lnTo>
                <a:lnTo>
                  <a:pt x="182054" y="64592"/>
                </a:lnTo>
                <a:lnTo>
                  <a:pt x="186042" y="56832"/>
                </a:lnTo>
                <a:lnTo>
                  <a:pt x="187248" y="48704"/>
                </a:lnTo>
                <a:close/>
              </a:path>
              <a:path w="379095" h="120650">
                <a:moveTo>
                  <a:pt x="240766" y="20561"/>
                </a:moveTo>
                <a:lnTo>
                  <a:pt x="239026" y="11734"/>
                </a:lnTo>
                <a:lnTo>
                  <a:pt x="234264" y="5295"/>
                </a:lnTo>
                <a:lnTo>
                  <a:pt x="227152" y="1346"/>
                </a:lnTo>
                <a:lnTo>
                  <a:pt x="218389" y="0"/>
                </a:lnTo>
                <a:lnTo>
                  <a:pt x="208318" y="1917"/>
                </a:lnTo>
                <a:lnTo>
                  <a:pt x="200964" y="7213"/>
                </a:lnTo>
                <a:lnTo>
                  <a:pt x="196570" y="15227"/>
                </a:lnTo>
                <a:lnTo>
                  <a:pt x="195402" y="25298"/>
                </a:lnTo>
                <a:lnTo>
                  <a:pt x="203974" y="25298"/>
                </a:lnTo>
                <a:lnTo>
                  <a:pt x="203669" y="16738"/>
                </a:lnTo>
                <a:lnTo>
                  <a:pt x="207911" y="7556"/>
                </a:lnTo>
                <a:lnTo>
                  <a:pt x="225463" y="7556"/>
                </a:lnTo>
                <a:lnTo>
                  <a:pt x="231698" y="12700"/>
                </a:lnTo>
                <a:lnTo>
                  <a:pt x="231698" y="20459"/>
                </a:lnTo>
                <a:lnTo>
                  <a:pt x="230543" y="26987"/>
                </a:lnTo>
                <a:lnTo>
                  <a:pt x="227114" y="32258"/>
                </a:lnTo>
                <a:lnTo>
                  <a:pt x="221399" y="37084"/>
                </a:lnTo>
                <a:lnTo>
                  <a:pt x="213448" y="42227"/>
                </a:lnTo>
                <a:lnTo>
                  <a:pt x="206260" y="47066"/>
                </a:lnTo>
                <a:lnTo>
                  <a:pt x="200164" y="52844"/>
                </a:lnTo>
                <a:lnTo>
                  <a:pt x="195707" y="60642"/>
                </a:lnTo>
                <a:lnTo>
                  <a:pt x="193408" y="71462"/>
                </a:lnTo>
                <a:lnTo>
                  <a:pt x="240068" y="71462"/>
                </a:lnTo>
                <a:lnTo>
                  <a:pt x="240068" y="63906"/>
                </a:lnTo>
                <a:lnTo>
                  <a:pt x="203365" y="63906"/>
                </a:lnTo>
                <a:lnTo>
                  <a:pt x="205968" y="57988"/>
                </a:lnTo>
                <a:lnTo>
                  <a:pt x="210693" y="53200"/>
                </a:lnTo>
                <a:lnTo>
                  <a:pt x="216763" y="49060"/>
                </a:lnTo>
                <a:lnTo>
                  <a:pt x="223431" y="45059"/>
                </a:lnTo>
                <a:lnTo>
                  <a:pt x="229882" y="40665"/>
                </a:lnTo>
                <a:lnTo>
                  <a:pt x="235419" y="35458"/>
                </a:lnTo>
                <a:lnTo>
                  <a:pt x="239306" y="28930"/>
                </a:lnTo>
                <a:lnTo>
                  <a:pt x="240766" y="20561"/>
                </a:lnTo>
                <a:close/>
              </a:path>
              <a:path w="379095" h="120650">
                <a:moveTo>
                  <a:pt x="378612" y="80378"/>
                </a:moveTo>
                <a:lnTo>
                  <a:pt x="278574" y="100393"/>
                </a:lnTo>
                <a:lnTo>
                  <a:pt x="378612" y="120383"/>
                </a:lnTo>
                <a:lnTo>
                  <a:pt x="378612" y="80378"/>
                </a:lnTo>
                <a:close/>
              </a:path>
            </a:pathLst>
          </a:custGeom>
          <a:solidFill>
            <a:srgbClr val="000000"/>
          </a:solidFill>
        </xdr:spPr>
      </xdr:sp>
    </xdr:grpSp>
    <xdr:clientData/>
  </xdr:oneCellAnchor>
  <xdr:oneCellAnchor>
    <xdr:from>
      <xdr:col>0</xdr:col>
      <xdr:colOff>56635</xdr:colOff>
      <xdr:row>140</xdr:row>
      <xdr:rowOff>210378</xdr:rowOff>
    </xdr:from>
    <xdr:ext cx="1807845" cy="476250"/>
    <xdr:grpSp>
      <xdr:nvGrpSpPr>
        <xdr:cNvPr id="129" name="Group 628">
          <a:extLst>
            <a:ext uri="{FF2B5EF4-FFF2-40B4-BE49-F238E27FC236}">
              <a16:creationId xmlns:a16="http://schemas.microsoft.com/office/drawing/2014/main" id="{B031ED72-780F-49AE-AFFA-0F435FC37F18}"/>
            </a:ext>
          </a:extLst>
        </xdr:cNvPr>
        <xdr:cNvGrpSpPr/>
      </xdr:nvGrpSpPr>
      <xdr:grpSpPr>
        <a:xfrm>
          <a:off x="56635" y="35043303"/>
          <a:ext cx="1807845" cy="476250"/>
          <a:chOff x="0" y="0"/>
          <a:chExt cx="1807845" cy="476250"/>
        </a:xfrm>
      </xdr:grpSpPr>
      <xdr:sp macro="" textlink="">
        <xdr:nvSpPr>
          <xdr:cNvPr id="130" name="Shape 629">
            <a:extLst>
              <a:ext uri="{FF2B5EF4-FFF2-40B4-BE49-F238E27FC236}">
                <a16:creationId xmlns:a16="http://schemas.microsoft.com/office/drawing/2014/main" id="{C6D765D9-CAA2-5B71-D84F-AB297EDD3B62}"/>
              </a:ext>
            </a:extLst>
          </xdr:cNvPr>
          <xdr:cNvSpPr/>
        </xdr:nvSpPr>
        <xdr:spPr>
          <a:xfrm>
            <a:off x="488882" y="159602"/>
            <a:ext cx="1313815" cy="175260"/>
          </a:xfrm>
          <a:custGeom>
            <a:avLst/>
            <a:gdLst/>
            <a:ahLst/>
            <a:cxnLst/>
            <a:rect l="0" t="0" r="0" b="0"/>
            <a:pathLst>
              <a:path w="1313815" h="175260">
                <a:moveTo>
                  <a:pt x="169824" y="143510"/>
                </a:moveTo>
                <a:lnTo>
                  <a:pt x="39624" y="143510"/>
                </a:lnTo>
                <a:lnTo>
                  <a:pt x="39624" y="148590"/>
                </a:lnTo>
                <a:lnTo>
                  <a:pt x="43510" y="152400"/>
                </a:lnTo>
                <a:lnTo>
                  <a:pt x="65481" y="153670"/>
                </a:lnTo>
                <a:lnTo>
                  <a:pt x="68643" y="154940"/>
                </a:lnTo>
                <a:lnTo>
                  <a:pt x="71602" y="156210"/>
                </a:lnTo>
                <a:lnTo>
                  <a:pt x="73926" y="157480"/>
                </a:lnTo>
                <a:lnTo>
                  <a:pt x="74790" y="160020"/>
                </a:lnTo>
                <a:lnTo>
                  <a:pt x="80346" y="166370"/>
                </a:lnTo>
                <a:lnTo>
                  <a:pt x="87385" y="171450"/>
                </a:lnTo>
                <a:lnTo>
                  <a:pt x="95610" y="175260"/>
                </a:lnTo>
                <a:lnTo>
                  <a:pt x="113580" y="175260"/>
                </a:lnTo>
                <a:lnTo>
                  <a:pt x="121604" y="171450"/>
                </a:lnTo>
                <a:lnTo>
                  <a:pt x="128525" y="166370"/>
                </a:lnTo>
                <a:lnTo>
                  <a:pt x="134073" y="160020"/>
                </a:lnTo>
                <a:lnTo>
                  <a:pt x="135534" y="157480"/>
                </a:lnTo>
                <a:lnTo>
                  <a:pt x="137858" y="156210"/>
                </a:lnTo>
                <a:lnTo>
                  <a:pt x="140830" y="154940"/>
                </a:lnTo>
                <a:lnTo>
                  <a:pt x="143992" y="153670"/>
                </a:lnTo>
                <a:lnTo>
                  <a:pt x="165925" y="152400"/>
                </a:lnTo>
                <a:lnTo>
                  <a:pt x="169824" y="148590"/>
                </a:lnTo>
                <a:lnTo>
                  <a:pt x="169824" y="143510"/>
                </a:lnTo>
                <a:close/>
              </a:path>
              <a:path w="1313815" h="175260">
                <a:moveTo>
                  <a:pt x="353847" y="142240"/>
                </a:moveTo>
                <a:lnTo>
                  <a:pt x="223647" y="142240"/>
                </a:lnTo>
                <a:lnTo>
                  <a:pt x="223647" y="148590"/>
                </a:lnTo>
                <a:lnTo>
                  <a:pt x="227520" y="152400"/>
                </a:lnTo>
                <a:lnTo>
                  <a:pt x="249491" y="153670"/>
                </a:lnTo>
                <a:lnTo>
                  <a:pt x="252628" y="154940"/>
                </a:lnTo>
                <a:lnTo>
                  <a:pt x="255600" y="156210"/>
                </a:lnTo>
                <a:lnTo>
                  <a:pt x="257924" y="157480"/>
                </a:lnTo>
                <a:lnTo>
                  <a:pt x="259359" y="160020"/>
                </a:lnTo>
                <a:lnTo>
                  <a:pt x="264911" y="166370"/>
                </a:lnTo>
                <a:lnTo>
                  <a:pt x="271841" y="171450"/>
                </a:lnTo>
                <a:lnTo>
                  <a:pt x="279874" y="175260"/>
                </a:lnTo>
                <a:lnTo>
                  <a:pt x="297168" y="175260"/>
                </a:lnTo>
                <a:lnTo>
                  <a:pt x="304876" y="171450"/>
                </a:lnTo>
                <a:lnTo>
                  <a:pt x="311612" y="167640"/>
                </a:lnTo>
                <a:lnTo>
                  <a:pt x="317131" y="161290"/>
                </a:lnTo>
                <a:lnTo>
                  <a:pt x="319532" y="157480"/>
                </a:lnTo>
                <a:lnTo>
                  <a:pt x="321856" y="156210"/>
                </a:lnTo>
                <a:lnTo>
                  <a:pt x="324827" y="154940"/>
                </a:lnTo>
                <a:lnTo>
                  <a:pt x="327977" y="153670"/>
                </a:lnTo>
                <a:lnTo>
                  <a:pt x="349923" y="152400"/>
                </a:lnTo>
                <a:lnTo>
                  <a:pt x="353847" y="148590"/>
                </a:lnTo>
                <a:lnTo>
                  <a:pt x="353847" y="142240"/>
                </a:lnTo>
                <a:close/>
              </a:path>
              <a:path w="1313815" h="175260">
                <a:moveTo>
                  <a:pt x="537845" y="142240"/>
                </a:moveTo>
                <a:lnTo>
                  <a:pt x="407619" y="142240"/>
                </a:lnTo>
                <a:lnTo>
                  <a:pt x="407619" y="148590"/>
                </a:lnTo>
                <a:lnTo>
                  <a:pt x="411492" y="152400"/>
                </a:lnTo>
                <a:lnTo>
                  <a:pt x="433489" y="153670"/>
                </a:lnTo>
                <a:lnTo>
                  <a:pt x="436626" y="154940"/>
                </a:lnTo>
                <a:lnTo>
                  <a:pt x="439610" y="156210"/>
                </a:lnTo>
                <a:lnTo>
                  <a:pt x="441921" y="157480"/>
                </a:lnTo>
                <a:lnTo>
                  <a:pt x="443395" y="160020"/>
                </a:lnTo>
                <a:lnTo>
                  <a:pt x="448936" y="166370"/>
                </a:lnTo>
                <a:lnTo>
                  <a:pt x="455863" y="171450"/>
                </a:lnTo>
                <a:lnTo>
                  <a:pt x="463890" y="175260"/>
                </a:lnTo>
                <a:lnTo>
                  <a:pt x="481573" y="175260"/>
                </a:lnTo>
                <a:lnTo>
                  <a:pt x="489597" y="171450"/>
                </a:lnTo>
                <a:lnTo>
                  <a:pt x="496517" y="166370"/>
                </a:lnTo>
                <a:lnTo>
                  <a:pt x="502043" y="160020"/>
                </a:lnTo>
                <a:lnTo>
                  <a:pt x="503542" y="157480"/>
                </a:lnTo>
                <a:lnTo>
                  <a:pt x="505853" y="156210"/>
                </a:lnTo>
                <a:lnTo>
                  <a:pt x="508838" y="154940"/>
                </a:lnTo>
                <a:lnTo>
                  <a:pt x="511975" y="153670"/>
                </a:lnTo>
                <a:lnTo>
                  <a:pt x="533946" y="152400"/>
                </a:lnTo>
                <a:lnTo>
                  <a:pt x="537845" y="148590"/>
                </a:lnTo>
                <a:lnTo>
                  <a:pt x="537845" y="142240"/>
                </a:lnTo>
                <a:close/>
              </a:path>
              <a:path w="1313815" h="175260">
                <a:moveTo>
                  <a:pt x="721817" y="142240"/>
                </a:moveTo>
                <a:lnTo>
                  <a:pt x="591616" y="142240"/>
                </a:lnTo>
                <a:lnTo>
                  <a:pt x="591616" y="148590"/>
                </a:lnTo>
                <a:lnTo>
                  <a:pt x="595490" y="152400"/>
                </a:lnTo>
                <a:lnTo>
                  <a:pt x="617461" y="153670"/>
                </a:lnTo>
                <a:lnTo>
                  <a:pt x="620636" y="154940"/>
                </a:lnTo>
                <a:lnTo>
                  <a:pt x="623608" y="156210"/>
                </a:lnTo>
                <a:lnTo>
                  <a:pt x="625932" y="157480"/>
                </a:lnTo>
                <a:lnTo>
                  <a:pt x="627392" y="160020"/>
                </a:lnTo>
                <a:lnTo>
                  <a:pt x="632938" y="166370"/>
                </a:lnTo>
                <a:lnTo>
                  <a:pt x="639862" y="171450"/>
                </a:lnTo>
                <a:lnTo>
                  <a:pt x="647879" y="175260"/>
                </a:lnTo>
                <a:lnTo>
                  <a:pt x="665475" y="175260"/>
                </a:lnTo>
                <a:lnTo>
                  <a:pt x="673436" y="171450"/>
                </a:lnTo>
                <a:lnTo>
                  <a:pt x="680321" y="166370"/>
                </a:lnTo>
                <a:lnTo>
                  <a:pt x="685863" y="160020"/>
                </a:lnTo>
                <a:lnTo>
                  <a:pt x="687539" y="157480"/>
                </a:lnTo>
                <a:lnTo>
                  <a:pt x="689864" y="156210"/>
                </a:lnTo>
                <a:lnTo>
                  <a:pt x="692835" y="154940"/>
                </a:lnTo>
                <a:lnTo>
                  <a:pt x="695972" y="153670"/>
                </a:lnTo>
                <a:lnTo>
                  <a:pt x="717943" y="152400"/>
                </a:lnTo>
                <a:lnTo>
                  <a:pt x="721817" y="148590"/>
                </a:lnTo>
                <a:lnTo>
                  <a:pt x="721817" y="142240"/>
                </a:lnTo>
                <a:close/>
              </a:path>
              <a:path w="1313815" h="175260">
                <a:moveTo>
                  <a:pt x="905814" y="142240"/>
                </a:moveTo>
                <a:lnTo>
                  <a:pt x="775627" y="142240"/>
                </a:lnTo>
                <a:lnTo>
                  <a:pt x="775627" y="148590"/>
                </a:lnTo>
                <a:lnTo>
                  <a:pt x="779513" y="152400"/>
                </a:lnTo>
                <a:lnTo>
                  <a:pt x="801458" y="153670"/>
                </a:lnTo>
                <a:lnTo>
                  <a:pt x="804633" y="154940"/>
                </a:lnTo>
                <a:lnTo>
                  <a:pt x="807580" y="156210"/>
                </a:lnTo>
                <a:lnTo>
                  <a:pt x="809929" y="157480"/>
                </a:lnTo>
                <a:lnTo>
                  <a:pt x="810856" y="160020"/>
                </a:lnTo>
                <a:lnTo>
                  <a:pt x="816404" y="166370"/>
                </a:lnTo>
                <a:lnTo>
                  <a:pt x="823431" y="171450"/>
                </a:lnTo>
                <a:lnTo>
                  <a:pt x="831632" y="175260"/>
                </a:lnTo>
                <a:lnTo>
                  <a:pt x="849463" y="175260"/>
                </a:lnTo>
                <a:lnTo>
                  <a:pt x="857429" y="171450"/>
                </a:lnTo>
                <a:lnTo>
                  <a:pt x="864320" y="166370"/>
                </a:lnTo>
                <a:lnTo>
                  <a:pt x="869861" y="160020"/>
                </a:lnTo>
                <a:lnTo>
                  <a:pt x="871512" y="157480"/>
                </a:lnTo>
                <a:lnTo>
                  <a:pt x="873861" y="156210"/>
                </a:lnTo>
                <a:lnTo>
                  <a:pt x="876808" y="154940"/>
                </a:lnTo>
                <a:lnTo>
                  <a:pt x="879983" y="153670"/>
                </a:lnTo>
                <a:lnTo>
                  <a:pt x="901915" y="152400"/>
                </a:lnTo>
                <a:lnTo>
                  <a:pt x="905814" y="148590"/>
                </a:lnTo>
                <a:lnTo>
                  <a:pt x="905814" y="142240"/>
                </a:lnTo>
                <a:close/>
              </a:path>
              <a:path w="1313815" h="175260">
                <a:moveTo>
                  <a:pt x="1089825" y="142240"/>
                </a:moveTo>
                <a:lnTo>
                  <a:pt x="959624" y="142240"/>
                </a:lnTo>
                <a:lnTo>
                  <a:pt x="959624" y="148590"/>
                </a:lnTo>
                <a:lnTo>
                  <a:pt x="963510" y="152400"/>
                </a:lnTo>
                <a:lnTo>
                  <a:pt x="985481" y="153670"/>
                </a:lnTo>
                <a:lnTo>
                  <a:pt x="988631" y="154940"/>
                </a:lnTo>
                <a:lnTo>
                  <a:pt x="991577" y="156210"/>
                </a:lnTo>
                <a:lnTo>
                  <a:pt x="993902" y="157480"/>
                </a:lnTo>
                <a:lnTo>
                  <a:pt x="995006" y="160020"/>
                </a:lnTo>
                <a:lnTo>
                  <a:pt x="1000554" y="166370"/>
                </a:lnTo>
                <a:lnTo>
                  <a:pt x="1007551" y="171450"/>
                </a:lnTo>
                <a:lnTo>
                  <a:pt x="1015705" y="175260"/>
                </a:lnTo>
                <a:lnTo>
                  <a:pt x="1033559" y="175260"/>
                </a:lnTo>
                <a:lnTo>
                  <a:pt x="1041574" y="171450"/>
                </a:lnTo>
                <a:lnTo>
                  <a:pt x="1048499" y="166370"/>
                </a:lnTo>
                <a:lnTo>
                  <a:pt x="1054061" y="160020"/>
                </a:lnTo>
                <a:lnTo>
                  <a:pt x="1055509" y="157480"/>
                </a:lnTo>
                <a:lnTo>
                  <a:pt x="1057833" y="156210"/>
                </a:lnTo>
                <a:lnTo>
                  <a:pt x="1060805" y="154940"/>
                </a:lnTo>
                <a:lnTo>
                  <a:pt x="1063980" y="153670"/>
                </a:lnTo>
                <a:lnTo>
                  <a:pt x="1085913" y="152400"/>
                </a:lnTo>
                <a:lnTo>
                  <a:pt x="1089825" y="148590"/>
                </a:lnTo>
                <a:lnTo>
                  <a:pt x="1089825" y="142240"/>
                </a:lnTo>
                <a:close/>
              </a:path>
              <a:path w="1313815" h="175260">
                <a:moveTo>
                  <a:pt x="1282039" y="142240"/>
                </a:moveTo>
                <a:lnTo>
                  <a:pt x="1143622" y="142240"/>
                </a:lnTo>
                <a:lnTo>
                  <a:pt x="1143622" y="148590"/>
                </a:lnTo>
                <a:lnTo>
                  <a:pt x="1147483" y="152400"/>
                </a:lnTo>
                <a:lnTo>
                  <a:pt x="1169479" y="153670"/>
                </a:lnTo>
                <a:lnTo>
                  <a:pt x="1172603" y="154940"/>
                </a:lnTo>
                <a:lnTo>
                  <a:pt x="1175600" y="156210"/>
                </a:lnTo>
                <a:lnTo>
                  <a:pt x="1177899" y="157480"/>
                </a:lnTo>
                <a:lnTo>
                  <a:pt x="1179372" y="160020"/>
                </a:lnTo>
                <a:lnTo>
                  <a:pt x="1184919" y="166370"/>
                </a:lnTo>
                <a:lnTo>
                  <a:pt x="1191845" y="171450"/>
                </a:lnTo>
                <a:lnTo>
                  <a:pt x="1199870" y="175260"/>
                </a:lnTo>
                <a:lnTo>
                  <a:pt x="1217468" y="175260"/>
                </a:lnTo>
                <a:lnTo>
                  <a:pt x="1225429" y="171450"/>
                </a:lnTo>
                <a:lnTo>
                  <a:pt x="1232323" y="166370"/>
                </a:lnTo>
                <a:lnTo>
                  <a:pt x="1237881" y="160020"/>
                </a:lnTo>
                <a:lnTo>
                  <a:pt x="1239532" y="157480"/>
                </a:lnTo>
                <a:lnTo>
                  <a:pt x="1241831" y="156210"/>
                </a:lnTo>
                <a:lnTo>
                  <a:pt x="1244828" y="154940"/>
                </a:lnTo>
                <a:lnTo>
                  <a:pt x="1247952" y="153670"/>
                </a:lnTo>
                <a:lnTo>
                  <a:pt x="1269949" y="152400"/>
                </a:lnTo>
                <a:lnTo>
                  <a:pt x="1273822" y="148590"/>
                </a:lnTo>
                <a:lnTo>
                  <a:pt x="1273822" y="143510"/>
                </a:lnTo>
                <a:lnTo>
                  <a:pt x="1282039" y="143510"/>
                </a:lnTo>
                <a:lnTo>
                  <a:pt x="1282039" y="142240"/>
                </a:lnTo>
                <a:close/>
              </a:path>
              <a:path w="1313815" h="175260">
                <a:moveTo>
                  <a:pt x="1285189" y="133350"/>
                </a:moveTo>
                <a:lnTo>
                  <a:pt x="28244" y="133350"/>
                </a:lnTo>
                <a:lnTo>
                  <a:pt x="31419" y="137160"/>
                </a:lnTo>
                <a:lnTo>
                  <a:pt x="31419" y="152400"/>
                </a:lnTo>
                <a:lnTo>
                  <a:pt x="33312" y="154940"/>
                </a:lnTo>
                <a:lnTo>
                  <a:pt x="39624" y="154940"/>
                </a:lnTo>
                <a:lnTo>
                  <a:pt x="39624" y="143510"/>
                </a:lnTo>
                <a:lnTo>
                  <a:pt x="169824" y="143510"/>
                </a:lnTo>
                <a:lnTo>
                  <a:pt x="169824" y="142240"/>
                </a:lnTo>
                <a:lnTo>
                  <a:pt x="1282039" y="142240"/>
                </a:lnTo>
                <a:lnTo>
                  <a:pt x="1282039" y="137160"/>
                </a:lnTo>
                <a:lnTo>
                  <a:pt x="1285189" y="133350"/>
                </a:lnTo>
                <a:close/>
              </a:path>
              <a:path w="1313815" h="175260">
                <a:moveTo>
                  <a:pt x="1282039" y="143510"/>
                </a:moveTo>
                <a:lnTo>
                  <a:pt x="1273822" y="143510"/>
                </a:lnTo>
                <a:lnTo>
                  <a:pt x="1273822" y="154940"/>
                </a:lnTo>
                <a:lnTo>
                  <a:pt x="1280134" y="154940"/>
                </a:lnTo>
                <a:lnTo>
                  <a:pt x="1282039" y="152400"/>
                </a:lnTo>
                <a:lnTo>
                  <a:pt x="1282039" y="143510"/>
                </a:lnTo>
                <a:close/>
              </a:path>
              <a:path w="1313815" h="175260">
                <a:moveTo>
                  <a:pt x="223647" y="142240"/>
                </a:moveTo>
                <a:lnTo>
                  <a:pt x="169824" y="142240"/>
                </a:lnTo>
                <a:lnTo>
                  <a:pt x="169824" y="146050"/>
                </a:lnTo>
                <a:lnTo>
                  <a:pt x="173329" y="149860"/>
                </a:lnTo>
                <a:lnTo>
                  <a:pt x="220141" y="149860"/>
                </a:lnTo>
                <a:lnTo>
                  <a:pt x="223647" y="146050"/>
                </a:lnTo>
                <a:lnTo>
                  <a:pt x="223647" y="142240"/>
                </a:lnTo>
                <a:close/>
              </a:path>
              <a:path w="1313815" h="175260">
                <a:moveTo>
                  <a:pt x="407619" y="142240"/>
                </a:moveTo>
                <a:lnTo>
                  <a:pt x="353847" y="142240"/>
                </a:lnTo>
                <a:lnTo>
                  <a:pt x="353847" y="146050"/>
                </a:lnTo>
                <a:lnTo>
                  <a:pt x="357314" y="149860"/>
                </a:lnTo>
                <a:lnTo>
                  <a:pt x="404152" y="149860"/>
                </a:lnTo>
                <a:lnTo>
                  <a:pt x="407619" y="146050"/>
                </a:lnTo>
                <a:lnTo>
                  <a:pt x="407619" y="142240"/>
                </a:lnTo>
                <a:close/>
              </a:path>
              <a:path w="1313815" h="175260">
                <a:moveTo>
                  <a:pt x="591616" y="142240"/>
                </a:moveTo>
                <a:lnTo>
                  <a:pt x="537845" y="142240"/>
                </a:lnTo>
                <a:lnTo>
                  <a:pt x="537845" y="146050"/>
                </a:lnTo>
                <a:lnTo>
                  <a:pt x="541312" y="149860"/>
                </a:lnTo>
                <a:lnTo>
                  <a:pt x="588149" y="149860"/>
                </a:lnTo>
                <a:lnTo>
                  <a:pt x="591616" y="146050"/>
                </a:lnTo>
                <a:lnTo>
                  <a:pt x="591616" y="142240"/>
                </a:lnTo>
                <a:close/>
              </a:path>
              <a:path w="1313815" h="175260">
                <a:moveTo>
                  <a:pt x="775627" y="142240"/>
                </a:moveTo>
                <a:lnTo>
                  <a:pt x="721817" y="142240"/>
                </a:lnTo>
                <a:lnTo>
                  <a:pt x="721817" y="146050"/>
                </a:lnTo>
                <a:lnTo>
                  <a:pt x="725322" y="149860"/>
                </a:lnTo>
                <a:lnTo>
                  <a:pt x="772121" y="149860"/>
                </a:lnTo>
                <a:lnTo>
                  <a:pt x="775627" y="146050"/>
                </a:lnTo>
                <a:lnTo>
                  <a:pt x="775627" y="142240"/>
                </a:lnTo>
                <a:close/>
              </a:path>
              <a:path w="1313815" h="175260">
                <a:moveTo>
                  <a:pt x="959624" y="142240"/>
                </a:moveTo>
                <a:lnTo>
                  <a:pt x="905814" y="142240"/>
                </a:lnTo>
                <a:lnTo>
                  <a:pt x="905814" y="146050"/>
                </a:lnTo>
                <a:lnTo>
                  <a:pt x="909320" y="149860"/>
                </a:lnTo>
                <a:lnTo>
                  <a:pt x="956119" y="149860"/>
                </a:lnTo>
                <a:lnTo>
                  <a:pt x="959624" y="146050"/>
                </a:lnTo>
                <a:lnTo>
                  <a:pt x="959624" y="142240"/>
                </a:lnTo>
                <a:close/>
              </a:path>
              <a:path w="1313815" h="175260">
                <a:moveTo>
                  <a:pt x="1143622" y="142240"/>
                </a:moveTo>
                <a:lnTo>
                  <a:pt x="1089825" y="142240"/>
                </a:lnTo>
                <a:lnTo>
                  <a:pt x="1089825" y="146050"/>
                </a:lnTo>
                <a:lnTo>
                  <a:pt x="1093292" y="149860"/>
                </a:lnTo>
                <a:lnTo>
                  <a:pt x="1140117" y="149860"/>
                </a:lnTo>
                <a:lnTo>
                  <a:pt x="1143622" y="146050"/>
                </a:lnTo>
                <a:lnTo>
                  <a:pt x="1143622" y="142240"/>
                </a:lnTo>
                <a:close/>
              </a:path>
              <a:path w="1313815" h="175260">
                <a:moveTo>
                  <a:pt x="1311313" y="43180"/>
                </a:moveTo>
                <a:lnTo>
                  <a:pt x="2108" y="43180"/>
                </a:lnTo>
                <a:lnTo>
                  <a:pt x="342" y="44450"/>
                </a:lnTo>
                <a:lnTo>
                  <a:pt x="0" y="46990"/>
                </a:lnTo>
                <a:lnTo>
                  <a:pt x="0" y="129540"/>
                </a:lnTo>
                <a:lnTo>
                  <a:pt x="342" y="132080"/>
                </a:lnTo>
                <a:lnTo>
                  <a:pt x="2108" y="133350"/>
                </a:lnTo>
                <a:lnTo>
                  <a:pt x="1311313" y="133350"/>
                </a:lnTo>
                <a:lnTo>
                  <a:pt x="1313103" y="132080"/>
                </a:lnTo>
                <a:lnTo>
                  <a:pt x="1313459" y="129540"/>
                </a:lnTo>
                <a:lnTo>
                  <a:pt x="1313459" y="46990"/>
                </a:lnTo>
                <a:lnTo>
                  <a:pt x="1313103" y="44450"/>
                </a:lnTo>
                <a:lnTo>
                  <a:pt x="1311313" y="43180"/>
                </a:lnTo>
                <a:close/>
              </a:path>
              <a:path w="1313815" h="175260">
                <a:moveTo>
                  <a:pt x="39624" y="21590"/>
                </a:moveTo>
                <a:lnTo>
                  <a:pt x="33312" y="21590"/>
                </a:lnTo>
                <a:lnTo>
                  <a:pt x="31419" y="24130"/>
                </a:lnTo>
                <a:lnTo>
                  <a:pt x="31419" y="39370"/>
                </a:lnTo>
                <a:lnTo>
                  <a:pt x="28244" y="43180"/>
                </a:lnTo>
                <a:lnTo>
                  <a:pt x="1285189" y="43180"/>
                </a:lnTo>
                <a:lnTo>
                  <a:pt x="1282039" y="39370"/>
                </a:lnTo>
                <a:lnTo>
                  <a:pt x="1282039" y="34290"/>
                </a:lnTo>
                <a:lnTo>
                  <a:pt x="169824" y="34290"/>
                </a:lnTo>
                <a:lnTo>
                  <a:pt x="169824" y="31750"/>
                </a:lnTo>
                <a:lnTo>
                  <a:pt x="39624" y="31750"/>
                </a:lnTo>
                <a:lnTo>
                  <a:pt x="39624" y="21590"/>
                </a:lnTo>
                <a:close/>
              </a:path>
              <a:path w="1313815" h="175260">
                <a:moveTo>
                  <a:pt x="220141" y="26670"/>
                </a:moveTo>
                <a:lnTo>
                  <a:pt x="173329" y="26670"/>
                </a:lnTo>
                <a:lnTo>
                  <a:pt x="169824" y="29210"/>
                </a:lnTo>
                <a:lnTo>
                  <a:pt x="169824" y="34290"/>
                </a:lnTo>
                <a:lnTo>
                  <a:pt x="223647" y="34290"/>
                </a:lnTo>
                <a:lnTo>
                  <a:pt x="223647" y="29210"/>
                </a:lnTo>
                <a:lnTo>
                  <a:pt x="220141" y="26670"/>
                </a:lnTo>
                <a:close/>
              </a:path>
              <a:path w="1313815" h="175260">
                <a:moveTo>
                  <a:pt x="327977" y="21590"/>
                </a:moveTo>
                <a:lnTo>
                  <a:pt x="249491" y="21590"/>
                </a:lnTo>
                <a:lnTo>
                  <a:pt x="227520" y="22860"/>
                </a:lnTo>
                <a:lnTo>
                  <a:pt x="223647" y="27940"/>
                </a:lnTo>
                <a:lnTo>
                  <a:pt x="223647" y="34290"/>
                </a:lnTo>
                <a:lnTo>
                  <a:pt x="353847" y="34290"/>
                </a:lnTo>
                <a:lnTo>
                  <a:pt x="353847" y="27940"/>
                </a:lnTo>
                <a:lnTo>
                  <a:pt x="349923" y="22860"/>
                </a:lnTo>
                <a:lnTo>
                  <a:pt x="327977" y="21590"/>
                </a:lnTo>
                <a:close/>
              </a:path>
              <a:path w="1313815" h="175260">
                <a:moveTo>
                  <a:pt x="404152" y="26670"/>
                </a:moveTo>
                <a:lnTo>
                  <a:pt x="357314" y="26670"/>
                </a:lnTo>
                <a:lnTo>
                  <a:pt x="353847" y="29210"/>
                </a:lnTo>
                <a:lnTo>
                  <a:pt x="353847" y="34290"/>
                </a:lnTo>
                <a:lnTo>
                  <a:pt x="407619" y="34290"/>
                </a:lnTo>
                <a:lnTo>
                  <a:pt x="407619" y="29210"/>
                </a:lnTo>
                <a:lnTo>
                  <a:pt x="404152" y="26670"/>
                </a:lnTo>
                <a:close/>
              </a:path>
              <a:path w="1313815" h="175260">
                <a:moveTo>
                  <a:pt x="511975" y="21590"/>
                </a:moveTo>
                <a:lnTo>
                  <a:pt x="433489" y="21590"/>
                </a:lnTo>
                <a:lnTo>
                  <a:pt x="411492" y="22860"/>
                </a:lnTo>
                <a:lnTo>
                  <a:pt x="407619" y="27940"/>
                </a:lnTo>
                <a:lnTo>
                  <a:pt x="407619" y="34290"/>
                </a:lnTo>
                <a:lnTo>
                  <a:pt x="537845" y="34290"/>
                </a:lnTo>
                <a:lnTo>
                  <a:pt x="537845" y="27940"/>
                </a:lnTo>
                <a:lnTo>
                  <a:pt x="533946" y="22860"/>
                </a:lnTo>
                <a:lnTo>
                  <a:pt x="511975" y="21590"/>
                </a:lnTo>
                <a:close/>
              </a:path>
              <a:path w="1313815" h="175260">
                <a:moveTo>
                  <a:pt x="588149" y="26670"/>
                </a:moveTo>
                <a:lnTo>
                  <a:pt x="541312" y="26670"/>
                </a:lnTo>
                <a:lnTo>
                  <a:pt x="537845" y="29210"/>
                </a:lnTo>
                <a:lnTo>
                  <a:pt x="537845" y="34290"/>
                </a:lnTo>
                <a:lnTo>
                  <a:pt x="591616" y="34290"/>
                </a:lnTo>
                <a:lnTo>
                  <a:pt x="591616" y="29210"/>
                </a:lnTo>
                <a:lnTo>
                  <a:pt x="588149" y="26670"/>
                </a:lnTo>
                <a:close/>
              </a:path>
              <a:path w="1313815" h="175260">
                <a:moveTo>
                  <a:pt x="695972" y="21590"/>
                </a:moveTo>
                <a:lnTo>
                  <a:pt x="617461" y="21590"/>
                </a:lnTo>
                <a:lnTo>
                  <a:pt x="595490" y="22860"/>
                </a:lnTo>
                <a:lnTo>
                  <a:pt x="591616" y="27940"/>
                </a:lnTo>
                <a:lnTo>
                  <a:pt x="591616" y="34290"/>
                </a:lnTo>
                <a:lnTo>
                  <a:pt x="721817" y="34290"/>
                </a:lnTo>
                <a:lnTo>
                  <a:pt x="721817" y="27940"/>
                </a:lnTo>
                <a:lnTo>
                  <a:pt x="717943" y="22860"/>
                </a:lnTo>
                <a:lnTo>
                  <a:pt x="695972" y="21590"/>
                </a:lnTo>
                <a:close/>
              </a:path>
              <a:path w="1313815" h="175260">
                <a:moveTo>
                  <a:pt x="772121" y="26670"/>
                </a:moveTo>
                <a:lnTo>
                  <a:pt x="725322" y="26670"/>
                </a:lnTo>
                <a:lnTo>
                  <a:pt x="721817" y="29210"/>
                </a:lnTo>
                <a:lnTo>
                  <a:pt x="721817" y="34290"/>
                </a:lnTo>
                <a:lnTo>
                  <a:pt x="775627" y="34290"/>
                </a:lnTo>
                <a:lnTo>
                  <a:pt x="775627" y="29210"/>
                </a:lnTo>
                <a:lnTo>
                  <a:pt x="772121" y="26670"/>
                </a:lnTo>
                <a:close/>
              </a:path>
              <a:path w="1313815" h="175260">
                <a:moveTo>
                  <a:pt x="879983" y="21590"/>
                </a:moveTo>
                <a:lnTo>
                  <a:pt x="801458" y="21590"/>
                </a:lnTo>
                <a:lnTo>
                  <a:pt x="779513" y="22860"/>
                </a:lnTo>
                <a:lnTo>
                  <a:pt x="775627" y="27940"/>
                </a:lnTo>
                <a:lnTo>
                  <a:pt x="775627" y="34290"/>
                </a:lnTo>
                <a:lnTo>
                  <a:pt x="905814" y="34290"/>
                </a:lnTo>
                <a:lnTo>
                  <a:pt x="905814" y="27940"/>
                </a:lnTo>
                <a:lnTo>
                  <a:pt x="901915" y="22860"/>
                </a:lnTo>
                <a:lnTo>
                  <a:pt x="879983" y="21590"/>
                </a:lnTo>
                <a:close/>
              </a:path>
              <a:path w="1313815" h="175260">
                <a:moveTo>
                  <a:pt x="956119" y="26670"/>
                </a:moveTo>
                <a:lnTo>
                  <a:pt x="909320" y="26670"/>
                </a:lnTo>
                <a:lnTo>
                  <a:pt x="905814" y="29210"/>
                </a:lnTo>
                <a:lnTo>
                  <a:pt x="905814" y="34290"/>
                </a:lnTo>
                <a:lnTo>
                  <a:pt x="959624" y="34290"/>
                </a:lnTo>
                <a:lnTo>
                  <a:pt x="959624" y="29210"/>
                </a:lnTo>
                <a:lnTo>
                  <a:pt x="956119" y="26670"/>
                </a:lnTo>
                <a:close/>
              </a:path>
              <a:path w="1313815" h="175260">
                <a:moveTo>
                  <a:pt x="1063980" y="21590"/>
                </a:moveTo>
                <a:lnTo>
                  <a:pt x="985481" y="21590"/>
                </a:lnTo>
                <a:lnTo>
                  <a:pt x="963510" y="22860"/>
                </a:lnTo>
                <a:lnTo>
                  <a:pt x="959624" y="27940"/>
                </a:lnTo>
                <a:lnTo>
                  <a:pt x="959624" y="34290"/>
                </a:lnTo>
                <a:lnTo>
                  <a:pt x="1089825" y="34290"/>
                </a:lnTo>
                <a:lnTo>
                  <a:pt x="1089825" y="27940"/>
                </a:lnTo>
                <a:lnTo>
                  <a:pt x="1085913" y="22860"/>
                </a:lnTo>
                <a:lnTo>
                  <a:pt x="1063980" y="21590"/>
                </a:lnTo>
                <a:close/>
              </a:path>
              <a:path w="1313815" h="175260">
                <a:moveTo>
                  <a:pt x="1140117" y="26670"/>
                </a:moveTo>
                <a:lnTo>
                  <a:pt x="1093292" y="26670"/>
                </a:lnTo>
                <a:lnTo>
                  <a:pt x="1089825" y="29210"/>
                </a:lnTo>
                <a:lnTo>
                  <a:pt x="1089825" y="34290"/>
                </a:lnTo>
                <a:lnTo>
                  <a:pt x="1143622" y="34290"/>
                </a:lnTo>
                <a:lnTo>
                  <a:pt x="1143622" y="29210"/>
                </a:lnTo>
                <a:lnTo>
                  <a:pt x="1140117" y="26670"/>
                </a:lnTo>
                <a:close/>
              </a:path>
              <a:path w="1313815" h="175260">
                <a:moveTo>
                  <a:pt x="1247952" y="21590"/>
                </a:moveTo>
                <a:lnTo>
                  <a:pt x="1169479" y="21590"/>
                </a:lnTo>
                <a:lnTo>
                  <a:pt x="1147483" y="22860"/>
                </a:lnTo>
                <a:lnTo>
                  <a:pt x="1143622" y="27940"/>
                </a:lnTo>
                <a:lnTo>
                  <a:pt x="1143622" y="34290"/>
                </a:lnTo>
                <a:lnTo>
                  <a:pt x="1282039" y="34290"/>
                </a:lnTo>
                <a:lnTo>
                  <a:pt x="1282039" y="31750"/>
                </a:lnTo>
                <a:lnTo>
                  <a:pt x="1273822" y="31750"/>
                </a:lnTo>
                <a:lnTo>
                  <a:pt x="1273822" y="27940"/>
                </a:lnTo>
                <a:lnTo>
                  <a:pt x="1269949" y="22860"/>
                </a:lnTo>
                <a:lnTo>
                  <a:pt x="1247952" y="21590"/>
                </a:lnTo>
                <a:close/>
              </a:path>
              <a:path w="1313815" h="175260">
                <a:moveTo>
                  <a:pt x="143992" y="21590"/>
                </a:moveTo>
                <a:lnTo>
                  <a:pt x="65481" y="21590"/>
                </a:lnTo>
                <a:lnTo>
                  <a:pt x="43510" y="22860"/>
                </a:lnTo>
                <a:lnTo>
                  <a:pt x="39624" y="27940"/>
                </a:lnTo>
                <a:lnTo>
                  <a:pt x="39624" y="31750"/>
                </a:lnTo>
                <a:lnTo>
                  <a:pt x="169824" y="31750"/>
                </a:lnTo>
                <a:lnTo>
                  <a:pt x="169824" y="27940"/>
                </a:lnTo>
                <a:lnTo>
                  <a:pt x="165925" y="22860"/>
                </a:lnTo>
                <a:lnTo>
                  <a:pt x="143992" y="21590"/>
                </a:lnTo>
                <a:close/>
              </a:path>
              <a:path w="1313815" h="175260">
                <a:moveTo>
                  <a:pt x="1280134" y="21590"/>
                </a:moveTo>
                <a:lnTo>
                  <a:pt x="1273822" y="21590"/>
                </a:lnTo>
                <a:lnTo>
                  <a:pt x="1273822" y="31750"/>
                </a:lnTo>
                <a:lnTo>
                  <a:pt x="1282039" y="31750"/>
                </a:lnTo>
                <a:lnTo>
                  <a:pt x="1282039" y="24130"/>
                </a:lnTo>
                <a:lnTo>
                  <a:pt x="1280134" y="21590"/>
                </a:lnTo>
                <a:close/>
              </a:path>
              <a:path w="1313815" h="175260">
                <a:moveTo>
                  <a:pt x="104724" y="0"/>
                </a:moveTo>
                <a:lnTo>
                  <a:pt x="95882" y="1270"/>
                </a:lnTo>
                <a:lnTo>
                  <a:pt x="87863" y="5080"/>
                </a:lnTo>
                <a:lnTo>
                  <a:pt x="80937" y="10160"/>
                </a:lnTo>
                <a:lnTo>
                  <a:pt x="75374" y="16510"/>
                </a:lnTo>
                <a:lnTo>
                  <a:pt x="73926" y="17780"/>
                </a:lnTo>
                <a:lnTo>
                  <a:pt x="71602" y="20320"/>
                </a:lnTo>
                <a:lnTo>
                  <a:pt x="68643" y="21590"/>
                </a:lnTo>
                <a:lnTo>
                  <a:pt x="140830" y="21590"/>
                </a:lnTo>
                <a:lnTo>
                  <a:pt x="137858" y="20320"/>
                </a:lnTo>
                <a:lnTo>
                  <a:pt x="135534" y="17780"/>
                </a:lnTo>
                <a:lnTo>
                  <a:pt x="134175" y="16510"/>
                </a:lnTo>
                <a:lnTo>
                  <a:pt x="128634" y="10160"/>
                </a:lnTo>
                <a:lnTo>
                  <a:pt x="121688" y="5080"/>
                </a:lnTo>
                <a:lnTo>
                  <a:pt x="113622" y="1270"/>
                </a:lnTo>
                <a:lnTo>
                  <a:pt x="104724" y="0"/>
                </a:lnTo>
                <a:close/>
              </a:path>
              <a:path w="1313815" h="175260">
                <a:moveTo>
                  <a:pt x="288734" y="0"/>
                </a:moveTo>
                <a:lnTo>
                  <a:pt x="257924" y="17780"/>
                </a:lnTo>
                <a:lnTo>
                  <a:pt x="255600" y="20320"/>
                </a:lnTo>
                <a:lnTo>
                  <a:pt x="252628" y="21590"/>
                </a:lnTo>
                <a:lnTo>
                  <a:pt x="324827" y="21590"/>
                </a:lnTo>
                <a:lnTo>
                  <a:pt x="321856" y="20320"/>
                </a:lnTo>
                <a:lnTo>
                  <a:pt x="319532" y="17780"/>
                </a:lnTo>
                <a:lnTo>
                  <a:pt x="311801" y="8890"/>
                </a:lnTo>
                <a:lnTo>
                  <a:pt x="305028" y="3810"/>
                </a:lnTo>
                <a:lnTo>
                  <a:pt x="297255" y="1270"/>
                </a:lnTo>
                <a:lnTo>
                  <a:pt x="288734" y="0"/>
                </a:lnTo>
                <a:close/>
              </a:path>
              <a:path w="1313815" h="175260">
                <a:moveTo>
                  <a:pt x="472732" y="0"/>
                </a:moveTo>
                <a:lnTo>
                  <a:pt x="441921" y="17780"/>
                </a:lnTo>
                <a:lnTo>
                  <a:pt x="439610" y="20320"/>
                </a:lnTo>
                <a:lnTo>
                  <a:pt x="436626" y="21590"/>
                </a:lnTo>
                <a:lnTo>
                  <a:pt x="508838" y="21590"/>
                </a:lnTo>
                <a:lnTo>
                  <a:pt x="505853" y="20320"/>
                </a:lnTo>
                <a:lnTo>
                  <a:pt x="503542" y="17780"/>
                </a:lnTo>
                <a:lnTo>
                  <a:pt x="500938" y="13970"/>
                </a:lnTo>
                <a:lnTo>
                  <a:pt x="495429" y="8890"/>
                </a:lnTo>
                <a:lnTo>
                  <a:pt x="488735" y="3810"/>
                </a:lnTo>
                <a:lnTo>
                  <a:pt x="481091" y="1270"/>
                </a:lnTo>
                <a:lnTo>
                  <a:pt x="472732" y="0"/>
                </a:lnTo>
                <a:close/>
              </a:path>
              <a:path w="1313815" h="175260">
                <a:moveTo>
                  <a:pt x="656704" y="0"/>
                </a:moveTo>
                <a:lnTo>
                  <a:pt x="625932" y="17780"/>
                </a:lnTo>
                <a:lnTo>
                  <a:pt x="623608" y="20320"/>
                </a:lnTo>
                <a:lnTo>
                  <a:pt x="620636" y="21590"/>
                </a:lnTo>
                <a:lnTo>
                  <a:pt x="692835" y="21590"/>
                </a:lnTo>
                <a:lnTo>
                  <a:pt x="689864" y="20320"/>
                </a:lnTo>
                <a:lnTo>
                  <a:pt x="687539" y="17780"/>
                </a:lnTo>
                <a:lnTo>
                  <a:pt x="686041" y="16510"/>
                </a:lnTo>
                <a:lnTo>
                  <a:pt x="680500" y="10160"/>
                </a:lnTo>
                <a:lnTo>
                  <a:pt x="673573" y="5080"/>
                </a:lnTo>
                <a:lnTo>
                  <a:pt x="665545" y="1270"/>
                </a:lnTo>
                <a:lnTo>
                  <a:pt x="656704" y="0"/>
                </a:lnTo>
                <a:close/>
              </a:path>
              <a:path w="1313815" h="175260">
                <a:moveTo>
                  <a:pt x="840701" y="0"/>
                </a:moveTo>
                <a:lnTo>
                  <a:pt x="832292" y="1270"/>
                </a:lnTo>
                <a:lnTo>
                  <a:pt x="824611" y="3810"/>
                </a:lnTo>
                <a:lnTo>
                  <a:pt x="817891" y="8890"/>
                </a:lnTo>
                <a:lnTo>
                  <a:pt x="812368" y="15240"/>
                </a:lnTo>
                <a:lnTo>
                  <a:pt x="809929" y="17780"/>
                </a:lnTo>
                <a:lnTo>
                  <a:pt x="807580" y="20320"/>
                </a:lnTo>
                <a:lnTo>
                  <a:pt x="804633" y="21590"/>
                </a:lnTo>
                <a:lnTo>
                  <a:pt x="876808" y="21590"/>
                </a:lnTo>
                <a:lnTo>
                  <a:pt x="873861" y="20320"/>
                </a:lnTo>
                <a:lnTo>
                  <a:pt x="871512" y="17780"/>
                </a:lnTo>
                <a:lnTo>
                  <a:pt x="870077" y="16510"/>
                </a:lnTo>
                <a:lnTo>
                  <a:pt x="864519" y="10160"/>
                </a:lnTo>
                <a:lnTo>
                  <a:pt x="857589" y="5080"/>
                </a:lnTo>
                <a:lnTo>
                  <a:pt x="849560" y="1270"/>
                </a:lnTo>
                <a:lnTo>
                  <a:pt x="840701" y="0"/>
                </a:lnTo>
                <a:close/>
              </a:path>
              <a:path w="1313815" h="175260">
                <a:moveTo>
                  <a:pt x="1024724" y="0"/>
                </a:moveTo>
                <a:lnTo>
                  <a:pt x="993902" y="17780"/>
                </a:lnTo>
                <a:lnTo>
                  <a:pt x="991577" y="20320"/>
                </a:lnTo>
                <a:lnTo>
                  <a:pt x="988631" y="21590"/>
                </a:lnTo>
                <a:lnTo>
                  <a:pt x="1060805" y="21590"/>
                </a:lnTo>
                <a:lnTo>
                  <a:pt x="1057833" y="20320"/>
                </a:lnTo>
                <a:lnTo>
                  <a:pt x="1055509" y="17780"/>
                </a:lnTo>
                <a:lnTo>
                  <a:pt x="1054061" y="16510"/>
                </a:lnTo>
                <a:lnTo>
                  <a:pt x="1048499" y="10160"/>
                </a:lnTo>
                <a:lnTo>
                  <a:pt x="1041574" y="5080"/>
                </a:lnTo>
                <a:lnTo>
                  <a:pt x="1033559" y="1270"/>
                </a:lnTo>
                <a:lnTo>
                  <a:pt x="1024724" y="0"/>
                </a:lnTo>
                <a:close/>
              </a:path>
              <a:path w="1313815" h="175260">
                <a:moveTo>
                  <a:pt x="1208709" y="0"/>
                </a:moveTo>
                <a:lnTo>
                  <a:pt x="1199894" y="1270"/>
                </a:lnTo>
                <a:lnTo>
                  <a:pt x="1191885" y="5080"/>
                </a:lnTo>
                <a:lnTo>
                  <a:pt x="1184967" y="10160"/>
                </a:lnTo>
                <a:lnTo>
                  <a:pt x="1179423" y="16510"/>
                </a:lnTo>
                <a:lnTo>
                  <a:pt x="1177899" y="17780"/>
                </a:lnTo>
                <a:lnTo>
                  <a:pt x="1175600" y="20320"/>
                </a:lnTo>
                <a:lnTo>
                  <a:pt x="1172603" y="21590"/>
                </a:lnTo>
                <a:lnTo>
                  <a:pt x="1244828" y="21590"/>
                </a:lnTo>
                <a:lnTo>
                  <a:pt x="1241831" y="20320"/>
                </a:lnTo>
                <a:lnTo>
                  <a:pt x="1239532" y="17780"/>
                </a:lnTo>
                <a:lnTo>
                  <a:pt x="1238034" y="16510"/>
                </a:lnTo>
                <a:lnTo>
                  <a:pt x="1232482" y="10160"/>
                </a:lnTo>
                <a:lnTo>
                  <a:pt x="1225557" y="5080"/>
                </a:lnTo>
                <a:lnTo>
                  <a:pt x="1217540" y="1270"/>
                </a:lnTo>
                <a:lnTo>
                  <a:pt x="1208709" y="0"/>
                </a:lnTo>
                <a:close/>
              </a:path>
            </a:pathLst>
          </a:custGeom>
          <a:solidFill>
            <a:srgbClr val="E3E3E3"/>
          </a:solidFill>
        </xdr:spPr>
      </xdr:sp>
      <xdr:sp macro="" textlink="">
        <xdr:nvSpPr>
          <xdr:cNvPr id="131" name="Shape 630">
            <a:extLst>
              <a:ext uri="{FF2B5EF4-FFF2-40B4-BE49-F238E27FC236}">
                <a16:creationId xmlns:a16="http://schemas.microsoft.com/office/drawing/2014/main" id="{C4DDA83D-DB10-745F-43F7-42D9CEE26819}"/>
              </a:ext>
            </a:extLst>
          </xdr:cNvPr>
          <xdr:cNvSpPr/>
        </xdr:nvSpPr>
        <xdr:spPr>
          <a:xfrm>
            <a:off x="488878" y="180588"/>
            <a:ext cx="1169670" cy="133350"/>
          </a:xfrm>
          <a:custGeom>
            <a:avLst/>
            <a:gdLst/>
            <a:ahLst/>
            <a:cxnLst/>
            <a:rect l="0" t="0" r="0" b="0"/>
            <a:pathLst>
              <a:path w="1169670" h="133350">
                <a:moveTo>
                  <a:pt x="169827" y="122301"/>
                </a:moveTo>
                <a:lnTo>
                  <a:pt x="169827" y="10756"/>
                </a:lnTo>
              </a:path>
              <a:path w="1169670" h="133350">
                <a:moveTo>
                  <a:pt x="169827" y="122301"/>
                </a:moveTo>
                <a:lnTo>
                  <a:pt x="169827" y="10756"/>
                </a:lnTo>
              </a:path>
              <a:path w="1169670" h="133350">
                <a:moveTo>
                  <a:pt x="169827" y="122301"/>
                </a:moveTo>
                <a:lnTo>
                  <a:pt x="169827" y="10756"/>
                </a:lnTo>
              </a:path>
              <a:path w="1169670" h="133350">
                <a:moveTo>
                  <a:pt x="169827" y="122301"/>
                </a:moveTo>
                <a:lnTo>
                  <a:pt x="169827" y="10756"/>
                </a:lnTo>
              </a:path>
              <a:path w="1169670" h="133350">
                <a:moveTo>
                  <a:pt x="39627" y="122301"/>
                </a:moveTo>
                <a:lnTo>
                  <a:pt x="39627" y="10756"/>
                </a:lnTo>
              </a:path>
              <a:path w="1169670" h="133350">
                <a:moveTo>
                  <a:pt x="39627" y="122301"/>
                </a:moveTo>
                <a:lnTo>
                  <a:pt x="39627" y="10756"/>
                </a:lnTo>
              </a:path>
              <a:path w="1169670" h="133350">
                <a:moveTo>
                  <a:pt x="6657" y="66509"/>
                </a:moveTo>
                <a:lnTo>
                  <a:pt x="1664" y="77472"/>
                </a:lnTo>
                <a:lnTo>
                  <a:pt x="0" y="89165"/>
                </a:lnTo>
                <a:lnTo>
                  <a:pt x="1664" y="100855"/>
                </a:lnTo>
                <a:lnTo>
                  <a:pt x="6657" y="111810"/>
                </a:lnTo>
              </a:path>
              <a:path w="1169670" h="133350">
                <a:moveTo>
                  <a:pt x="3" y="24777"/>
                </a:moveTo>
                <a:lnTo>
                  <a:pt x="3" y="108280"/>
                </a:lnTo>
              </a:path>
              <a:path w="1169670" h="133350">
                <a:moveTo>
                  <a:pt x="39627" y="0"/>
                </a:moveTo>
                <a:lnTo>
                  <a:pt x="39627" y="133045"/>
                </a:lnTo>
              </a:path>
              <a:path w="1169670" h="133350">
                <a:moveTo>
                  <a:pt x="31422" y="4254"/>
                </a:moveTo>
                <a:lnTo>
                  <a:pt x="31422" y="128790"/>
                </a:lnTo>
              </a:path>
              <a:path w="1169670" h="133350">
                <a:moveTo>
                  <a:pt x="39627" y="0"/>
                </a:moveTo>
                <a:lnTo>
                  <a:pt x="39627" y="133045"/>
                </a:lnTo>
              </a:path>
              <a:path w="1169670" h="133350">
                <a:moveTo>
                  <a:pt x="160975" y="131635"/>
                </a:moveTo>
                <a:lnTo>
                  <a:pt x="144008" y="132511"/>
                </a:lnTo>
              </a:path>
              <a:path w="1169670" h="133350">
                <a:moveTo>
                  <a:pt x="31422" y="128790"/>
                </a:moveTo>
                <a:lnTo>
                  <a:pt x="31422" y="131140"/>
                </a:lnTo>
                <a:lnTo>
                  <a:pt x="33315" y="133045"/>
                </a:lnTo>
                <a:lnTo>
                  <a:pt x="35677" y="133045"/>
                </a:lnTo>
              </a:path>
              <a:path w="1169670" h="133350">
                <a:moveTo>
                  <a:pt x="4194" y="111810"/>
                </a:moveTo>
                <a:lnTo>
                  <a:pt x="24336" y="111810"/>
                </a:lnTo>
              </a:path>
              <a:path w="1169670" h="133350">
                <a:moveTo>
                  <a:pt x="3" y="108280"/>
                </a:moveTo>
                <a:lnTo>
                  <a:pt x="346" y="110312"/>
                </a:lnTo>
                <a:lnTo>
                  <a:pt x="2111" y="111810"/>
                </a:lnTo>
                <a:lnTo>
                  <a:pt x="4194" y="111810"/>
                </a:lnTo>
              </a:path>
              <a:path w="1169670" h="133350">
                <a:moveTo>
                  <a:pt x="31422" y="118884"/>
                </a:moveTo>
                <a:lnTo>
                  <a:pt x="31422" y="128790"/>
                </a:lnTo>
              </a:path>
              <a:path w="1169670" h="133350">
                <a:moveTo>
                  <a:pt x="31422" y="118884"/>
                </a:moveTo>
                <a:lnTo>
                  <a:pt x="31422" y="114998"/>
                </a:lnTo>
                <a:lnTo>
                  <a:pt x="28247" y="111810"/>
                </a:lnTo>
                <a:lnTo>
                  <a:pt x="24336" y="111810"/>
                </a:lnTo>
              </a:path>
              <a:path w="1169670" h="133350">
                <a:moveTo>
                  <a:pt x="48479" y="131635"/>
                </a:moveTo>
                <a:lnTo>
                  <a:pt x="65484" y="132511"/>
                </a:lnTo>
              </a:path>
              <a:path w="1169670" h="133350">
                <a:moveTo>
                  <a:pt x="39627" y="122301"/>
                </a:moveTo>
                <a:lnTo>
                  <a:pt x="39627" y="127279"/>
                </a:lnTo>
                <a:lnTo>
                  <a:pt x="43513" y="131368"/>
                </a:lnTo>
                <a:lnTo>
                  <a:pt x="48479" y="131635"/>
                </a:lnTo>
              </a:path>
              <a:path w="1169670" h="133350">
                <a:moveTo>
                  <a:pt x="35677" y="133045"/>
                </a:moveTo>
                <a:lnTo>
                  <a:pt x="39627" y="133045"/>
                </a:lnTo>
              </a:path>
              <a:path w="1169670" h="133350">
                <a:moveTo>
                  <a:pt x="160975" y="131635"/>
                </a:moveTo>
                <a:lnTo>
                  <a:pt x="165941" y="131368"/>
                </a:lnTo>
                <a:lnTo>
                  <a:pt x="169827" y="127279"/>
                </a:lnTo>
                <a:lnTo>
                  <a:pt x="169827" y="122301"/>
                </a:lnTo>
              </a:path>
              <a:path w="1169670" h="133350">
                <a:moveTo>
                  <a:pt x="160975" y="1422"/>
                </a:moveTo>
                <a:lnTo>
                  <a:pt x="144008" y="533"/>
                </a:lnTo>
              </a:path>
              <a:path w="1169670" h="133350">
                <a:moveTo>
                  <a:pt x="35677" y="0"/>
                </a:moveTo>
                <a:lnTo>
                  <a:pt x="33315" y="0"/>
                </a:lnTo>
                <a:lnTo>
                  <a:pt x="31422" y="1892"/>
                </a:lnTo>
                <a:lnTo>
                  <a:pt x="31422" y="4254"/>
                </a:lnTo>
              </a:path>
              <a:path w="1169670" h="133350">
                <a:moveTo>
                  <a:pt x="24336" y="21234"/>
                </a:moveTo>
                <a:lnTo>
                  <a:pt x="28247" y="21234"/>
                </a:lnTo>
                <a:lnTo>
                  <a:pt x="31422" y="18059"/>
                </a:lnTo>
                <a:lnTo>
                  <a:pt x="31422" y="14160"/>
                </a:lnTo>
              </a:path>
              <a:path w="1169670" h="133350">
                <a:moveTo>
                  <a:pt x="6657" y="21234"/>
                </a:moveTo>
                <a:lnTo>
                  <a:pt x="1664" y="32189"/>
                </a:lnTo>
                <a:lnTo>
                  <a:pt x="0" y="43876"/>
                </a:lnTo>
                <a:lnTo>
                  <a:pt x="1664" y="55561"/>
                </a:lnTo>
                <a:lnTo>
                  <a:pt x="6657" y="66509"/>
                </a:lnTo>
              </a:path>
              <a:path w="1169670" h="133350">
                <a:moveTo>
                  <a:pt x="4194" y="21234"/>
                </a:moveTo>
                <a:lnTo>
                  <a:pt x="24336" y="21234"/>
                </a:lnTo>
              </a:path>
              <a:path w="1169670" h="133350">
                <a:moveTo>
                  <a:pt x="4194" y="21234"/>
                </a:moveTo>
                <a:lnTo>
                  <a:pt x="2111" y="21234"/>
                </a:lnTo>
                <a:lnTo>
                  <a:pt x="346" y="22733"/>
                </a:lnTo>
                <a:lnTo>
                  <a:pt x="3" y="24777"/>
                </a:lnTo>
              </a:path>
              <a:path w="1169670" h="133350">
                <a:moveTo>
                  <a:pt x="6657" y="66509"/>
                </a:moveTo>
                <a:lnTo>
                  <a:pt x="31422" y="66509"/>
                </a:lnTo>
              </a:path>
              <a:path w="1169670" h="133350">
                <a:moveTo>
                  <a:pt x="31422" y="4254"/>
                </a:moveTo>
                <a:lnTo>
                  <a:pt x="31422" y="14160"/>
                </a:lnTo>
              </a:path>
              <a:path w="1169670" h="133350">
                <a:moveTo>
                  <a:pt x="48479" y="1422"/>
                </a:moveTo>
                <a:lnTo>
                  <a:pt x="65484" y="533"/>
                </a:lnTo>
              </a:path>
              <a:path w="1169670" h="133350">
                <a:moveTo>
                  <a:pt x="48479" y="1422"/>
                </a:moveTo>
                <a:lnTo>
                  <a:pt x="43513" y="1676"/>
                </a:lnTo>
                <a:lnTo>
                  <a:pt x="39627" y="5778"/>
                </a:lnTo>
                <a:lnTo>
                  <a:pt x="39627" y="10756"/>
                </a:lnTo>
              </a:path>
              <a:path w="1169670" h="133350">
                <a:moveTo>
                  <a:pt x="35677" y="0"/>
                </a:moveTo>
                <a:lnTo>
                  <a:pt x="39627" y="0"/>
                </a:lnTo>
              </a:path>
              <a:path w="1169670" h="133350">
                <a:moveTo>
                  <a:pt x="169827" y="10756"/>
                </a:moveTo>
                <a:lnTo>
                  <a:pt x="169827" y="5778"/>
                </a:lnTo>
                <a:lnTo>
                  <a:pt x="165941" y="1676"/>
                </a:lnTo>
                <a:lnTo>
                  <a:pt x="160975" y="1422"/>
                </a:lnTo>
              </a:path>
              <a:path w="1169670" h="133350">
                <a:moveTo>
                  <a:pt x="1143625" y="122301"/>
                </a:moveTo>
                <a:lnTo>
                  <a:pt x="1143625" y="10756"/>
                </a:lnTo>
              </a:path>
              <a:path w="1169670" h="133350">
                <a:moveTo>
                  <a:pt x="1143625" y="122301"/>
                </a:moveTo>
                <a:lnTo>
                  <a:pt x="1143625" y="10756"/>
                </a:lnTo>
              </a:path>
              <a:path w="1169670" h="133350">
                <a:moveTo>
                  <a:pt x="1143625" y="122301"/>
                </a:moveTo>
                <a:lnTo>
                  <a:pt x="1143625" y="10756"/>
                </a:lnTo>
              </a:path>
              <a:path w="1169670" h="133350">
                <a:moveTo>
                  <a:pt x="1143625" y="122301"/>
                </a:moveTo>
                <a:lnTo>
                  <a:pt x="1143625" y="10756"/>
                </a:lnTo>
              </a:path>
              <a:path w="1169670" h="133350">
                <a:moveTo>
                  <a:pt x="1143625" y="122301"/>
                </a:moveTo>
                <a:lnTo>
                  <a:pt x="1143625" y="127279"/>
                </a:lnTo>
                <a:lnTo>
                  <a:pt x="1147486" y="131368"/>
                </a:lnTo>
                <a:lnTo>
                  <a:pt x="1152451" y="131635"/>
                </a:lnTo>
              </a:path>
              <a:path w="1169670" h="133350">
                <a:moveTo>
                  <a:pt x="1152451" y="131635"/>
                </a:moveTo>
                <a:lnTo>
                  <a:pt x="1169482" y="132511"/>
                </a:lnTo>
              </a:path>
              <a:path w="1169670" h="133350">
                <a:moveTo>
                  <a:pt x="1152451" y="1422"/>
                </a:moveTo>
                <a:lnTo>
                  <a:pt x="1147486" y="1676"/>
                </a:lnTo>
                <a:lnTo>
                  <a:pt x="1143625" y="5778"/>
                </a:lnTo>
                <a:lnTo>
                  <a:pt x="1143625" y="10756"/>
                </a:lnTo>
              </a:path>
              <a:path w="1169670" h="133350">
                <a:moveTo>
                  <a:pt x="1152451" y="1422"/>
                </a:moveTo>
                <a:lnTo>
                  <a:pt x="1169482" y="533"/>
                </a:lnTo>
              </a:path>
            </a:pathLst>
          </a:custGeom>
          <a:ln w="10083">
            <a:solidFill>
              <a:srgbClr val="000000"/>
            </a:solidFill>
          </a:ln>
        </xdr:spPr>
      </xdr:sp>
      <xdr:pic>
        <xdr:nvPicPr>
          <xdr:cNvPr id="132" name="image61.png">
            <a:extLst>
              <a:ext uri="{FF2B5EF4-FFF2-40B4-BE49-F238E27FC236}">
                <a16:creationId xmlns:a16="http://schemas.microsoft.com/office/drawing/2014/main" id="{ED6A78CB-F817-EE3D-D02B-B8EE792EA01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731792" y="175547"/>
            <a:ext cx="75590" cy="143129"/>
          </a:xfrm>
          <a:prstGeom prst="rect">
            <a:avLst/>
          </a:prstGeom>
        </xdr:spPr>
      </xdr:pic>
      <xdr:sp macro="" textlink="">
        <xdr:nvSpPr>
          <xdr:cNvPr id="133" name="Shape 632">
            <a:extLst>
              <a:ext uri="{FF2B5EF4-FFF2-40B4-BE49-F238E27FC236}">
                <a16:creationId xmlns:a16="http://schemas.microsoft.com/office/drawing/2014/main" id="{304D17DC-5287-656E-AC42-BC9294477CC3}"/>
              </a:ext>
            </a:extLst>
          </xdr:cNvPr>
          <xdr:cNvSpPr/>
        </xdr:nvSpPr>
        <xdr:spPr>
          <a:xfrm>
            <a:off x="658709" y="181123"/>
            <a:ext cx="80010" cy="132080"/>
          </a:xfrm>
          <a:custGeom>
            <a:avLst/>
            <a:gdLst/>
            <a:ahLst/>
            <a:cxnLst/>
            <a:rect l="0" t="0" r="0" b="0"/>
            <a:pathLst>
              <a:path w="80010" h="132080">
                <a:moveTo>
                  <a:pt x="53809" y="121754"/>
                </a:moveTo>
                <a:lnTo>
                  <a:pt x="53809" y="10223"/>
                </a:lnTo>
              </a:path>
              <a:path w="80010" h="132080">
                <a:moveTo>
                  <a:pt x="53809" y="121754"/>
                </a:moveTo>
                <a:lnTo>
                  <a:pt x="53809" y="10223"/>
                </a:lnTo>
              </a:path>
              <a:path w="80010" h="132080">
                <a:moveTo>
                  <a:pt x="53809" y="120002"/>
                </a:moveTo>
                <a:lnTo>
                  <a:pt x="53809" y="11950"/>
                </a:lnTo>
              </a:path>
              <a:path w="80010" h="132080">
                <a:moveTo>
                  <a:pt x="7785" y="127812"/>
                </a:moveTo>
                <a:lnTo>
                  <a:pt x="45999" y="127812"/>
                </a:lnTo>
              </a:path>
              <a:path w="80010" h="132080">
                <a:moveTo>
                  <a:pt x="0" y="120002"/>
                </a:moveTo>
                <a:lnTo>
                  <a:pt x="0" y="124320"/>
                </a:lnTo>
                <a:lnTo>
                  <a:pt x="3505" y="127812"/>
                </a:lnTo>
                <a:lnTo>
                  <a:pt x="7785" y="127812"/>
                </a:lnTo>
              </a:path>
              <a:path w="80010" h="132080">
                <a:moveTo>
                  <a:pt x="7785" y="4178"/>
                </a:moveTo>
                <a:lnTo>
                  <a:pt x="45999" y="4178"/>
                </a:lnTo>
              </a:path>
              <a:path w="80010" h="132080">
                <a:moveTo>
                  <a:pt x="7785" y="4178"/>
                </a:moveTo>
                <a:lnTo>
                  <a:pt x="3505" y="4178"/>
                </a:lnTo>
                <a:lnTo>
                  <a:pt x="0" y="7658"/>
                </a:lnTo>
                <a:lnTo>
                  <a:pt x="0" y="11950"/>
                </a:lnTo>
              </a:path>
              <a:path w="80010" h="132080">
                <a:moveTo>
                  <a:pt x="53809" y="11950"/>
                </a:moveTo>
                <a:lnTo>
                  <a:pt x="53809" y="7658"/>
                </a:lnTo>
                <a:lnTo>
                  <a:pt x="50304" y="4178"/>
                </a:lnTo>
                <a:lnTo>
                  <a:pt x="45999" y="4178"/>
                </a:lnTo>
              </a:path>
              <a:path w="80010" h="132080">
                <a:moveTo>
                  <a:pt x="0" y="121754"/>
                </a:moveTo>
                <a:lnTo>
                  <a:pt x="0" y="10223"/>
                </a:lnTo>
              </a:path>
              <a:path w="80010" h="132080">
                <a:moveTo>
                  <a:pt x="0" y="121754"/>
                </a:moveTo>
                <a:lnTo>
                  <a:pt x="0" y="10223"/>
                </a:lnTo>
              </a:path>
              <a:path w="80010" h="132080">
                <a:moveTo>
                  <a:pt x="0" y="10223"/>
                </a:moveTo>
                <a:lnTo>
                  <a:pt x="0" y="121754"/>
                </a:lnTo>
              </a:path>
              <a:path w="80010" h="132080">
                <a:moveTo>
                  <a:pt x="45999" y="127812"/>
                </a:moveTo>
                <a:lnTo>
                  <a:pt x="50304" y="127812"/>
                </a:lnTo>
                <a:lnTo>
                  <a:pt x="53809" y="124320"/>
                </a:lnTo>
                <a:lnTo>
                  <a:pt x="53809" y="120002"/>
                </a:lnTo>
              </a:path>
              <a:path w="80010" h="132080">
                <a:moveTo>
                  <a:pt x="62636" y="888"/>
                </a:moveTo>
                <a:lnTo>
                  <a:pt x="57696" y="1142"/>
                </a:lnTo>
                <a:lnTo>
                  <a:pt x="53809" y="5232"/>
                </a:lnTo>
                <a:lnTo>
                  <a:pt x="53809" y="10223"/>
                </a:lnTo>
              </a:path>
              <a:path w="80010" h="132080">
                <a:moveTo>
                  <a:pt x="62636" y="131089"/>
                </a:moveTo>
                <a:lnTo>
                  <a:pt x="79667" y="131978"/>
                </a:lnTo>
              </a:path>
              <a:path w="80010" h="132080">
                <a:moveTo>
                  <a:pt x="62636" y="888"/>
                </a:moveTo>
                <a:lnTo>
                  <a:pt x="79667" y="0"/>
                </a:lnTo>
              </a:path>
              <a:path w="80010" h="132080">
                <a:moveTo>
                  <a:pt x="53809" y="121754"/>
                </a:moveTo>
                <a:lnTo>
                  <a:pt x="53809" y="126745"/>
                </a:lnTo>
                <a:lnTo>
                  <a:pt x="57696" y="130835"/>
                </a:lnTo>
                <a:lnTo>
                  <a:pt x="62636" y="131089"/>
                </a:lnTo>
              </a:path>
            </a:pathLst>
          </a:custGeom>
          <a:ln w="10083">
            <a:solidFill>
              <a:srgbClr val="000000"/>
            </a:solidFill>
          </a:ln>
        </xdr:spPr>
      </xdr:sp>
      <xdr:sp macro="" textlink="">
        <xdr:nvSpPr>
          <xdr:cNvPr id="134" name="Shape 633">
            <a:extLst>
              <a:ext uri="{FF2B5EF4-FFF2-40B4-BE49-F238E27FC236}">
                <a16:creationId xmlns:a16="http://schemas.microsoft.com/office/drawing/2014/main" id="{E2CAD51E-F312-6274-C409-590AFE1F4C99}"/>
              </a:ext>
            </a:extLst>
          </xdr:cNvPr>
          <xdr:cNvSpPr/>
        </xdr:nvSpPr>
        <xdr:spPr>
          <a:xfrm>
            <a:off x="554366" y="159373"/>
            <a:ext cx="1183005" cy="175895"/>
          </a:xfrm>
          <a:custGeom>
            <a:avLst/>
            <a:gdLst/>
            <a:ahLst/>
            <a:cxnLst/>
            <a:rect l="0" t="0" r="0" b="0"/>
            <a:pathLst>
              <a:path w="1183005" h="175895">
                <a:moveTo>
                  <a:pt x="1024343" y="31965"/>
                </a:moveTo>
                <a:lnTo>
                  <a:pt x="1024343" y="143509"/>
                </a:lnTo>
              </a:path>
              <a:path w="1183005" h="175895">
                <a:moveTo>
                  <a:pt x="1024343" y="143509"/>
                </a:moveTo>
                <a:lnTo>
                  <a:pt x="1024343" y="31965"/>
                </a:lnTo>
              </a:path>
              <a:path w="1183005" h="175895">
                <a:moveTo>
                  <a:pt x="1024343" y="143509"/>
                </a:moveTo>
                <a:lnTo>
                  <a:pt x="1024343" y="31965"/>
                </a:lnTo>
              </a:path>
              <a:path w="1183005" h="175895">
                <a:moveTo>
                  <a:pt x="1024343" y="143509"/>
                </a:moveTo>
                <a:lnTo>
                  <a:pt x="1024343" y="31965"/>
                </a:lnTo>
              </a:path>
              <a:path w="1183005" h="175895">
                <a:moveTo>
                  <a:pt x="1024343" y="143509"/>
                </a:moveTo>
                <a:lnTo>
                  <a:pt x="1024343" y="31965"/>
                </a:lnTo>
              </a:path>
              <a:path w="1183005" h="175895">
                <a:moveTo>
                  <a:pt x="1024343" y="143509"/>
                </a:moveTo>
                <a:lnTo>
                  <a:pt x="1024343" y="31965"/>
                </a:lnTo>
              </a:path>
              <a:path w="1183005" h="175895">
                <a:moveTo>
                  <a:pt x="1024343" y="143509"/>
                </a:moveTo>
                <a:lnTo>
                  <a:pt x="1024343" y="31965"/>
                </a:lnTo>
              </a:path>
              <a:path w="1183005" h="175895">
                <a:moveTo>
                  <a:pt x="1015466" y="152844"/>
                </a:moveTo>
                <a:lnTo>
                  <a:pt x="998499" y="153733"/>
                </a:lnTo>
              </a:path>
              <a:path w="1183005" h="175895">
                <a:moveTo>
                  <a:pt x="1015466" y="152844"/>
                </a:moveTo>
                <a:lnTo>
                  <a:pt x="1020432" y="152577"/>
                </a:lnTo>
                <a:lnTo>
                  <a:pt x="1024343" y="148488"/>
                </a:lnTo>
                <a:lnTo>
                  <a:pt x="1024343" y="143509"/>
                </a:lnTo>
              </a:path>
              <a:path w="1183005" h="175895">
                <a:moveTo>
                  <a:pt x="1015466" y="22631"/>
                </a:moveTo>
                <a:lnTo>
                  <a:pt x="998499" y="21755"/>
                </a:lnTo>
              </a:path>
              <a:path w="1183005" h="175895">
                <a:moveTo>
                  <a:pt x="1024343" y="31965"/>
                </a:moveTo>
                <a:lnTo>
                  <a:pt x="1024343" y="26987"/>
                </a:lnTo>
                <a:lnTo>
                  <a:pt x="1020432" y="22898"/>
                </a:lnTo>
                <a:lnTo>
                  <a:pt x="1015466" y="22631"/>
                </a:lnTo>
              </a:path>
              <a:path w="1183005" h="175895">
                <a:moveTo>
                  <a:pt x="1078141" y="141757"/>
                </a:moveTo>
                <a:lnTo>
                  <a:pt x="1078141" y="33705"/>
                </a:lnTo>
              </a:path>
              <a:path w="1183005" h="175895">
                <a:moveTo>
                  <a:pt x="1078141" y="143509"/>
                </a:moveTo>
                <a:lnTo>
                  <a:pt x="1078141" y="31965"/>
                </a:lnTo>
              </a:path>
              <a:path w="1183005" h="175895">
                <a:moveTo>
                  <a:pt x="1078141" y="143509"/>
                </a:moveTo>
                <a:lnTo>
                  <a:pt x="1078141" y="31965"/>
                </a:lnTo>
              </a:path>
              <a:path w="1183005" h="175895">
                <a:moveTo>
                  <a:pt x="1032103" y="149555"/>
                </a:moveTo>
                <a:lnTo>
                  <a:pt x="1070317" y="149555"/>
                </a:lnTo>
              </a:path>
              <a:path w="1183005" h="175895">
                <a:moveTo>
                  <a:pt x="1024343" y="141757"/>
                </a:moveTo>
                <a:lnTo>
                  <a:pt x="1024343" y="146075"/>
                </a:lnTo>
                <a:lnTo>
                  <a:pt x="1027811" y="149555"/>
                </a:lnTo>
                <a:lnTo>
                  <a:pt x="1032103" y="149555"/>
                </a:lnTo>
              </a:path>
              <a:path w="1183005" h="175895">
                <a:moveTo>
                  <a:pt x="1070317" y="149555"/>
                </a:moveTo>
                <a:lnTo>
                  <a:pt x="1074635" y="149555"/>
                </a:lnTo>
                <a:lnTo>
                  <a:pt x="1078141" y="146075"/>
                </a:lnTo>
                <a:lnTo>
                  <a:pt x="1078141" y="141757"/>
                </a:lnTo>
              </a:path>
              <a:path w="1183005" h="175895">
                <a:moveTo>
                  <a:pt x="1032103" y="25920"/>
                </a:moveTo>
                <a:lnTo>
                  <a:pt x="1070317" y="25920"/>
                </a:lnTo>
              </a:path>
              <a:path w="1183005" h="175895">
                <a:moveTo>
                  <a:pt x="1032103" y="25920"/>
                </a:moveTo>
                <a:lnTo>
                  <a:pt x="1027811" y="25920"/>
                </a:lnTo>
                <a:lnTo>
                  <a:pt x="1024343" y="29413"/>
                </a:lnTo>
                <a:lnTo>
                  <a:pt x="1024343" y="33705"/>
                </a:lnTo>
              </a:path>
              <a:path w="1183005" h="175895">
                <a:moveTo>
                  <a:pt x="1078141" y="33705"/>
                </a:moveTo>
                <a:lnTo>
                  <a:pt x="1078141" y="29413"/>
                </a:lnTo>
                <a:lnTo>
                  <a:pt x="1074635" y="25920"/>
                </a:lnTo>
                <a:lnTo>
                  <a:pt x="1070317" y="25920"/>
                </a:lnTo>
              </a:path>
              <a:path w="1183005" h="175895">
                <a:moveTo>
                  <a:pt x="1178610" y="35369"/>
                </a:moveTo>
                <a:lnTo>
                  <a:pt x="1175832" y="21597"/>
                </a:lnTo>
                <a:lnTo>
                  <a:pt x="1168253" y="10355"/>
                </a:lnTo>
                <a:lnTo>
                  <a:pt x="1157008" y="2777"/>
                </a:lnTo>
                <a:lnTo>
                  <a:pt x="1143228" y="0"/>
                </a:lnTo>
              </a:path>
              <a:path w="1183005" h="175895">
                <a:moveTo>
                  <a:pt x="1143228" y="175488"/>
                </a:moveTo>
                <a:lnTo>
                  <a:pt x="1157008" y="172710"/>
                </a:lnTo>
                <a:lnTo>
                  <a:pt x="1168253" y="165131"/>
                </a:lnTo>
                <a:lnTo>
                  <a:pt x="1175832" y="153885"/>
                </a:lnTo>
                <a:lnTo>
                  <a:pt x="1178610" y="140106"/>
                </a:lnTo>
              </a:path>
              <a:path w="1183005" h="175895">
                <a:moveTo>
                  <a:pt x="74637" y="140106"/>
                </a:moveTo>
                <a:lnTo>
                  <a:pt x="74637" y="35369"/>
                </a:lnTo>
              </a:path>
              <a:path w="1183005" h="175895">
                <a:moveTo>
                  <a:pt x="3848" y="140106"/>
                </a:moveTo>
                <a:lnTo>
                  <a:pt x="3848" y="35369"/>
                </a:lnTo>
              </a:path>
              <a:path w="1183005" h="175895">
                <a:moveTo>
                  <a:pt x="74637" y="35369"/>
                </a:moveTo>
                <a:lnTo>
                  <a:pt x="74637" y="140106"/>
                </a:lnTo>
              </a:path>
              <a:path w="1183005" h="175895">
                <a:moveTo>
                  <a:pt x="3848" y="140106"/>
                </a:moveTo>
                <a:lnTo>
                  <a:pt x="6633" y="153885"/>
                </a:lnTo>
                <a:lnTo>
                  <a:pt x="14224" y="165131"/>
                </a:lnTo>
                <a:lnTo>
                  <a:pt x="25472" y="172710"/>
                </a:lnTo>
                <a:lnTo>
                  <a:pt x="39230" y="175488"/>
                </a:lnTo>
              </a:path>
              <a:path w="1183005" h="175895">
                <a:moveTo>
                  <a:pt x="39230" y="175488"/>
                </a:moveTo>
                <a:lnTo>
                  <a:pt x="53013" y="172710"/>
                </a:lnTo>
                <a:lnTo>
                  <a:pt x="64268" y="165131"/>
                </a:lnTo>
                <a:lnTo>
                  <a:pt x="71855" y="153885"/>
                </a:lnTo>
                <a:lnTo>
                  <a:pt x="74637" y="140106"/>
                </a:lnTo>
              </a:path>
              <a:path w="1183005" h="175895">
                <a:moveTo>
                  <a:pt x="8445" y="157505"/>
                </a:moveTo>
                <a:lnTo>
                  <a:pt x="6121" y="155346"/>
                </a:lnTo>
                <a:lnTo>
                  <a:pt x="3162" y="154012"/>
                </a:lnTo>
                <a:lnTo>
                  <a:pt x="0" y="153733"/>
                </a:lnTo>
              </a:path>
              <a:path w="1183005" h="175895">
                <a:moveTo>
                  <a:pt x="39230" y="0"/>
                </a:moveTo>
                <a:lnTo>
                  <a:pt x="25472" y="2777"/>
                </a:lnTo>
                <a:lnTo>
                  <a:pt x="14224" y="10355"/>
                </a:lnTo>
                <a:lnTo>
                  <a:pt x="6633" y="21597"/>
                </a:lnTo>
                <a:lnTo>
                  <a:pt x="3848" y="35369"/>
                </a:lnTo>
              </a:path>
              <a:path w="1183005" h="175895">
                <a:moveTo>
                  <a:pt x="0" y="21755"/>
                </a:moveTo>
                <a:lnTo>
                  <a:pt x="3162" y="21475"/>
                </a:lnTo>
                <a:lnTo>
                  <a:pt x="6121" y="20142"/>
                </a:lnTo>
                <a:lnTo>
                  <a:pt x="8445" y="17970"/>
                </a:lnTo>
              </a:path>
              <a:path w="1183005" h="175895">
                <a:moveTo>
                  <a:pt x="70053" y="17970"/>
                </a:moveTo>
                <a:lnTo>
                  <a:pt x="72377" y="20142"/>
                </a:lnTo>
                <a:lnTo>
                  <a:pt x="75349" y="21475"/>
                </a:lnTo>
                <a:lnTo>
                  <a:pt x="78511" y="21755"/>
                </a:lnTo>
              </a:path>
              <a:path w="1183005" h="175895">
                <a:moveTo>
                  <a:pt x="74637" y="35369"/>
                </a:moveTo>
                <a:lnTo>
                  <a:pt x="71855" y="21597"/>
                </a:lnTo>
                <a:lnTo>
                  <a:pt x="64268" y="10355"/>
                </a:lnTo>
                <a:lnTo>
                  <a:pt x="53013" y="2777"/>
                </a:lnTo>
                <a:lnTo>
                  <a:pt x="39230" y="0"/>
                </a:lnTo>
              </a:path>
              <a:path w="1183005" h="175895">
                <a:moveTo>
                  <a:pt x="1107846" y="140106"/>
                </a:moveTo>
                <a:lnTo>
                  <a:pt x="1107846" y="35369"/>
                </a:lnTo>
              </a:path>
              <a:path w="1183005" h="175895">
                <a:moveTo>
                  <a:pt x="1107846" y="140106"/>
                </a:moveTo>
                <a:lnTo>
                  <a:pt x="1110626" y="153885"/>
                </a:lnTo>
                <a:lnTo>
                  <a:pt x="1118208" y="165131"/>
                </a:lnTo>
                <a:lnTo>
                  <a:pt x="1129454" y="172710"/>
                </a:lnTo>
                <a:lnTo>
                  <a:pt x="1143228" y="175488"/>
                </a:lnTo>
              </a:path>
              <a:path w="1183005" h="175895">
                <a:moveTo>
                  <a:pt x="1103985" y="21755"/>
                </a:moveTo>
                <a:lnTo>
                  <a:pt x="1107122" y="21475"/>
                </a:lnTo>
                <a:lnTo>
                  <a:pt x="1110119" y="20142"/>
                </a:lnTo>
                <a:lnTo>
                  <a:pt x="1112418" y="17970"/>
                </a:lnTo>
              </a:path>
              <a:path w="1183005" h="175895">
                <a:moveTo>
                  <a:pt x="1143228" y="0"/>
                </a:moveTo>
                <a:lnTo>
                  <a:pt x="1129454" y="2777"/>
                </a:lnTo>
                <a:lnTo>
                  <a:pt x="1118208" y="10355"/>
                </a:lnTo>
                <a:lnTo>
                  <a:pt x="1110626" y="21597"/>
                </a:lnTo>
                <a:lnTo>
                  <a:pt x="1107846" y="35369"/>
                </a:lnTo>
              </a:path>
              <a:path w="1183005" h="175895">
                <a:moveTo>
                  <a:pt x="1178610" y="35369"/>
                </a:moveTo>
                <a:lnTo>
                  <a:pt x="1178610" y="140106"/>
                </a:lnTo>
              </a:path>
              <a:path w="1183005" h="175895">
                <a:moveTo>
                  <a:pt x="1178610" y="140106"/>
                </a:moveTo>
                <a:lnTo>
                  <a:pt x="1178610" y="35369"/>
                </a:lnTo>
              </a:path>
              <a:path w="1183005" h="175895">
                <a:moveTo>
                  <a:pt x="1182471" y="153733"/>
                </a:moveTo>
                <a:lnTo>
                  <a:pt x="1179347" y="154012"/>
                </a:lnTo>
                <a:lnTo>
                  <a:pt x="1176350" y="155346"/>
                </a:lnTo>
                <a:lnTo>
                  <a:pt x="1174051" y="157505"/>
                </a:lnTo>
              </a:path>
              <a:path w="1183005" h="175895">
                <a:moveTo>
                  <a:pt x="1174051" y="17970"/>
                </a:moveTo>
                <a:lnTo>
                  <a:pt x="1176350" y="20142"/>
                </a:lnTo>
                <a:lnTo>
                  <a:pt x="1179347" y="21475"/>
                </a:lnTo>
                <a:lnTo>
                  <a:pt x="1182471" y="21755"/>
                </a:lnTo>
              </a:path>
            </a:pathLst>
          </a:custGeom>
          <a:ln w="10083">
            <a:solidFill>
              <a:srgbClr val="000000"/>
            </a:solidFill>
          </a:ln>
        </xdr:spPr>
      </xdr:sp>
      <xdr:pic>
        <xdr:nvPicPr>
          <xdr:cNvPr id="135" name="image62.png">
            <a:extLst>
              <a:ext uri="{FF2B5EF4-FFF2-40B4-BE49-F238E27FC236}">
                <a16:creationId xmlns:a16="http://schemas.microsoft.com/office/drawing/2014/main" id="{1E6D476B-3340-D6A2-A206-2D6209D4B2C5}"/>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733334" y="154331"/>
            <a:ext cx="88569" cy="185572"/>
          </a:xfrm>
          <a:prstGeom prst="rect">
            <a:avLst/>
          </a:prstGeom>
        </xdr:spPr>
      </xdr:pic>
      <xdr:pic>
        <xdr:nvPicPr>
          <xdr:cNvPr id="136" name="image63.png">
            <a:extLst>
              <a:ext uri="{FF2B5EF4-FFF2-40B4-BE49-F238E27FC236}">
                <a16:creationId xmlns:a16="http://schemas.microsoft.com/office/drawing/2014/main" id="{80434E41-A412-0BA9-1783-C6A225B6CF71}"/>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917332" y="154331"/>
            <a:ext cx="88569" cy="185572"/>
          </a:xfrm>
          <a:prstGeom prst="rect">
            <a:avLst/>
          </a:prstGeom>
        </xdr:spPr>
      </xdr:pic>
      <xdr:pic>
        <xdr:nvPicPr>
          <xdr:cNvPr id="137" name="image64.png">
            <a:extLst>
              <a:ext uri="{FF2B5EF4-FFF2-40B4-BE49-F238E27FC236}">
                <a16:creationId xmlns:a16="http://schemas.microsoft.com/office/drawing/2014/main" id="{80CFF699-665C-D5A7-D456-5E94402592AC}"/>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101304" y="154331"/>
            <a:ext cx="88595" cy="185572"/>
          </a:xfrm>
          <a:prstGeom prst="rect">
            <a:avLst/>
          </a:prstGeom>
        </xdr:spPr>
      </xdr:pic>
      <xdr:pic>
        <xdr:nvPicPr>
          <xdr:cNvPr id="138" name="image65.png">
            <a:extLst>
              <a:ext uri="{FF2B5EF4-FFF2-40B4-BE49-F238E27FC236}">
                <a16:creationId xmlns:a16="http://schemas.microsoft.com/office/drawing/2014/main" id="{A483A5B6-6744-F010-EA15-3341C74D5B2B}"/>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285302" y="154331"/>
            <a:ext cx="88607" cy="185572"/>
          </a:xfrm>
          <a:prstGeom prst="rect">
            <a:avLst/>
          </a:prstGeom>
        </xdr:spPr>
      </xdr:pic>
      <xdr:pic>
        <xdr:nvPicPr>
          <xdr:cNvPr id="139" name="image66.png">
            <a:extLst>
              <a:ext uri="{FF2B5EF4-FFF2-40B4-BE49-F238E27FC236}">
                <a16:creationId xmlns:a16="http://schemas.microsoft.com/office/drawing/2014/main" id="{6E34427A-514D-7BEE-BCEB-596691B4C301}"/>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469325" y="154331"/>
            <a:ext cx="88582" cy="185572"/>
          </a:xfrm>
          <a:prstGeom prst="rect">
            <a:avLst/>
          </a:prstGeom>
        </xdr:spPr>
      </xdr:pic>
      <xdr:sp macro="" textlink="">
        <xdr:nvSpPr>
          <xdr:cNvPr id="140" name="Shape 639">
            <a:extLst>
              <a:ext uri="{FF2B5EF4-FFF2-40B4-BE49-F238E27FC236}">
                <a16:creationId xmlns:a16="http://schemas.microsoft.com/office/drawing/2014/main" id="{CAF6DEA2-AD20-93DA-AF63-AB9676A1875B}"/>
              </a:ext>
            </a:extLst>
          </xdr:cNvPr>
          <xdr:cNvSpPr/>
        </xdr:nvSpPr>
        <xdr:spPr>
          <a:xfrm>
            <a:off x="43171" y="0"/>
            <a:ext cx="494030" cy="476250"/>
          </a:xfrm>
          <a:custGeom>
            <a:avLst/>
            <a:gdLst/>
            <a:ahLst/>
            <a:cxnLst/>
            <a:rect l="0" t="0" r="0" b="0"/>
            <a:pathLst>
              <a:path w="494030" h="476250">
                <a:moveTo>
                  <a:pt x="493826" y="334860"/>
                </a:moveTo>
                <a:lnTo>
                  <a:pt x="0" y="334860"/>
                </a:lnTo>
              </a:path>
              <a:path w="494030" h="476250">
                <a:moveTo>
                  <a:pt x="56616" y="159372"/>
                </a:moveTo>
                <a:lnTo>
                  <a:pt x="56616" y="334860"/>
                </a:lnTo>
              </a:path>
              <a:path w="494030" h="476250">
                <a:moveTo>
                  <a:pt x="56616" y="426821"/>
                </a:moveTo>
                <a:lnTo>
                  <a:pt x="56616" y="475665"/>
                </a:lnTo>
              </a:path>
              <a:path w="494030" h="476250">
                <a:moveTo>
                  <a:pt x="56616" y="3429"/>
                </a:moveTo>
                <a:lnTo>
                  <a:pt x="56616" y="65709"/>
                </a:lnTo>
              </a:path>
              <a:path w="494030" h="476250">
                <a:moveTo>
                  <a:pt x="389089" y="247103"/>
                </a:moveTo>
                <a:lnTo>
                  <a:pt x="169849" y="247103"/>
                </a:lnTo>
              </a:path>
              <a:path w="494030" h="476250">
                <a:moveTo>
                  <a:pt x="226466" y="190500"/>
                </a:moveTo>
                <a:lnTo>
                  <a:pt x="226466" y="0"/>
                </a:lnTo>
              </a:path>
              <a:path w="494030" h="476250">
                <a:moveTo>
                  <a:pt x="226466" y="391490"/>
                </a:moveTo>
                <a:lnTo>
                  <a:pt x="226466" y="475970"/>
                </a:lnTo>
              </a:path>
              <a:path w="494030" h="476250">
                <a:moveTo>
                  <a:pt x="0" y="159372"/>
                </a:moveTo>
                <a:lnTo>
                  <a:pt x="192290" y="159372"/>
                </a:lnTo>
              </a:path>
              <a:path w="494030" h="476250">
                <a:moveTo>
                  <a:pt x="260642" y="159372"/>
                </a:moveTo>
                <a:lnTo>
                  <a:pt x="493826" y="159372"/>
                </a:lnTo>
              </a:path>
              <a:path w="494030" h="476250">
                <a:moveTo>
                  <a:pt x="226466" y="334860"/>
                </a:moveTo>
                <a:lnTo>
                  <a:pt x="226466" y="247103"/>
                </a:lnTo>
              </a:path>
            </a:pathLst>
          </a:custGeom>
          <a:ln w="6045">
            <a:solidFill>
              <a:srgbClr val="000000"/>
            </a:solidFill>
          </a:ln>
        </xdr:spPr>
      </xdr:sp>
      <xdr:sp macro="" textlink="">
        <xdr:nvSpPr>
          <xdr:cNvPr id="141" name="Shape 640">
            <a:extLst>
              <a:ext uri="{FF2B5EF4-FFF2-40B4-BE49-F238E27FC236}">
                <a16:creationId xmlns:a16="http://schemas.microsoft.com/office/drawing/2014/main" id="{0BD3461A-58BD-B34E-281B-5F247FC369E5}"/>
              </a:ext>
            </a:extLst>
          </xdr:cNvPr>
          <xdr:cNvSpPr/>
        </xdr:nvSpPr>
        <xdr:spPr>
          <a:xfrm>
            <a:off x="-6" y="27398"/>
            <a:ext cx="290195" cy="409575"/>
          </a:xfrm>
          <a:custGeom>
            <a:avLst/>
            <a:gdLst/>
            <a:ahLst/>
            <a:cxnLst/>
            <a:rect l="0" t="0" r="0" b="0"/>
            <a:pathLst>
              <a:path w="290195" h="409575">
                <a:moveTo>
                  <a:pt x="71475" y="168300"/>
                </a:moveTo>
                <a:lnTo>
                  <a:pt x="63906" y="168300"/>
                </a:lnTo>
                <a:lnTo>
                  <a:pt x="63906" y="205003"/>
                </a:lnTo>
                <a:lnTo>
                  <a:pt x="57988" y="202399"/>
                </a:lnTo>
                <a:lnTo>
                  <a:pt x="53200" y="197688"/>
                </a:lnTo>
                <a:lnTo>
                  <a:pt x="49047" y="191617"/>
                </a:lnTo>
                <a:lnTo>
                  <a:pt x="45059" y="184937"/>
                </a:lnTo>
                <a:lnTo>
                  <a:pt x="40665" y="178485"/>
                </a:lnTo>
                <a:lnTo>
                  <a:pt x="35458" y="172935"/>
                </a:lnTo>
                <a:lnTo>
                  <a:pt x="28917" y="169049"/>
                </a:lnTo>
                <a:lnTo>
                  <a:pt x="20561" y="167589"/>
                </a:lnTo>
                <a:lnTo>
                  <a:pt x="11734" y="169329"/>
                </a:lnTo>
                <a:lnTo>
                  <a:pt x="5295" y="174091"/>
                </a:lnTo>
                <a:lnTo>
                  <a:pt x="1346" y="181203"/>
                </a:lnTo>
                <a:lnTo>
                  <a:pt x="0" y="189979"/>
                </a:lnTo>
                <a:lnTo>
                  <a:pt x="1917" y="200050"/>
                </a:lnTo>
                <a:lnTo>
                  <a:pt x="7200" y="207403"/>
                </a:lnTo>
                <a:lnTo>
                  <a:pt x="15227" y="211785"/>
                </a:lnTo>
                <a:lnTo>
                  <a:pt x="25298" y="212953"/>
                </a:lnTo>
                <a:lnTo>
                  <a:pt x="25298" y="204393"/>
                </a:lnTo>
                <a:lnTo>
                  <a:pt x="16738" y="204685"/>
                </a:lnTo>
                <a:lnTo>
                  <a:pt x="7556" y="200456"/>
                </a:lnTo>
                <a:lnTo>
                  <a:pt x="7556" y="182905"/>
                </a:lnTo>
                <a:lnTo>
                  <a:pt x="12700" y="176669"/>
                </a:lnTo>
                <a:lnTo>
                  <a:pt x="20459" y="176669"/>
                </a:lnTo>
                <a:lnTo>
                  <a:pt x="26974" y="177825"/>
                </a:lnTo>
                <a:lnTo>
                  <a:pt x="32258" y="181254"/>
                </a:lnTo>
                <a:lnTo>
                  <a:pt x="37071" y="186956"/>
                </a:lnTo>
                <a:lnTo>
                  <a:pt x="42227" y="194919"/>
                </a:lnTo>
                <a:lnTo>
                  <a:pt x="47053" y="202107"/>
                </a:lnTo>
                <a:lnTo>
                  <a:pt x="52844" y="208203"/>
                </a:lnTo>
                <a:lnTo>
                  <a:pt x="60642" y="212661"/>
                </a:lnTo>
                <a:lnTo>
                  <a:pt x="71475" y="214972"/>
                </a:lnTo>
                <a:lnTo>
                  <a:pt x="71475" y="168300"/>
                </a:lnTo>
                <a:close/>
              </a:path>
              <a:path w="290195" h="409575">
                <a:moveTo>
                  <a:pt x="72682" y="244995"/>
                </a:moveTo>
                <a:lnTo>
                  <a:pt x="70421" y="233794"/>
                </a:lnTo>
                <a:lnTo>
                  <a:pt x="70396" y="233667"/>
                </a:lnTo>
                <a:lnTo>
                  <a:pt x="67665" y="230200"/>
                </a:lnTo>
                <a:lnTo>
                  <a:pt x="65112" y="226987"/>
                </a:lnTo>
                <a:lnTo>
                  <a:pt x="65112" y="235343"/>
                </a:lnTo>
                <a:lnTo>
                  <a:pt x="65112" y="253987"/>
                </a:lnTo>
                <a:lnTo>
                  <a:pt x="58064" y="259422"/>
                </a:lnTo>
                <a:lnTo>
                  <a:pt x="40220" y="259422"/>
                </a:lnTo>
                <a:lnTo>
                  <a:pt x="33058" y="254177"/>
                </a:lnTo>
                <a:lnTo>
                  <a:pt x="33058" y="234823"/>
                </a:lnTo>
                <a:lnTo>
                  <a:pt x="40411" y="230200"/>
                </a:lnTo>
                <a:lnTo>
                  <a:pt x="57759" y="230200"/>
                </a:lnTo>
                <a:lnTo>
                  <a:pt x="65112" y="235343"/>
                </a:lnTo>
                <a:lnTo>
                  <a:pt x="65112" y="226987"/>
                </a:lnTo>
                <a:lnTo>
                  <a:pt x="64579" y="226301"/>
                </a:lnTo>
                <a:lnTo>
                  <a:pt x="56819" y="222326"/>
                </a:lnTo>
                <a:lnTo>
                  <a:pt x="48691" y="221119"/>
                </a:lnTo>
                <a:lnTo>
                  <a:pt x="39497" y="222618"/>
                </a:lnTo>
                <a:lnTo>
                  <a:pt x="32143" y="226923"/>
                </a:lnTo>
                <a:lnTo>
                  <a:pt x="27355" y="233667"/>
                </a:lnTo>
                <a:lnTo>
                  <a:pt x="27266" y="233794"/>
                </a:lnTo>
                <a:lnTo>
                  <a:pt x="25501" y="243001"/>
                </a:lnTo>
                <a:lnTo>
                  <a:pt x="25501" y="250748"/>
                </a:lnTo>
                <a:lnTo>
                  <a:pt x="28321" y="256794"/>
                </a:lnTo>
                <a:lnTo>
                  <a:pt x="34874" y="260832"/>
                </a:lnTo>
                <a:lnTo>
                  <a:pt x="34671" y="261035"/>
                </a:lnTo>
                <a:lnTo>
                  <a:pt x="25806" y="260223"/>
                </a:lnTo>
                <a:lnTo>
                  <a:pt x="17246" y="257771"/>
                </a:lnTo>
                <a:lnTo>
                  <a:pt x="17094" y="257771"/>
                </a:lnTo>
                <a:lnTo>
                  <a:pt x="10248" y="252526"/>
                </a:lnTo>
                <a:lnTo>
                  <a:pt x="7556" y="243713"/>
                </a:lnTo>
                <a:lnTo>
                  <a:pt x="7556" y="236956"/>
                </a:lnTo>
                <a:lnTo>
                  <a:pt x="11785" y="232498"/>
                </a:lnTo>
                <a:lnTo>
                  <a:pt x="18237" y="231698"/>
                </a:lnTo>
                <a:lnTo>
                  <a:pt x="18237" y="223139"/>
                </a:lnTo>
                <a:lnTo>
                  <a:pt x="50" y="243001"/>
                </a:lnTo>
                <a:lnTo>
                  <a:pt x="114" y="243713"/>
                </a:lnTo>
                <a:lnTo>
                  <a:pt x="3225" y="255993"/>
                </a:lnTo>
                <a:lnTo>
                  <a:pt x="11785" y="264083"/>
                </a:lnTo>
                <a:lnTo>
                  <a:pt x="24028" y="268351"/>
                </a:lnTo>
                <a:lnTo>
                  <a:pt x="38303" y="269595"/>
                </a:lnTo>
                <a:lnTo>
                  <a:pt x="50012" y="268732"/>
                </a:lnTo>
                <a:lnTo>
                  <a:pt x="61125" y="265239"/>
                </a:lnTo>
                <a:lnTo>
                  <a:pt x="65798" y="261035"/>
                </a:lnTo>
                <a:lnTo>
                  <a:pt x="67589" y="259422"/>
                </a:lnTo>
                <a:lnTo>
                  <a:pt x="69430" y="257771"/>
                </a:lnTo>
                <a:lnTo>
                  <a:pt x="72682" y="244995"/>
                </a:lnTo>
                <a:close/>
              </a:path>
              <a:path w="290195" h="409575">
                <a:moveTo>
                  <a:pt x="119799" y="409270"/>
                </a:moveTo>
                <a:lnTo>
                  <a:pt x="99783" y="309245"/>
                </a:lnTo>
                <a:lnTo>
                  <a:pt x="79794" y="409270"/>
                </a:lnTo>
                <a:lnTo>
                  <a:pt x="119799" y="409270"/>
                </a:lnTo>
                <a:close/>
              </a:path>
              <a:path w="290195" h="409575">
                <a:moveTo>
                  <a:pt x="119799" y="30187"/>
                </a:moveTo>
                <a:lnTo>
                  <a:pt x="79794" y="30187"/>
                </a:lnTo>
                <a:lnTo>
                  <a:pt x="99783" y="130213"/>
                </a:lnTo>
                <a:lnTo>
                  <a:pt x="119799" y="30187"/>
                </a:lnTo>
                <a:close/>
              </a:path>
              <a:path w="290195" h="409575">
                <a:moveTo>
                  <a:pt x="241312" y="0"/>
                </a:moveTo>
                <a:lnTo>
                  <a:pt x="169837" y="0"/>
                </a:lnTo>
                <a:lnTo>
                  <a:pt x="169837" y="6540"/>
                </a:lnTo>
                <a:lnTo>
                  <a:pt x="180619" y="8470"/>
                </a:lnTo>
                <a:lnTo>
                  <a:pt x="183248" y="17322"/>
                </a:lnTo>
                <a:lnTo>
                  <a:pt x="183248" y="27114"/>
                </a:lnTo>
                <a:lnTo>
                  <a:pt x="190106" y="27114"/>
                </a:lnTo>
                <a:lnTo>
                  <a:pt x="190106" y="8559"/>
                </a:lnTo>
                <a:lnTo>
                  <a:pt x="241312" y="8559"/>
                </a:lnTo>
                <a:lnTo>
                  <a:pt x="241312" y="0"/>
                </a:lnTo>
                <a:close/>
              </a:path>
              <a:path w="290195" h="409575">
                <a:moveTo>
                  <a:pt x="242519" y="65112"/>
                </a:moveTo>
                <a:lnTo>
                  <a:pt x="241134" y="55613"/>
                </a:lnTo>
                <a:lnTo>
                  <a:pt x="236994" y="47790"/>
                </a:lnTo>
                <a:lnTo>
                  <a:pt x="230187" y="42468"/>
                </a:lnTo>
                <a:lnTo>
                  <a:pt x="220738" y="40513"/>
                </a:lnTo>
                <a:lnTo>
                  <a:pt x="212178" y="40513"/>
                </a:lnTo>
                <a:lnTo>
                  <a:pt x="205320" y="44754"/>
                </a:lnTo>
                <a:lnTo>
                  <a:pt x="203403" y="53416"/>
                </a:lnTo>
                <a:lnTo>
                  <a:pt x="203200" y="53416"/>
                </a:lnTo>
                <a:lnTo>
                  <a:pt x="200685" y="47980"/>
                </a:lnTo>
                <a:lnTo>
                  <a:pt x="195237" y="43522"/>
                </a:lnTo>
                <a:lnTo>
                  <a:pt x="188988" y="43522"/>
                </a:lnTo>
                <a:lnTo>
                  <a:pt x="180428" y="45186"/>
                </a:lnTo>
                <a:lnTo>
                  <a:pt x="174459" y="49771"/>
                </a:lnTo>
                <a:lnTo>
                  <a:pt x="170980" y="56680"/>
                </a:lnTo>
                <a:lnTo>
                  <a:pt x="169837" y="65303"/>
                </a:lnTo>
                <a:lnTo>
                  <a:pt x="171538" y="74726"/>
                </a:lnTo>
                <a:lnTo>
                  <a:pt x="176276" y="81534"/>
                </a:lnTo>
                <a:lnTo>
                  <a:pt x="183578" y="85750"/>
                </a:lnTo>
                <a:lnTo>
                  <a:pt x="192925" y="87401"/>
                </a:lnTo>
                <a:lnTo>
                  <a:pt x="192925" y="78816"/>
                </a:lnTo>
                <a:lnTo>
                  <a:pt x="184556" y="78714"/>
                </a:lnTo>
                <a:lnTo>
                  <a:pt x="177393" y="74676"/>
                </a:lnTo>
                <a:lnTo>
                  <a:pt x="177393" y="58064"/>
                </a:lnTo>
                <a:lnTo>
                  <a:pt x="181419" y="52603"/>
                </a:lnTo>
                <a:lnTo>
                  <a:pt x="196659" y="52603"/>
                </a:lnTo>
                <a:lnTo>
                  <a:pt x="200583" y="58966"/>
                </a:lnTo>
                <a:lnTo>
                  <a:pt x="200482" y="69951"/>
                </a:lnTo>
                <a:lnTo>
                  <a:pt x="207733" y="69951"/>
                </a:lnTo>
                <a:lnTo>
                  <a:pt x="207429" y="66522"/>
                </a:lnTo>
                <a:lnTo>
                  <a:pt x="207429" y="56349"/>
                </a:lnTo>
                <a:lnTo>
                  <a:pt x="212178" y="49593"/>
                </a:lnTo>
                <a:lnTo>
                  <a:pt x="229819" y="49593"/>
                </a:lnTo>
                <a:lnTo>
                  <a:pt x="234962" y="56743"/>
                </a:lnTo>
                <a:lnTo>
                  <a:pt x="234962" y="74891"/>
                </a:lnTo>
                <a:lnTo>
                  <a:pt x="228498" y="80035"/>
                </a:lnTo>
                <a:lnTo>
                  <a:pt x="219227" y="80327"/>
                </a:lnTo>
                <a:lnTo>
                  <a:pt x="219227" y="88887"/>
                </a:lnTo>
                <a:lnTo>
                  <a:pt x="229082" y="87350"/>
                </a:lnTo>
                <a:lnTo>
                  <a:pt x="236397" y="82562"/>
                </a:lnTo>
                <a:lnTo>
                  <a:pt x="240957" y="74993"/>
                </a:lnTo>
                <a:lnTo>
                  <a:pt x="242519" y="65112"/>
                </a:lnTo>
                <a:close/>
              </a:path>
              <a:path w="290195" h="409575">
                <a:moveTo>
                  <a:pt x="289648" y="407492"/>
                </a:moveTo>
                <a:lnTo>
                  <a:pt x="269646" y="307467"/>
                </a:lnTo>
                <a:lnTo>
                  <a:pt x="249643" y="407492"/>
                </a:lnTo>
                <a:lnTo>
                  <a:pt x="289648" y="407492"/>
                </a:lnTo>
                <a:close/>
              </a:path>
              <a:path w="290195" h="409575">
                <a:moveTo>
                  <a:pt x="289648" y="119684"/>
                </a:moveTo>
                <a:lnTo>
                  <a:pt x="249643" y="119684"/>
                </a:lnTo>
                <a:lnTo>
                  <a:pt x="269646" y="219710"/>
                </a:lnTo>
                <a:lnTo>
                  <a:pt x="289648" y="119684"/>
                </a:lnTo>
                <a:close/>
              </a:path>
            </a:pathLst>
          </a:custGeom>
          <a:solidFill>
            <a:srgbClr val="000000"/>
          </a:solidFill>
        </xdr:spPr>
      </xdr:sp>
    </xdr:grpSp>
    <xdr:clientData/>
  </xdr:oneCellAnchor>
  <xdr:oneCellAnchor>
    <xdr:from>
      <xdr:col>0</xdr:col>
      <xdr:colOff>57894</xdr:colOff>
      <xdr:row>134</xdr:row>
      <xdr:rowOff>491623</xdr:rowOff>
    </xdr:from>
    <xdr:ext cx="2028825" cy="1611630"/>
    <xdr:grpSp>
      <xdr:nvGrpSpPr>
        <xdr:cNvPr id="142" name="Group 641">
          <a:extLst>
            <a:ext uri="{FF2B5EF4-FFF2-40B4-BE49-F238E27FC236}">
              <a16:creationId xmlns:a16="http://schemas.microsoft.com/office/drawing/2014/main" id="{98C9476E-D6A6-4887-B47E-12ACDDC8F02A}"/>
            </a:ext>
          </a:extLst>
        </xdr:cNvPr>
        <xdr:cNvGrpSpPr/>
      </xdr:nvGrpSpPr>
      <xdr:grpSpPr>
        <a:xfrm>
          <a:off x="57894" y="33314773"/>
          <a:ext cx="2028825" cy="1611630"/>
          <a:chOff x="0" y="0"/>
          <a:chExt cx="2028825" cy="1611630"/>
        </a:xfrm>
      </xdr:grpSpPr>
      <xdr:pic>
        <xdr:nvPicPr>
          <xdr:cNvPr id="143" name="image67.png">
            <a:extLst>
              <a:ext uri="{FF2B5EF4-FFF2-40B4-BE49-F238E27FC236}">
                <a16:creationId xmlns:a16="http://schemas.microsoft.com/office/drawing/2014/main" id="{AC71F9AE-ECE2-8CC5-37AE-0C7B05668438}"/>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480241"/>
            <a:ext cx="1806127" cy="865578"/>
          </a:xfrm>
          <a:prstGeom prst="rect">
            <a:avLst/>
          </a:prstGeom>
        </xdr:spPr>
      </xdr:pic>
      <xdr:sp macro="" textlink="">
        <xdr:nvSpPr>
          <xdr:cNvPr id="144" name="Shape 643">
            <a:extLst>
              <a:ext uri="{FF2B5EF4-FFF2-40B4-BE49-F238E27FC236}">
                <a16:creationId xmlns:a16="http://schemas.microsoft.com/office/drawing/2014/main" id="{8401B27E-2DC4-54F3-FDB8-2F929EAF2CE9}"/>
              </a:ext>
            </a:extLst>
          </xdr:cNvPr>
          <xdr:cNvSpPr/>
        </xdr:nvSpPr>
        <xdr:spPr>
          <a:xfrm>
            <a:off x="257355" y="42490"/>
            <a:ext cx="1771014" cy="1569085"/>
          </a:xfrm>
          <a:custGeom>
            <a:avLst/>
            <a:gdLst/>
            <a:ahLst/>
            <a:cxnLst/>
            <a:rect l="0" t="0" r="0" b="0"/>
            <a:pathLst>
              <a:path w="1771014" h="1569085">
                <a:moveTo>
                  <a:pt x="269887" y="407784"/>
                </a:moveTo>
                <a:lnTo>
                  <a:pt x="269887" y="171462"/>
                </a:lnTo>
              </a:path>
              <a:path w="1771014" h="1569085">
                <a:moveTo>
                  <a:pt x="230263" y="425107"/>
                </a:moveTo>
                <a:lnTo>
                  <a:pt x="230263" y="0"/>
                </a:lnTo>
              </a:path>
              <a:path w="1771014" h="1569085">
                <a:moveTo>
                  <a:pt x="326504" y="228079"/>
                </a:moveTo>
                <a:lnTo>
                  <a:pt x="411670" y="228079"/>
                </a:lnTo>
              </a:path>
              <a:path w="1771014" h="1569085">
                <a:moveTo>
                  <a:pt x="173647" y="228079"/>
                </a:moveTo>
                <a:lnTo>
                  <a:pt x="0" y="228079"/>
                </a:lnTo>
              </a:path>
              <a:path w="1771014" h="1569085">
                <a:moveTo>
                  <a:pt x="1504099" y="407784"/>
                </a:moveTo>
                <a:lnTo>
                  <a:pt x="1504099" y="171462"/>
                </a:lnTo>
              </a:path>
              <a:path w="1771014" h="1569085">
                <a:moveTo>
                  <a:pt x="1543735" y="425107"/>
                </a:moveTo>
                <a:lnTo>
                  <a:pt x="1543735" y="0"/>
                </a:lnTo>
              </a:path>
              <a:path w="1771014" h="1569085">
                <a:moveTo>
                  <a:pt x="1447469" y="228079"/>
                </a:moveTo>
                <a:lnTo>
                  <a:pt x="1362278" y="228079"/>
                </a:lnTo>
              </a:path>
              <a:path w="1771014" h="1569085">
                <a:moveTo>
                  <a:pt x="1600339" y="228079"/>
                </a:moveTo>
                <a:lnTo>
                  <a:pt x="1770888" y="228079"/>
                </a:lnTo>
              </a:path>
              <a:path w="1771014" h="1569085">
                <a:moveTo>
                  <a:pt x="400100" y="1330934"/>
                </a:moveTo>
                <a:lnTo>
                  <a:pt x="400100" y="1568742"/>
                </a:lnTo>
              </a:path>
              <a:path w="1771014" h="1569085">
                <a:moveTo>
                  <a:pt x="584111" y="1330934"/>
                </a:moveTo>
                <a:lnTo>
                  <a:pt x="584111" y="1568742"/>
                </a:lnTo>
              </a:path>
              <a:path w="1771014" h="1569085">
                <a:moveTo>
                  <a:pt x="400100" y="1512138"/>
                </a:moveTo>
                <a:lnTo>
                  <a:pt x="582637" y="1512138"/>
                </a:lnTo>
              </a:path>
              <a:path w="1771014" h="1569085">
                <a:moveTo>
                  <a:pt x="259562" y="1512138"/>
                </a:moveTo>
                <a:lnTo>
                  <a:pt x="345287" y="1512138"/>
                </a:lnTo>
              </a:path>
              <a:path w="1771014" h="1569085">
                <a:moveTo>
                  <a:pt x="634695" y="1512138"/>
                </a:moveTo>
                <a:lnTo>
                  <a:pt x="727278" y="1512138"/>
                </a:lnTo>
              </a:path>
              <a:path w="1771014" h="1569085">
                <a:moveTo>
                  <a:pt x="230263" y="228079"/>
                </a:moveTo>
                <a:lnTo>
                  <a:pt x="269887" y="228079"/>
                </a:lnTo>
              </a:path>
              <a:path w="1771014" h="1569085">
                <a:moveTo>
                  <a:pt x="1504099" y="228079"/>
                </a:moveTo>
                <a:lnTo>
                  <a:pt x="1543735" y="228079"/>
                </a:lnTo>
              </a:path>
              <a:path w="1771014" h="1569085">
                <a:moveTo>
                  <a:pt x="269887" y="407784"/>
                </a:moveTo>
                <a:lnTo>
                  <a:pt x="269887" y="171462"/>
                </a:lnTo>
              </a:path>
              <a:path w="1771014" h="1569085">
                <a:moveTo>
                  <a:pt x="1504099" y="407784"/>
                </a:moveTo>
                <a:lnTo>
                  <a:pt x="1504099" y="171462"/>
                </a:lnTo>
              </a:path>
              <a:path w="1771014" h="1569085">
                <a:moveTo>
                  <a:pt x="326504" y="56616"/>
                </a:moveTo>
                <a:lnTo>
                  <a:pt x="1447469" y="56616"/>
                </a:lnTo>
              </a:path>
              <a:path w="1771014" h="1569085">
                <a:moveTo>
                  <a:pt x="952093" y="1330934"/>
                </a:moveTo>
                <a:lnTo>
                  <a:pt x="952093" y="1568742"/>
                </a:lnTo>
              </a:path>
              <a:path w="1771014" h="1569085">
                <a:moveTo>
                  <a:pt x="1005903" y="1330934"/>
                </a:moveTo>
                <a:lnTo>
                  <a:pt x="1005903" y="1568742"/>
                </a:lnTo>
              </a:path>
              <a:path w="1771014" h="1569085">
                <a:moveTo>
                  <a:pt x="895477" y="1512138"/>
                </a:moveTo>
                <a:lnTo>
                  <a:pt x="812038" y="1512138"/>
                </a:lnTo>
              </a:path>
              <a:path w="1771014" h="1569085">
                <a:moveTo>
                  <a:pt x="1062482" y="1512138"/>
                </a:moveTo>
                <a:lnTo>
                  <a:pt x="1286510" y="1512138"/>
                </a:lnTo>
              </a:path>
              <a:path w="1771014" h="1569085">
                <a:moveTo>
                  <a:pt x="952093" y="1512138"/>
                </a:moveTo>
                <a:lnTo>
                  <a:pt x="1005903" y="1512138"/>
                </a:lnTo>
              </a:path>
            </a:pathLst>
          </a:custGeom>
          <a:ln w="6045">
            <a:solidFill>
              <a:srgbClr val="000000"/>
            </a:solidFill>
          </a:ln>
        </xdr:spPr>
      </xdr:sp>
      <xdr:sp macro="" textlink="">
        <xdr:nvSpPr>
          <xdr:cNvPr id="145" name="Shape 644">
            <a:extLst>
              <a:ext uri="{FF2B5EF4-FFF2-40B4-BE49-F238E27FC236}">
                <a16:creationId xmlns:a16="http://schemas.microsoft.com/office/drawing/2014/main" id="{200226C2-0C0E-FFE1-0AB1-7144B3FB6639}"/>
              </a:ext>
            </a:extLst>
          </xdr:cNvPr>
          <xdr:cNvSpPr/>
        </xdr:nvSpPr>
        <xdr:spPr>
          <a:xfrm>
            <a:off x="278058" y="0"/>
            <a:ext cx="1731010" cy="1574800"/>
          </a:xfrm>
          <a:custGeom>
            <a:avLst/>
            <a:gdLst/>
            <a:ahLst/>
            <a:cxnLst/>
            <a:rect l="0" t="0" r="0" b="0"/>
            <a:pathLst>
              <a:path w="1731010" h="1574800">
                <a:moveTo>
                  <a:pt x="27139" y="171894"/>
                </a:moveTo>
                <a:lnTo>
                  <a:pt x="20586" y="171894"/>
                </a:lnTo>
                <a:lnTo>
                  <a:pt x="18656" y="182676"/>
                </a:lnTo>
                <a:lnTo>
                  <a:pt x="9779" y="185305"/>
                </a:lnTo>
                <a:lnTo>
                  <a:pt x="0" y="185305"/>
                </a:lnTo>
                <a:lnTo>
                  <a:pt x="0" y="192176"/>
                </a:lnTo>
                <a:lnTo>
                  <a:pt x="18567" y="192176"/>
                </a:lnTo>
                <a:lnTo>
                  <a:pt x="18567" y="243433"/>
                </a:lnTo>
                <a:lnTo>
                  <a:pt x="27139" y="243433"/>
                </a:lnTo>
                <a:lnTo>
                  <a:pt x="27139" y="171894"/>
                </a:lnTo>
                <a:close/>
              </a:path>
              <a:path w="1731010" h="1574800">
                <a:moveTo>
                  <a:pt x="93065" y="214249"/>
                </a:moveTo>
                <a:lnTo>
                  <a:pt x="88823" y="207378"/>
                </a:lnTo>
                <a:lnTo>
                  <a:pt x="80149" y="205460"/>
                </a:lnTo>
                <a:lnTo>
                  <a:pt x="80149" y="205257"/>
                </a:lnTo>
                <a:lnTo>
                  <a:pt x="85598" y="202742"/>
                </a:lnTo>
                <a:lnTo>
                  <a:pt x="90030" y="197294"/>
                </a:lnTo>
                <a:lnTo>
                  <a:pt x="90030" y="191033"/>
                </a:lnTo>
                <a:lnTo>
                  <a:pt x="88366" y="182473"/>
                </a:lnTo>
                <a:lnTo>
                  <a:pt x="83781" y="176504"/>
                </a:lnTo>
                <a:lnTo>
                  <a:pt x="76873" y="173012"/>
                </a:lnTo>
                <a:lnTo>
                  <a:pt x="68237" y="171869"/>
                </a:lnTo>
                <a:lnTo>
                  <a:pt x="58801" y="173570"/>
                </a:lnTo>
                <a:lnTo>
                  <a:pt x="51993" y="178320"/>
                </a:lnTo>
                <a:lnTo>
                  <a:pt x="47777" y="185623"/>
                </a:lnTo>
                <a:lnTo>
                  <a:pt x="46139" y="194970"/>
                </a:lnTo>
                <a:lnTo>
                  <a:pt x="54711" y="194970"/>
                </a:lnTo>
                <a:lnTo>
                  <a:pt x="54813" y="186588"/>
                </a:lnTo>
                <a:lnTo>
                  <a:pt x="58839" y="179425"/>
                </a:lnTo>
                <a:lnTo>
                  <a:pt x="75501" y="179425"/>
                </a:lnTo>
                <a:lnTo>
                  <a:pt x="80949" y="183464"/>
                </a:lnTo>
                <a:lnTo>
                  <a:pt x="80949" y="198704"/>
                </a:lnTo>
                <a:lnTo>
                  <a:pt x="74587" y="202641"/>
                </a:lnTo>
                <a:lnTo>
                  <a:pt x="63588" y="202539"/>
                </a:lnTo>
                <a:lnTo>
                  <a:pt x="63588" y="209804"/>
                </a:lnTo>
                <a:lnTo>
                  <a:pt x="67017" y="209499"/>
                </a:lnTo>
                <a:lnTo>
                  <a:pt x="77216" y="209499"/>
                </a:lnTo>
                <a:lnTo>
                  <a:pt x="83985" y="214249"/>
                </a:lnTo>
                <a:lnTo>
                  <a:pt x="83985" y="231902"/>
                </a:lnTo>
                <a:lnTo>
                  <a:pt x="76822" y="237045"/>
                </a:lnTo>
                <a:lnTo>
                  <a:pt x="58648" y="237045"/>
                </a:lnTo>
                <a:lnTo>
                  <a:pt x="53505" y="230581"/>
                </a:lnTo>
                <a:lnTo>
                  <a:pt x="53187" y="221310"/>
                </a:lnTo>
                <a:lnTo>
                  <a:pt x="44627" y="221310"/>
                </a:lnTo>
                <a:lnTo>
                  <a:pt x="46164" y="231178"/>
                </a:lnTo>
                <a:lnTo>
                  <a:pt x="50952" y="238493"/>
                </a:lnTo>
                <a:lnTo>
                  <a:pt x="58534" y="243052"/>
                </a:lnTo>
                <a:lnTo>
                  <a:pt x="68427" y="244614"/>
                </a:lnTo>
                <a:lnTo>
                  <a:pt x="77939" y="243230"/>
                </a:lnTo>
                <a:lnTo>
                  <a:pt x="85775" y="239102"/>
                </a:lnTo>
                <a:lnTo>
                  <a:pt x="91097" y="232283"/>
                </a:lnTo>
                <a:lnTo>
                  <a:pt x="93065" y="222821"/>
                </a:lnTo>
                <a:lnTo>
                  <a:pt x="93065" y="214249"/>
                </a:lnTo>
                <a:close/>
              </a:path>
              <a:path w="1731010" h="1574800">
                <a:moveTo>
                  <a:pt x="209562" y="270586"/>
                </a:moveTo>
                <a:lnTo>
                  <a:pt x="109550" y="250571"/>
                </a:lnTo>
                <a:lnTo>
                  <a:pt x="109550" y="290576"/>
                </a:lnTo>
                <a:lnTo>
                  <a:pt x="209562" y="270586"/>
                </a:lnTo>
                <a:close/>
              </a:path>
              <a:path w="1731010" h="1574800">
                <a:moveTo>
                  <a:pt x="306336" y="79108"/>
                </a:moveTo>
                <a:lnTo>
                  <a:pt x="206311" y="99123"/>
                </a:lnTo>
                <a:lnTo>
                  <a:pt x="306336" y="119100"/>
                </a:lnTo>
                <a:lnTo>
                  <a:pt x="306336" y="79108"/>
                </a:lnTo>
                <a:close/>
              </a:path>
              <a:path w="1731010" h="1574800">
                <a:moveTo>
                  <a:pt x="349211" y="250571"/>
                </a:moveTo>
                <a:lnTo>
                  <a:pt x="249186" y="270586"/>
                </a:lnTo>
                <a:lnTo>
                  <a:pt x="349211" y="290576"/>
                </a:lnTo>
                <a:lnTo>
                  <a:pt x="349211" y="250571"/>
                </a:lnTo>
                <a:close/>
              </a:path>
              <a:path w="1731010" h="1574800">
                <a:moveTo>
                  <a:pt x="377812" y="1554619"/>
                </a:moveTo>
                <a:lnTo>
                  <a:pt x="277787" y="1534617"/>
                </a:lnTo>
                <a:lnTo>
                  <a:pt x="277787" y="1574622"/>
                </a:lnTo>
                <a:lnTo>
                  <a:pt x="377812" y="1554619"/>
                </a:lnTo>
                <a:close/>
              </a:path>
              <a:path w="1731010" h="1574800">
                <a:moveTo>
                  <a:pt x="469988" y="1502371"/>
                </a:moveTo>
                <a:lnTo>
                  <a:pt x="468642" y="1494104"/>
                </a:lnTo>
                <a:lnTo>
                  <a:pt x="468617" y="1493901"/>
                </a:lnTo>
                <a:lnTo>
                  <a:pt x="468503" y="1493177"/>
                </a:lnTo>
                <a:lnTo>
                  <a:pt x="464731" y="1486738"/>
                </a:lnTo>
                <a:lnTo>
                  <a:pt x="464197" y="1485823"/>
                </a:lnTo>
                <a:lnTo>
                  <a:pt x="460908" y="1483499"/>
                </a:lnTo>
                <a:lnTo>
                  <a:pt x="460908" y="1494104"/>
                </a:lnTo>
                <a:lnTo>
                  <a:pt x="460908" y="1511452"/>
                </a:lnTo>
                <a:lnTo>
                  <a:pt x="455764" y="1518793"/>
                </a:lnTo>
                <a:lnTo>
                  <a:pt x="437121" y="1518793"/>
                </a:lnTo>
                <a:lnTo>
                  <a:pt x="431685" y="1511744"/>
                </a:lnTo>
                <a:lnTo>
                  <a:pt x="431685" y="1493901"/>
                </a:lnTo>
                <a:lnTo>
                  <a:pt x="435597" y="1488554"/>
                </a:lnTo>
                <a:lnTo>
                  <a:pt x="436930" y="1486738"/>
                </a:lnTo>
                <a:lnTo>
                  <a:pt x="456272" y="1486738"/>
                </a:lnTo>
                <a:lnTo>
                  <a:pt x="460908" y="1494104"/>
                </a:lnTo>
                <a:lnTo>
                  <a:pt x="460908" y="1483499"/>
                </a:lnTo>
                <a:lnTo>
                  <a:pt x="457314" y="1480947"/>
                </a:lnTo>
                <a:lnTo>
                  <a:pt x="448106" y="1479181"/>
                </a:lnTo>
                <a:lnTo>
                  <a:pt x="440347" y="1479181"/>
                </a:lnTo>
                <a:lnTo>
                  <a:pt x="434301" y="1482013"/>
                </a:lnTo>
                <a:lnTo>
                  <a:pt x="430390" y="1488351"/>
                </a:lnTo>
                <a:lnTo>
                  <a:pt x="430263" y="1488554"/>
                </a:lnTo>
                <a:lnTo>
                  <a:pt x="447395" y="1461236"/>
                </a:lnTo>
                <a:lnTo>
                  <a:pt x="454152" y="1461236"/>
                </a:lnTo>
                <a:lnTo>
                  <a:pt x="458597" y="1465478"/>
                </a:lnTo>
                <a:lnTo>
                  <a:pt x="459409" y="1471930"/>
                </a:lnTo>
                <a:lnTo>
                  <a:pt x="467969" y="1471930"/>
                </a:lnTo>
                <a:lnTo>
                  <a:pt x="466051" y="1464183"/>
                </a:lnTo>
                <a:lnTo>
                  <a:pt x="463931" y="1461236"/>
                </a:lnTo>
                <a:lnTo>
                  <a:pt x="461937" y="1458455"/>
                </a:lnTo>
                <a:lnTo>
                  <a:pt x="455803" y="1454899"/>
                </a:lnTo>
                <a:lnTo>
                  <a:pt x="447814" y="1453680"/>
                </a:lnTo>
                <a:lnTo>
                  <a:pt x="435114" y="1456905"/>
                </a:lnTo>
                <a:lnTo>
                  <a:pt x="427024" y="1465478"/>
                </a:lnTo>
                <a:lnTo>
                  <a:pt x="422757" y="1477708"/>
                </a:lnTo>
                <a:lnTo>
                  <a:pt x="421513" y="1491996"/>
                </a:lnTo>
                <a:lnTo>
                  <a:pt x="422275" y="1502371"/>
                </a:lnTo>
                <a:lnTo>
                  <a:pt x="422376" y="1503692"/>
                </a:lnTo>
                <a:lnTo>
                  <a:pt x="425869" y="1514805"/>
                </a:lnTo>
                <a:lnTo>
                  <a:pt x="433324" y="1523098"/>
                </a:lnTo>
                <a:lnTo>
                  <a:pt x="446100" y="1526349"/>
                </a:lnTo>
                <a:lnTo>
                  <a:pt x="457441" y="1524063"/>
                </a:lnTo>
                <a:lnTo>
                  <a:pt x="464121" y="1518793"/>
                </a:lnTo>
                <a:lnTo>
                  <a:pt x="464807" y="1518259"/>
                </a:lnTo>
                <a:lnTo>
                  <a:pt x="468795" y="1510499"/>
                </a:lnTo>
                <a:lnTo>
                  <a:pt x="469988" y="1502371"/>
                </a:lnTo>
                <a:close/>
              </a:path>
              <a:path w="1731010" h="1574800">
                <a:moveTo>
                  <a:pt x="525030" y="1502575"/>
                </a:moveTo>
                <a:lnTo>
                  <a:pt x="523214" y="1491856"/>
                </a:lnTo>
                <a:lnTo>
                  <a:pt x="518248" y="1484198"/>
                </a:lnTo>
                <a:lnTo>
                  <a:pt x="510908" y="1479600"/>
                </a:lnTo>
                <a:lnTo>
                  <a:pt x="501942" y="1478076"/>
                </a:lnTo>
                <a:lnTo>
                  <a:pt x="497116" y="1478076"/>
                </a:lnTo>
                <a:lnTo>
                  <a:pt x="491756" y="1479689"/>
                </a:lnTo>
                <a:lnTo>
                  <a:pt x="488619" y="1483220"/>
                </a:lnTo>
                <a:lnTo>
                  <a:pt x="488429" y="1483029"/>
                </a:lnTo>
                <a:lnTo>
                  <a:pt x="492264" y="1462443"/>
                </a:lnTo>
                <a:lnTo>
                  <a:pt x="521093" y="1462443"/>
                </a:lnTo>
                <a:lnTo>
                  <a:pt x="521093" y="1454886"/>
                </a:lnTo>
                <a:lnTo>
                  <a:pt x="485813" y="1454886"/>
                </a:lnTo>
                <a:lnTo>
                  <a:pt x="479158" y="1491996"/>
                </a:lnTo>
                <a:lnTo>
                  <a:pt x="486524" y="1492389"/>
                </a:lnTo>
                <a:lnTo>
                  <a:pt x="489851" y="1488363"/>
                </a:lnTo>
                <a:lnTo>
                  <a:pt x="494372" y="1485646"/>
                </a:lnTo>
                <a:lnTo>
                  <a:pt x="509397" y="1485646"/>
                </a:lnTo>
                <a:lnTo>
                  <a:pt x="515950" y="1492389"/>
                </a:lnTo>
                <a:lnTo>
                  <a:pt x="515950" y="1513268"/>
                </a:lnTo>
                <a:lnTo>
                  <a:pt x="509003" y="1518805"/>
                </a:lnTo>
                <a:lnTo>
                  <a:pt x="492264" y="1518805"/>
                </a:lnTo>
                <a:lnTo>
                  <a:pt x="486321" y="1513268"/>
                </a:lnTo>
                <a:lnTo>
                  <a:pt x="485813" y="1505902"/>
                </a:lnTo>
                <a:lnTo>
                  <a:pt x="477240" y="1505902"/>
                </a:lnTo>
                <a:lnTo>
                  <a:pt x="479183" y="1514538"/>
                </a:lnTo>
                <a:lnTo>
                  <a:pt x="484098" y="1520964"/>
                </a:lnTo>
                <a:lnTo>
                  <a:pt x="491274" y="1524977"/>
                </a:lnTo>
                <a:lnTo>
                  <a:pt x="500024" y="1526362"/>
                </a:lnTo>
                <a:lnTo>
                  <a:pt x="510946" y="1524342"/>
                </a:lnTo>
                <a:lnTo>
                  <a:pt x="518769" y="1519008"/>
                </a:lnTo>
                <a:lnTo>
                  <a:pt x="523468" y="1511388"/>
                </a:lnTo>
                <a:lnTo>
                  <a:pt x="525030" y="1502575"/>
                </a:lnTo>
                <a:close/>
              </a:path>
              <a:path w="1731010" h="1574800">
                <a:moveTo>
                  <a:pt x="663816" y="1534617"/>
                </a:moveTo>
                <a:lnTo>
                  <a:pt x="563816" y="1554619"/>
                </a:lnTo>
                <a:lnTo>
                  <a:pt x="663816" y="1574622"/>
                </a:lnTo>
                <a:lnTo>
                  <a:pt x="663816" y="1534617"/>
                </a:lnTo>
                <a:close/>
              </a:path>
              <a:path w="1731010" h="1574800">
                <a:moveTo>
                  <a:pt x="894956" y="63906"/>
                </a:moveTo>
                <a:lnTo>
                  <a:pt x="856856" y="63906"/>
                </a:lnTo>
                <a:lnTo>
                  <a:pt x="856856" y="0"/>
                </a:lnTo>
                <a:lnTo>
                  <a:pt x="847267" y="0"/>
                </a:lnTo>
                <a:lnTo>
                  <a:pt x="847267" y="71970"/>
                </a:lnTo>
                <a:lnTo>
                  <a:pt x="894956" y="71970"/>
                </a:lnTo>
                <a:lnTo>
                  <a:pt x="894956" y="63906"/>
                </a:lnTo>
                <a:close/>
              </a:path>
              <a:path w="1731010" h="1574800">
                <a:moveTo>
                  <a:pt x="931379" y="1554619"/>
                </a:moveTo>
                <a:lnTo>
                  <a:pt x="831380" y="1534617"/>
                </a:lnTo>
                <a:lnTo>
                  <a:pt x="831380" y="1574622"/>
                </a:lnTo>
                <a:lnTo>
                  <a:pt x="931379" y="1554619"/>
                </a:lnTo>
                <a:close/>
              </a:path>
              <a:path w="1731010" h="1574800">
                <a:moveTo>
                  <a:pt x="1085189" y="1534617"/>
                </a:moveTo>
                <a:lnTo>
                  <a:pt x="985189" y="1554619"/>
                </a:lnTo>
                <a:lnTo>
                  <a:pt x="1085189" y="1574622"/>
                </a:lnTo>
                <a:lnTo>
                  <a:pt x="1085189" y="1534617"/>
                </a:lnTo>
                <a:close/>
              </a:path>
              <a:path w="1731010" h="1574800">
                <a:moveTo>
                  <a:pt x="1130160" y="1453680"/>
                </a:moveTo>
                <a:lnTo>
                  <a:pt x="1123607" y="1453680"/>
                </a:lnTo>
                <a:lnTo>
                  <a:pt x="1121689" y="1464475"/>
                </a:lnTo>
                <a:lnTo>
                  <a:pt x="1112812" y="1467091"/>
                </a:lnTo>
                <a:lnTo>
                  <a:pt x="1103033" y="1467091"/>
                </a:lnTo>
                <a:lnTo>
                  <a:pt x="1103033" y="1473936"/>
                </a:lnTo>
                <a:lnTo>
                  <a:pt x="1121587" y="1473936"/>
                </a:lnTo>
                <a:lnTo>
                  <a:pt x="1121587" y="1525155"/>
                </a:lnTo>
                <a:lnTo>
                  <a:pt x="1130160" y="1525155"/>
                </a:lnTo>
                <a:lnTo>
                  <a:pt x="1130160" y="1453680"/>
                </a:lnTo>
                <a:close/>
              </a:path>
              <a:path w="1731010" h="1574800">
                <a:moveTo>
                  <a:pt x="1201724" y="1487868"/>
                </a:moveTo>
                <a:lnTo>
                  <a:pt x="1199769" y="1471117"/>
                </a:lnTo>
                <a:lnTo>
                  <a:pt x="1194790" y="1461249"/>
                </a:lnTo>
                <a:lnTo>
                  <a:pt x="1194473" y="1460627"/>
                </a:lnTo>
                <a:lnTo>
                  <a:pt x="1191552" y="1458607"/>
                </a:lnTo>
                <a:lnTo>
                  <a:pt x="1191552" y="1468805"/>
                </a:lnTo>
                <a:lnTo>
                  <a:pt x="1191552" y="1486039"/>
                </a:lnTo>
                <a:lnTo>
                  <a:pt x="1185900" y="1493304"/>
                </a:lnTo>
                <a:lnTo>
                  <a:pt x="1168666" y="1493304"/>
                </a:lnTo>
                <a:lnTo>
                  <a:pt x="1162824" y="1486039"/>
                </a:lnTo>
                <a:lnTo>
                  <a:pt x="1162824" y="1469415"/>
                </a:lnTo>
                <a:lnTo>
                  <a:pt x="1166647" y="1461249"/>
                </a:lnTo>
                <a:lnTo>
                  <a:pt x="1186408" y="1461249"/>
                </a:lnTo>
                <a:lnTo>
                  <a:pt x="1191552" y="1468805"/>
                </a:lnTo>
                <a:lnTo>
                  <a:pt x="1191552" y="1458607"/>
                </a:lnTo>
                <a:lnTo>
                  <a:pt x="1186688" y="1455216"/>
                </a:lnTo>
                <a:lnTo>
                  <a:pt x="1177239" y="1453680"/>
                </a:lnTo>
                <a:lnTo>
                  <a:pt x="1167739" y="1455369"/>
                </a:lnTo>
                <a:lnTo>
                  <a:pt x="1160310" y="1460144"/>
                </a:lnTo>
                <a:lnTo>
                  <a:pt x="1155471" y="1467510"/>
                </a:lnTo>
                <a:lnTo>
                  <a:pt x="1153744" y="1476984"/>
                </a:lnTo>
                <a:lnTo>
                  <a:pt x="1155141" y="1486039"/>
                </a:lnTo>
                <a:lnTo>
                  <a:pt x="1155230" y="1486662"/>
                </a:lnTo>
                <a:lnTo>
                  <a:pt x="1159586" y="1494205"/>
                </a:lnTo>
                <a:lnTo>
                  <a:pt x="1166672" y="1499108"/>
                </a:lnTo>
                <a:lnTo>
                  <a:pt x="1176324" y="1500860"/>
                </a:lnTo>
                <a:lnTo>
                  <a:pt x="1183284" y="1500860"/>
                </a:lnTo>
                <a:lnTo>
                  <a:pt x="1189634" y="1497037"/>
                </a:lnTo>
                <a:lnTo>
                  <a:pt x="1191615" y="1493304"/>
                </a:lnTo>
                <a:lnTo>
                  <a:pt x="1192733" y="1491195"/>
                </a:lnTo>
                <a:lnTo>
                  <a:pt x="1192847" y="1490980"/>
                </a:lnTo>
                <a:lnTo>
                  <a:pt x="1193063" y="1491195"/>
                </a:lnTo>
                <a:lnTo>
                  <a:pt x="1191806" y="1503286"/>
                </a:lnTo>
                <a:lnTo>
                  <a:pt x="1188732" y="1511909"/>
                </a:lnTo>
                <a:lnTo>
                  <a:pt x="1183805" y="1517065"/>
                </a:lnTo>
                <a:lnTo>
                  <a:pt x="1176921" y="1518793"/>
                </a:lnTo>
                <a:lnTo>
                  <a:pt x="1170063" y="1518793"/>
                </a:lnTo>
                <a:lnTo>
                  <a:pt x="1164437" y="1514881"/>
                </a:lnTo>
                <a:lnTo>
                  <a:pt x="1163828" y="1507909"/>
                </a:lnTo>
                <a:lnTo>
                  <a:pt x="1155268" y="1507909"/>
                </a:lnTo>
                <a:lnTo>
                  <a:pt x="1157427" y="1515986"/>
                </a:lnTo>
                <a:lnTo>
                  <a:pt x="1162011" y="1521752"/>
                </a:lnTo>
                <a:lnTo>
                  <a:pt x="1168641" y="1525206"/>
                </a:lnTo>
                <a:lnTo>
                  <a:pt x="1176921" y="1526362"/>
                </a:lnTo>
                <a:lnTo>
                  <a:pt x="1188123" y="1523809"/>
                </a:lnTo>
                <a:lnTo>
                  <a:pt x="1193330" y="1518793"/>
                </a:lnTo>
                <a:lnTo>
                  <a:pt x="1195832" y="1516367"/>
                </a:lnTo>
                <a:lnTo>
                  <a:pt x="1200289" y="1504289"/>
                </a:lnTo>
                <a:lnTo>
                  <a:pt x="1201432" y="1491195"/>
                </a:lnTo>
                <a:lnTo>
                  <a:pt x="1201458" y="1490980"/>
                </a:lnTo>
                <a:lnTo>
                  <a:pt x="1201724" y="1487868"/>
                </a:lnTo>
                <a:close/>
              </a:path>
              <a:path w="1731010" h="1574800">
                <a:moveTo>
                  <a:pt x="1483385" y="270586"/>
                </a:moveTo>
                <a:lnTo>
                  <a:pt x="1383347" y="250571"/>
                </a:lnTo>
                <a:lnTo>
                  <a:pt x="1383347" y="290576"/>
                </a:lnTo>
                <a:lnTo>
                  <a:pt x="1483385" y="270586"/>
                </a:lnTo>
                <a:close/>
              </a:path>
              <a:path w="1731010" h="1574800">
                <a:moveTo>
                  <a:pt x="1526247" y="99123"/>
                </a:moveTo>
                <a:lnTo>
                  <a:pt x="1426210" y="79108"/>
                </a:lnTo>
                <a:lnTo>
                  <a:pt x="1426210" y="119100"/>
                </a:lnTo>
                <a:lnTo>
                  <a:pt x="1526247" y="99123"/>
                </a:lnTo>
                <a:close/>
              </a:path>
              <a:path w="1731010" h="1574800">
                <a:moveTo>
                  <a:pt x="1623021" y="250571"/>
                </a:moveTo>
                <a:lnTo>
                  <a:pt x="1523022" y="270586"/>
                </a:lnTo>
                <a:lnTo>
                  <a:pt x="1623021" y="290576"/>
                </a:lnTo>
                <a:lnTo>
                  <a:pt x="1623021" y="250571"/>
                </a:lnTo>
                <a:close/>
              </a:path>
              <a:path w="1731010" h="1574800">
                <a:moveTo>
                  <a:pt x="1664766" y="171894"/>
                </a:moveTo>
                <a:lnTo>
                  <a:pt x="1658213" y="171894"/>
                </a:lnTo>
                <a:lnTo>
                  <a:pt x="1656283" y="182676"/>
                </a:lnTo>
                <a:lnTo>
                  <a:pt x="1647405" y="185305"/>
                </a:lnTo>
                <a:lnTo>
                  <a:pt x="1637614" y="185305"/>
                </a:lnTo>
                <a:lnTo>
                  <a:pt x="1637614" y="192176"/>
                </a:lnTo>
                <a:lnTo>
                  <a:pt x="1656181" y="192176"/>
                </a:lnTo>
                <a:lnTo>
                  <a:pt x="1656181" y="243433"/>
                </a:lnTo>
                <a:lnTo>
                  <a:pt x="1664766" y="243433"/>
                </a:lnTo>
                <a:lnTo>
                  <a:pt x="1664766" y="171894"/>
                </a:lnTo>
                <a:close/>
              </a:path>
              <a:path w="1731010" h="1574800">
                <a:moveTo>
                  <a:pt x="1730679" y="214249"/>
                </a:moveTo>
                <a:lnTo>
                  <a:pt x="1726450" y="207378"/>
                </a:lnTo>
                <a:lnTo>
                  <a:pt x="1717776" y="205460"/>
                </a:lnTo>
                <a:lnTo>
                  <a:pt x="1717776" y="205257"/>
                </a:lnTo>
                <a:lnTo>
                  <a:pt x="1723224" y="202742"/>
                </a:lnTo>
                <a:lnTo>
                  <a:pt x="1727657" y="197294"/>
                </a:lnTo>
                <a:lnTo>
                  <a:pt x="1727657" y="191033"/>
                </a:lnTo>
                <a:lnTo>
                  <a:pt x="1725993" y="182473"/>
                </a:lnTo>
                <a:lnTo>
                  <a:pt x="1721408" y="176504"/>
                </a:lnTo>
                <a:lnTo>
                  <a:pt x="1714500" y="173012"/>
                </a:lnTo>
                <a:lnTo>
                  <a:pt x="1705864" y="171869"/>
                </a:lnTo>
                <a:lnTo>
                  <a:pt x="1696427" y="173570"/>
                </a:lnTo>
                <a:lnTo>
                  <a:pt x="1689620" y="178320"/>
                </a:lnTo>
                <a:lnTo>
                  <a:pt x="1685404" y="185623"/>
                </a:lnTo>
                <a:lnTo>
                  <a:pt x="1683766" y="194970"/>
                </a:lnTo>
                <a:lnTo>
                  <a:pt x="1692338" y="194970"/>
                </a:lnTo>
                <a:lnTo>
                  <a:pt x="1692427" y="186588"/>
                </a:lnTo>
                <a:lnTo>
                  <a:pt x="1696466" y="179425"/>
                </a:lnTo>
                <a:lnTo>
                  <a:pt x="1713115" y="179425"/>
                </a:lnTo>
                <a:lnTo>
                  <a:pt x="1718576" y="183464"/>
                </a:lnTo>
                <a:lnTo>
                  <a:pt x="1718576" y="198704"/>
                </a:lnTo>
                <a:lnTo>
                  <a:pt x="1712214" y="202641"/>
                </a:lnTo>
                <a:lnTo>
                  <a:pt x="1701203" y="202539"/>
                </a:lnTo>
                <a:lnTo>
                  <a:pt x="1701203" y="209804"/>
                </a:lnTo>
                <a:lnTo>
                  <a:pt x="1704632" y="209499"/>
                </a:lnTo>
                <a:lnTo>
                  <a:pt x="1714830" y="209499"/>
                </a:lnTo>
                <a:lnTo>
                  <a:pt x="1721612" y="214249"/>
                </a:lnTo>
                <a:lnTo>
                  <a:pt x="1721612" y="231902"/>
                </a:lnTo>
                <a:lnTo>
                  <a:pt x="1714449" y="237045"/>
                </a:lnTo>
                <a:lnTo>
                  <a:pt x="1696262" y="237045"/>
                </a:lnTo>
                <a:lnTo>
                  <a:pt x="1691119" y="230581"/>
                </a:lnTo>
                <a:lnTo>
                  <a:pt x="1690814" y="221310"/>
                </a:lnTo>
                <a:lnTo>
                  <a:pt x="1682254" y="221310"/>
                </a:lnTo>
                <a:lnTo>
                  <a:pt x="1683791" y="231178"/>
                </a:lnTo>
                <a:lnTo>
                  <a:pt x="1688579" y="238493"/>
                </a:lnTo>
                <a:lnTo>
                  <a:pt x="1696161" y="243052"/>
                </a:lnTo>
                <a:lnTo>
                  <a:pt x="1706067" y="244614"/>
                </a:lnTo>
                <a:lnTo>
                  <a:pt x="1715579" y="243230"/>
                </a:lnTo>
                <a:lnTo>
                  <a:pt x="1723402" y="239102"/>
                </a:lnTo>
                <a:lnTo>
                  <a:pt x="1728724" y="232283"/>
                </a:lnTo>
                <a:lnTo>
                  <a:pt x="1730679" y="222821"/>
                </a:lnTo>
                <a:lnTo>
                  <a:pt x="1730679" y="214249"/>
                </a:lnTo>
                <a:close/>
              </a:path>
            </a:pathLst>
          </a:custGeom>
          <a:solidFill>
            <a:srgbClr val="000000"/>
          </a:solidFill>
        </xdr:spPr>
      </xdr:sp>
    </xdr:grpSp>
    <xdr:clientData/>
  </xdr:oneCellAnchor>
  <xdr:oneCellAnchor>
    <xdr:from>
      <xdr:col>2</xdr:col>
      <xdr:colOff>0</xdr:colOff>
      <xdr:row>140</xdr:row>
      <xdr:rowOff>391502</xdr:rowOff>
    </xdr:from>
    <xdr:ext cx="106045" cy="132080"/>
    <xdr:sp macro="" textlink="">
      <xdr:nvSpPr>
        <xdr:cNvPr id="146" name="Shape 645">
          <a:extLst>
            <a:ext uri="{FF2B5EF4-FFF2-40B4-BE49-F238E27FC236}">
              <a16:creationId xmlns:a16="http://schemas.microsoft.com/office/drawing/2014/main" id="{D80DDA70-D8DC-494B-81E5-5C32AF84E5A8}"/>
            </a:ext>
          </a:extLst>
        </xdr:cNvPr>
        <xdr:cNvSpPr/>
      </xdr:nvSpPr>
      <xdr:spPr>
        <a:xfrm>
          <a:off x="1041400" y="35494302"/>
          <a:ext cx="106045" cy="132080"/>
        </a:xfrm>
        <a:custGeom>
          <a:avLst/>
          <a:gdLst/>
          <a:ahLst/>
          <a:cxnLst/>
          <a:rect l="0" t="0" r="0" b="0"/>
          <a:pathLst>
            <a:path w="106045" h="132080">
              <a:moveTo>
                <a:pt x="25869" y="10223"/>
              </a:moveTo>
              <a:lnTo>
                <a:pt x="25869" y="121754"/>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16992" y="131089"/>
              </a:moveTo>
              <a:lnTo>
                <a:pt x="0" y="131978"/>
              </a:lnTo>
            </a:path>
            <a:path w="106045" h="132080">
              <a:moveTo>
                <a:pt x="16992" y="131089"/>
              </a:moveTo>
              <a:lnTo>
                <a:pt x="21945" y="130835"/>
              </a:lnTo>
              <a:lnTo>
                <a:pt x="25869" y="126745"/>
              </a:lnTo>
              <a:lnTo>
                <a:pt x="25869" y="121754"/>
              </a:lnTo>
            </a:path>
            <a:path w="106045" h="132080">
              <a:moveTo>
                <a:pt x="16992" y="888"/>
              </a:moveTo>
              <a:lnTo>
                <a:pt x="0" y="0"/>
              </a:lnTo>
            </a:path>
            <a:path w="106045" h="132080">
              <a:moveTo>
                <a:pt x="25869" y="10223"/>
              </a:moveTo>
              <a:lnTo>
                <a:pt x="25869" y="5232"/>
              </a:lnTo>
              <a:lnTo>
                <a:pt x="21945" y="1142"/>
              </a:lnTo>
              <a:lnTo>
                <a:pt x="16992" y="888"/>
              </a:lnTo>
            </a:path>
            <a:path w="106045" h="132080">
              <a:moveTo>
                <a:pt x="79641" y="120002"/>
              </a:moveTo>
              <a:lnTo>
                <a:pt x="79641" y="11950"/>
              </a:lnTo>
            </a:path>
            <a:path w="106045" h="132080">
              <a:moveTo>
                <a:pt x="79641" y="121754"/>
              </a:moveTo>
              <a:lnTo>
                <a:pt x="79641" y="10223"/>
              </a:lnTo>
            </a:path>
            <a:path w="106045" h="132080">
              <a:moveTo>
                <a:pt x="79641" y="121754"/>
              </a:moveTo>
              <a:lnTo>
                <a:pt x="79641" y="10223"/>
              </a:lnTo>
            </a:path>
            <a:path w="106045" h="132080">
              <a:moveTo>
                <a:pt x="33629" y="127812"/>
              </a:moveTo>
              <a:lnTo>
                <a:pt x="71843" y="127812"/>
              </a:lnTo>
            </a:path>
            <a:path w="106045" h="132080">
              <a:moveTo>
                <a:pt x="25869" y="120002"/>
              </a:moveTo>
              <a:lnTo>
                <a:pt x="25869" y="124320"/>
              </a:lnTo>
              <a:lnTo>
                <a:pt x="29337" y="127812"/>
              </a:lnTo>
              <a:lnTo>
                <a:pt x="33629" y="127812"/>
              </a:lnTo>
            </a:path>
            <a:path w="106045" h="132080">
              <a:moveTo>
                <a:pt x="71843" y="127812"/>
              </a:moveTo>
              <a:lnTo>
                <a:pt x="76174" y="127812"/>
              </a:lnTo>
              <a:lnTo>
                <a:pt x="79641" y="124320"/>
              </a:lnTo>
              <a:lnTo>
                <a:pt x="79641" y="120002"/>
              </a:lnTo>
            </a:path>
            <a:path w="106045" h="132080">
              <a:moveTo>
                <a:pt x="33629" y="4178"/>
              </a:moveTo>
              <a:lnTo>
                <a:pt x="71843" y="4178"/>
              </a:lnTo>
            </a:path>
            <a:path w="106045" h="132080">
              <a:moveTo>
                <a:pt x="33629" y="4178"/>
              </a:moveTo>
              <a:lnTo>
                <a:pt x="29337" y="4178"/>
              </a:lnTo>
              <a:lnTo>
                <a:pt x="25869" y="7658"/>
              </a:lnTo>
              <a:lnTo>
                <a:pt x="25869" y="11950"/>
              </a:lnTo>
            </a:path>
            <a:path w="106045" h="132080">
              <a:moveTo>
                <a:pt x="79641" y="11950"/>
              </a:moveTo>
              <a:lnTo>
                <a:pt x="79641" y="7658"/>
              </a:lnTo>
              <a:lnTo>
                <a:pt x="76174" y="4178"/>
              </a:lnTo>
              <a:lnTo>
                <a:pt x="71843" y="4178"/>
              </a:lnTo>
            </a:path>
            <a:path w="106045" h="132080">
              <a:moveTo>
                <a:pt x="88480" y="888"/>
              </a:moveTo>
              <a:lnTo>
                <a:pt x="83515" y="1142"/>
              </a:lnTo>
              <a:lnTo>
                <a:pt x="79641" y="5232"/>
              </a:lnTo>
              <a:lnTo>
                <a:pt x="79641" y="10223"/>
              </a:lnTo>
            </a:path>
            <a:path w="106045" h="132080">
              <a:moveTo>
                <a:pt x="88480" y="131089"/>
              </a:moveTo>
              <a:lnTo>
                <a:pt x="105511" y="131978"/>
              </a:lnTo>
            </a:path>
            <a:path w="106045" h="132080">
              <a:moveTo>
                <a:pt x="88480" y="888"/>
              </a:moveTo>
              <a:lnTo>
                <a:pt x="105511" y="0"/>
              </a:lnTo>
            </a:path>
            <a:path w="106045" h="132080">
              <a:moveTo>
                <a:pt x="79641" y="121754"/>
              </a:moveTo>
              <a:lnTo>
                <a:pt x="79641" y="126745"/>
              </a:lnTo>
              <a:lnTo>
                <a:pt x="83515" y="130835"/>
              </a:lnTo>
              <a:lnTo>
                <a:pt x="88480" y="131089"/>
              </a:lnTo>
            </a:path>
          </a:pathLst>
        </a:custGeom>
        <a:ln w="10083">
          <a:solidFill>
            <a:srgbClr val="000000"/>
          </a:solidFill>
        </a:ln>
      </xdr:spPr>
    </xdr:sp>
    <xdr:clientData/>
  </xdr:oneCellAnchor>
  <xdr:oneCellAnchor>
    <xdr:from>
      <xdr:col>2</xdr:col>
      <xdr:colOff>0</xdr:colOff>
      <xdr:row>140</xdr:row>
      <xdr:rowOff>391502</xdr:rowOff>
    </xdr:from>
    <xdr:ext cx="106045" cy="132080"/>
    <xdr:sp macro="" textlink="">
      <xdr:nvSpPr>
        <xdr:cNvPr id="147" name="Shape 646">
          <a:extLst>
            <a:ext uri="{FF2B5EF4-FFF2-40B4-BE49-F238E27FC236}">
              <a16:creationId xmlns:a16="http://schemas.microsoft.com/office/drawing/2014/main" id="{A692051C-0C83-4D44-A7E7-518BED37EC94}"/>
            </a:ext>
          </a:extLst>
        </xdr:cNvPr>
        <xdr:cNvSpPr/>
      </xdr:nvSpPr>
      <xdr:spPr>
        <a:xfrm>
          <a:off x="1041400" y="35494302"/>
          <a:ext cx="106045" cy="132080"/>
        </a:xfrm>
        <a:custGeom>
          <a:avLst/>
          <a:gdLst/>
          <a:ahLst/>
          <a:cxnLst/>
          <a:rect l="0" t="0" r="0" b="0"/>
          <a:pathLst>
            <a:path w="106045" h="132080">
              <a:moveTo>
                <a:pt x="25869" y="10223"/>
              </a:moveTo>
              <a:lnTo>
                <a:pt x="25869" y="121754"/>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25869" y="121754"/>
              </a:moveTo>
              <a:lnTo>
                <a:pt x="25869" y="10223"/>
              </a:lnTo>
            </a:path>
            <a:path w="106045" h="132080">
              <a:moveTo>
                <a:pt x="16979" y="131089"/>
              </a:moveTo>
              <a:lnTo>
                <a:pt x="0" y="131978"/>
              </a:lnTo>
            </a:path>
            <a:path w="106045" h="132080">
              <a:moveTo>
                <a:pt x="16979" y="131089"/>
              </a:moveTo>
              <a:lnTo>
                <a:pt x="21971" y="130835"/>
              </a:lnTo>
              <a:lnTo>
                <a:pt x="25869" y="126745"/>
              </a:lnTo>
              <a:lnTo>
                <a:pt x="25869" y="121754"/>
              </a:lnTo>
            </a:path>
            <a:path w="106045" h="132080">
              <a:moveTo>
                <a:pt x="16979" y="888"/>
              </a:moveTo>
              <a:lnTo>
                <a:pt x="0" y="0"/>
              </a:lnTo>
            </a:path>
            <a:path w="106045" h="132080">
              <a:moveTo>
                <a:pt x="25869" y="10223"/>
              </a:moveTo>
              <a:lnTo>
                <a:pt x="25869" y="5232"/>
              </a:lnTo>
              <a:lnTo>
                <a:pt x="21971" y="1142"/>
              </a:lnTo>
              <a:lnTo>
                <a:pt x="16979" y="888"/>
              </a:lnTo>
            </a:path>
            <a:path w="106045" h="132080">
              <a:moveTo>
                <a:pt x="79641" y="120002"/>
              </a:moveTo>
              <a:lnTo>
                <a:pt x="79641" y="11950"/>
              </a:lnTo>
            </a:path>
            <a:path w="106045" h="132080">
              <a:moveTo>
                <a:pt x="79641" y="121754"/>
              </a:moveTo>
              <a:lnTo>
                <a:pt x="79641" y="10223"/>
              </a:lnTo>
            </a:path>
            <a:path w="106045" h="132080">
              <a:moveTo>
                <a:pt x="79641" y="121754"/>
              </a:moveTo>
              <a:lnTo>
                <a:pt x="79641" y="10223"/>
              </a:lnTo>
            </a:path>
            <a:path w="106045" h="132080">
              <a:moveTo>
                <a:pt x="33642" y="127812"/>
              </a:moveTo>
              <a:lnTo>
                <a:pt x="71843" y="127812"/>
              </a:lnTo>
            </a:path>
            <a:path w="106045" h="132080">
              <a:moveTo>
                <a:pt x="25869" y="120002"/>
              </a:moveTo>
              <a:lnTo>
                <a:pt x="25869" y="124320"/>
              </a:lnTo>
              <a:lnTo>
                <a:pt x="29337" y="127812"/>
              </a:lnTo>
              <a:lnTo>
                <a:pt x="33642" y="127812"/>
              </a:lnTo>
            </a:path>
            <a:path w="106045" h="132080">
              <a:moveTo>
                <a:pt x="71843" y="127812"/>
              </a:moveTo>
              <a:lnTo>
                <a:pt x="76174" y="127812"/>
              </a:lnTo>
              <a:lnTo>
                <a:pt x="79641" y="124320"/>
              </a:lnTo>
              <a:lnTo>
                <a:pt x="79641" y="120002"/>
              </a:lnTo>
            </a:path>
            <a:path w="106045" h="132080">
              <a:moveTo>
                <a:pt x="33642" y="4178"/>
              </a:moveTo>
              <a:lnTo>
                <a:pt x="71843" y="4178"/>
              </a:lnTo>
            </a:path>
            <a:path w="106045" h="132080">
              <a:moveTo>
                <a:pt x="33642" y="4178"/>
              </a:moveTo>
              <a:lnTo>
                <a:pt x="29337" y="4178"/>
              </a:lnTo>
              <a:lnTo>
                <a:pt x="25869" y="7658"/>
              </a:lnTo>
              <a:lnTo>
                <a:pt x="25869" y="11950"/>
              </a:lnTo>
            </a:path>
            <a:path w="106045" h="132080">
              <a:moveTo>
                <a:pt x="79641" y="11950"/>
              </a:moveTo>
              <a:lnTo>
                <a:pt x="79641" y="7658"/>
              </a:lnTo>
              <a:lnTo>
                <a:pt x="76174" y="4178"/>
              </a:lnTo>
              <a:lnTo>
                <a:pt x="71843" y="4178"/>
              </a:lnTo>
            </a:path>
            <a:path w="106045" h="132080">
              <a:moveTo>
                <a:pt x="88493" y="888"/>
              </a:moveTo>
              <a:lnTo>
                <a:pt x="83515" y="1142"/>
              </a:lnTo>
              <a:lnTo>
                <a:pt x="79641" y="5232"/>
              </a:lnTo>
              <a:lnTo>
                <a:pt x="79641" y="10223"/>
              </a:lnTo>
            </a:path>
            <a:path w="106045" h="132080">
              <a:moveTo>
                <a:pt x="88493" y="131089"/>
              </a:moveTo>
              <a:lnTo>
                <a:pt x="105486" y="131978"/>
              </a:lnTo>
            </a:path>
            <a:path w="106045" h="132080">
              <a:moveTo>
                <a:pt x="88493" y="888"/>
              </a:moveTo>
              <a:lnTo>
                <a:pt x="105486" y="0"/>
              </a:lnTo>
            </a:path>
            <a:path w="106045" h="132080">
              <a:moveTo>
                <a:pt x="79641" y="121754"/>
              </a:moveTo>
              <a:lnTo>
                <a:pt x="79641" y="126745"/>
              </a:lnTo>
              <a:lnTo>
                <a:pt x="83515" y="130835"/>
              </a:lnTo>
              <a:lnTo>
                <a:pt x="88493" y="131089"/>
              </a:lnTo>
            </a:path>
          </a:pathLst>
        </a:custGeom>
        <a:ln w="10083">
          <a:solidFill>
            <a:srgbClr val="000000"/>
          </a:solidFill>
        </a:ln>
      </xdr:spPr>
    </xdr:sp>
    <xdr:clientData/>
  </xdr:oneCellAnchor>
  <xdr:oneCellAnchor>
    <xdr:from>
      <xdr:col>2</xdr:col>
      <xdr:colOff>55338</xdr:colOff>
      <xdr:row>140</xdr:row>
      <xdr:rowOff>386466</xdr:rowOff>
    </xdr:from>
    <xdr:ext cx="116205" cy="142240"/>
    <xdr:grpSp>
      <xdr:nvGrpSpPr>
        <xdr:cNvPr id="148" name="Group 647">
          <a:extLst>
            <a:ext uri="{FF2B5EF4-FFF2-40B4-BE49-F238E27FC236}">
              <a16:creationId xmlns:a16="http://schemas.microsoft.com/office/drawing/2014/main" id="{AB8656E2-12C9-4DEF-9CF1-1FC96DBBB287}"/>
            </a:ext>
          </a:extLst>
        </xdr:cNvPr>
        <xdr:cNvGrpSpPr/>
      </xdr:nvGrpSpPr>
      <xdr:grpSpPr>
        <a:xfrm>
          <a:off x="1045938" y="35219391"/>
          <a:ext cx="116205" cy="142240"/>
          <a:chOff x="0" y="0"/>
          <a:chExt cx="116205" cy="142240"/>
        </a:xfrm>
      </xdr:grpSpPr>
      <xdr:sp macro="" textlink="">
        <xdr:nvSpPr>
          <xdr:cNvPr id="149" name="Shape 648">
            <a:extLst>
              <a:ext uri="{FF2B5EF4-FFF2-40B4-BE49-F238E27FC236}">
                <a16:creationId xmlns:a16="http://schemas.microsoft.com/office/drawing/2014/main" id="{E226BC69-274D-D131-CB45-CE83194E33DF}"/>
              </a:ext>
            </a:extLst>
          </xdr:cNvPr>
          <xdr:cNvSpPr/>
        </xdr:nvSpPr>
        <xdr:spPr>
          <a:xfrm>
            <a:off x="5041" y="5041"/>
            <a:ext cx="88900" cy="132080"/>
          </a:xfrm>
          <a:custGeom>
            <a:avLst/>
            <a:gdLst/>
            <a:ahLst/>
            <a:cxnLst/>
            <a:rect l="0" t="0" r="0" b="0"/>
            <a:pathLst>
              <a:path w="88900" h="132080">
                <a:moveTo>
                  <a:pt x="25857" y="10223"/>
                </a:moveTo>
                <a:lnTo>
                  <a:pt x="25857" y="121754"/>
                </a:lnTo>
              </a:path>
              <a:path w="88900" h="132080">
                <a:moveTo>
                  <a:pt x="25857" y="121754"/>
                </a:moveTo>
                <a:lnTo>
                  <a:pt x="25857" y="10223"/>
                </a:lnTo>
              </a:path>
              <a:path w="88900" h="132080">
                <a:moveTo>
                  <a:pt x="25857" y="121754"/>
                </a:moveTo>
                <a:lnTo>
                  <a:pt x="25857" y="10223"/>
                </a:lnTo>
              </a:path>
              <a:path w="88900" h="132080">
                <a:moveTo>
                  <a:pt x="25857" y="121754"/>
                </a:moveTo>
                <a:lnTo>
                  <a:pt x="25857" y="10223"/>
                </a:lnTo>
              </a:path>
              <a:path w="88900" h="132080">
                <a:moveTo>
                  <a:pt x="25857" y="121754"/>
                </a:moveTo>
                <a:lnTo>
                  <a:pt x="25857" y="10223"/>
                </a:lnTo>
              </a:path>
              <a:path w="88900" h="132080">
                <a:moveTo>
                  <a:pt x="25857" y="121754"/>
                </a:moveTo>
                <a:lnTo>
                  <a:pt x="25857" y="10223"/>
                </a:lnTo>
              </a:path>
              <a:path w="88900" h="132080">
                <a:moveTo>
                  <a:pt x="25857" y="121754"/>
                </a:moveTo>
                <a:lnTo>
                  <a:pt x="25857" y="10223"/>
                </a:lnTo>
              </a:path>
              <a:path w="88900" h="132080">
                <a:moveTo>
                  <a:pt x="17018" y="131089"/>
                </a:moveTo>
                <a:lnTo>
                  <a:pt x="0" y="131978"/>
                </a:lnTo>
              </a:path>
              <a:path w="88900" h="132080">
                <a:moveTo>
                  <a:pt x="17018" y="131089"/>
                </a:moveTo>
                <a:lnTo>
                  <a:pt x="21983" y="130835"/>
                </a:lnTo>
                <a:lnTo>
                  <a:pt x="25857" y="126745"/>
                </a:lnTo>
                <a:lnTo>
                  <a:pt x="25857" y="121754"/>
                </a:lnTo>
              </a:path>
              <a:path w="88900" h="132080">
                <a:moveTo>
                  <a:pt x="17018" y="888"/>
                </a:moveTo>
                <a:lnTo>
                  <a:pt x="0" y="0"/>
                </a:lnTo>
              </a:path>
              <a:path w="88900" h="132080">
                <a:moveTo>
                  <a:pt x="25857" y="10223"/>
                </a:moveTo>
                <a:lnTo>
                  <a:pt x="25857" y="5232"/>
                </a:lnTo>
                <a:lnTo>
                  <a:pt x="21983" y="1142"/>
                </a:lnTo>
                <a:lnTo>
                  <a:pt x="17018" y="888"/>
                </a:lnTo>
              </a:path>
              <a:path w="88900" h="132080">
                <a:moveTo>
                  <a:pt x="79667" y="120002"/>
                </a:moveTo>
                <a:lnTo>
                  <a:pt x="79667" y="11950"/>
                </a:lnTo>
              </a:path>
              <a:path w="88900" h="132080">
                <a:moveTo>
                  <a:pt x="79667" y="121754"/>
                </a:moveTo>
                <a:lnTo>
                  <a:pt x="79667" y="10223"/>
                </a:lnTo>
              </a:path>
              <a:path w="88900" h="132080">
                <a:moveTo>
                  <a:pt x="79667" y="121754"/>
                </a:moveTo>
                <a:lnTo>
                  <a:pt x="79667" y="10223"/>
                </a:lnTo>
              </a:path>
              <a:path w="88900" h="132080">
                <a:moveTo>
                  <a:pt x="33655" y="127812"/>
                </a:moveTo>
                <a:lnTo>
                  <a:pt x="71869" y="127812"/>
                </a:lnTo>
              </a:path>
              <a:path w="88900" h="132080">
                <a:moveTo>
                  <a:pt x="25857" y="120002"/>
                </a:moveTo>
                <a:lnTo>
                  <a:pt x="25857" y="124320"/>
                </a:lnTo>
                <a:lnTo>
                  <a:pt x="29362" y="127812"/>
                </a:lnTo>
                <a:lnTo>
                  <a:pt x="33655" y="127812"/>
                </a:lnTo>
              </a:path>
              <a:path w="88900" h="132080">
                <a:moveTo>
                  <a:pt x="71869" y="127812"/>
                </a:moveTo>
                <a:lnTo>
                  <a:pt x="76161" y="127812"/>
                </a:lnTo>
                <a:lnTo>
                  <a:pt x="79667" y="124320"/>
                </a:lnTo>
                <a:lnTo>
                  <a:pt x="79667" y="120002"/>
                </a:lnTo>
              </a:path>
              <a:path w="88900" h="132080">
                <a:moveTo>
                  <a:pt x="33655" y="4178"/>
                </a:moveTo>
                <a:lnTo>
                  <a:pt x="71869" y="4178"/>
                </a:lnTo>
              </a:path>
              <a:path w="88900" h="132080">
                <a:moveTo>
                  <a:pt x="33655" y="4178"/>
                </a:moveTo>
                <a:lnTo>
                  <a:pt x="29362" y="4178"/>
                </a:lnTo>
                <a:lnTo>
                  <a:pt x="25857" y="7658"/>
                </a:lnTo>
                <a:lnTo>
                  <a:pt x="25857" y="11950"/>
                </a:lnTo>
              </a:path>
              <a:path w="88900" h="132080">
                <a:moveTo>
                  <a:pt x="79667" y="11950"/>
                </a:moveTo>
                <a:lnTo>
                  <a:pt x="79667" y="7658"/>
                </a:lnTo>
                <a:lnTo>
                  <a:pt x="76161" y="4178"/>
                </a:lnTo>
                <a:lnTo>
                  <a:pt x="71869" y="4178"/>
                </a:lnTo>
              </a:path>
              <a:path w="88900" h="132080">
                <a:moveTo>
                  <a:pt x="88506" y="888"/>
                </a:moveTo>
                <a:lnTo>
                  <a:pt x="83540" y="1142"/>
                </a:lnTo>
                <a:lnTo>
                  <a:pt x="79667" y="5232"/>
                </a:lnTo>
                <a:lnTo>
                  <a:pt x="79667" y="10223"/>
                </a:lnTo>
              </a:path>
            </a:pathLst>
          </a:custGeom>
          <a:ln w="10083">
            <a:solidFill>
              <a:srgbClr val="000000"/>
            </a:solidFill>
          </a:ln>
        </xdr:spPr>
      </xdr:sp>
      <xdr:sp macro="" textlink="">
        <xdr:nvSpPr>
          <xdr:cNvPr id="150" name="Shape 649">
            <a:extLst>
              <a:ext uri="{FF2B5EF4-FFF2-40B4-BE49-F238E27FC236}">
                <a16:creationId xmlns:a16="http://schemas.microsoft.com/office/drawing/2014/main" id="{4F3BC746-BCAE-E3BE-BF96-DE63B11D15CB}"/>
              </a:ext>
            </a:extLst>
          </xdr:cNvPr>
          <xdr:cNvSpPr/>
        </xdr:nvSpPr>
        <xdr:spPr>
          <a:xfrm>
            <a:off x="84709" y="5046"/>
            <a:ext cx="26034" cy="132080"/>
          </a:xfrm>
          <a:custGeom>
            <a:avLst/>
            <a:gdLst/>
            <a:ahLst/>
            <a:cxnLst/>
            <a:rect l="0" t="0" r="0" b="0"/>
            <a:pathLst>
              <a:path w="26034" h="132080">
                <a:moveTo>
                  <a:pt x="8839" y="131089"/>
                </a:moveTo>
                <a:lnTo>
                  <a:pt x="25831" y="131978"/>
                </a:lnTo>
              </a:path>
              <a:path w="26034" h="132080">
                <a:moveTo>
                  <a:pt x="8839" y="876"/>
                </a:moveTo>
                <a:lnTo>
                  <a:pt x="25831" y="0"/>
                </a:lnTo>
              </a:path>
              <a:path w="26034" h="132080">
                <a:moveTo>
                  <a:pt x="0" y="121754"/>
                </a:moveTo>
                <a:lnTo>
                  <a:pt x="0" y="126733"/>
                </a:lnTo>
                <a:lnTo>
                  <a:pt x="3873" y="130822"/>
                </a:lnTo>
                <a:lnTo>
                  <a:pt x="8839" y="131089"/>
                </a:lnTo>
              </a:path>
            </a:pathLst>
          </a:custGeom>
          <a:ln w="10083">
            <a:solidFill>
              <a:srgbClr val="000000"/>
            </a:solidFill>
          </a:ln>
        </xdr:spPr>
      </xdr:sp>
    </xdr:grpSp>
    <xdr:clientData/>
  </xdr:oneCellAnchor>
  <xdr:oneCellAnchor>
    <xdr:from>
      <xdr:col>3</xdr:col>
      <xdr:colOff>0</xdr:colOff>
      <xdr:row>140</xdr:row>
      <xdr:rowOff>386466</xdr:rowOff>
    </xdr:from>
    <xdr:ext cx="116205" cy="142240"/>
    <xdr:grpSp>
      <xdr:nvGrpSpPr>
        <xdr:cNvPr id="151" name="Group 650">
          <a:extLst>
            <a:ext uri="{FF2B5EF4-FFF2-40B4-BE49-F238E27FC236}">
              <a16:creationId xmlns:a16="http://schemas.microsoft.com/office/drawing/2014/main" id="{93E40B22-DF2B-4AB7-8902-40C463189668}"/>
            </a:ext>
          </a:extLst>
        </xdr:cNvPr>
        <xdr:cNvGrpSpPr/>
      </xdr:nvGrpSpPr>
      <xdr:grpSpPr>
        <a:xfrm>
          <a:off x="1485900" y="35219391"/>
          <a:ext cx="116205" cy="142240"/>
          <a:chOff x="0" y="0"/>
          <a:chExt cx="116205" cy="142240"/>
        </a:xfrm>
      </xdr:grpSpPr>
      <xdr:sp macro="" textlink="">
        <xdr:nvSpPr>
          <xdr:cNvPr id="152" name="Shape 651">
            <a:extLst>
              <a:ext uri="{FF2B5EF4-FFF2-40B4-BE49-F238E27FC236}">
                <a16:creationId xmlns:a16="http://schemas.microsoft.com/office/drawing/2014/main" id="{113F80B7-CE23-D65F-B967-E4D93E22572E}"/>
              </a:ext>
            </a:extLst>
          </xdr:cNvPr>
          <xdr:cNvSpPr/>
        </xdr:nvSpPr>
        <xdr:spPr>
          <a:xfrm>
            <a:off x="30873" y="15260"/>
            <a:ext cx="0" cy="111760"/>
          </a:xfrm>
          <a:custGeom>
            <a:avLst/>
            <a:gdLst/>
            <a:ahLst/>
            <a:cxnLst/>
            <a:rect l="0" t="0" r="0" b="0"/>
            <a:pathLst>
              <a:path h="111760">
                <a:moveTo>
                  <a:pt x="0" y="0"/>
                </a:moveTo>
                <a:lnTo>
                  <a:pt x="0" y="111531"/>
                </a:lnTo>
              </a:path>
              <a:path h="111760">
                <a:moveTo>
                  <a:pt x="0" y="111531"/>
                </a:moveTo>
                <a:lnTo>
                  <a:pt x="0" y="0"/>
                </a:lnTo>
              </a:path>
              <a:path h="111760">
                <a:moveTo>
                  <a:pt x="0" y="111531"/>
                </a:moveTo>
                <a:lnTo>
                  <a:pt x="0" y="0"/>
                </a:lnTo>
              </a:path>
              <a:path h="111760">
                <a:moveTo>
                  <a:pt x="0" y="111531"/>
                </a:moveTo>
                <a:lnTo>
                  <a:pt x="0" y="0"/>
                </a:lnTo>
              </a:path>
              <a:path h="111760">
                <a:moveTo>
                  <a:pt x="0" y="111531"/>
                </a:moveTo>
                <a:lnTo>
                  <a:pt x="0" y="0"/>
                </a:lnTo>
              </a:path>
            </a:pathLst>
          </a:custGeom>
          <a:ln w="10083">
            <a:solidFill>
              <a:srgbClr val="000000"/>
            </a:solidFill>
          </a:ln>
        </xdr:spPr>
      </xdr:sp>
      <xdr:sp macro="" textlink="">
        <xdr:nvSpPr>
          <xdr:cNvPr id="153" name="Shape 652">
            <a:extLst>
              <a:ext uri="{FF2B5EF4-FFF2-40B4-BE49-F238E27FC236}">
                <a16:creationId xmlns:a16="http://schemas.microsoft.com/office/drawing/2014/main" id="{BB3F12C9-EA4A-2EF0-D11E-BA29F9BAB794}"/>
              </a:ext>
            </a:extLst>
          </xdr:cNvPr>
          <xdr:cNvSpPr/>
        </xdr:nvSpPr>
        <xdr:spPr>
          <a:xfrm>
            <a:off x="5041" y="5041"/>
            <a:ext cx="106045" cy="132080"/>
          </a:xfrm>
          <a:custGeom>
            <a:avLst/>
            <a:gdLst/>
            <a:ahLst/>
            <a:cxnLst/>
            <a:rect l="0" t="0" r="0" b="0"/>
            <a:pathLst>
              <a:path w="106045" h="132080">
                <a:moveTo>
                  <a:pt x="25831" y="121754"/>
                </a:moveTo>
                <a:lnTo>
                  <a:pt x="25831" y="10210"/>
                </a:lnTo>
              </a:path>
              <a:path w="106045" h="132080">
                <a:moveTo>
                  <a:pt x="25831" y="121754"/>
                </a:moveTo>
                <a:lnTo>
                  <a:pt x="25831" y="10210"/>
                </a:lnTo>
              </a:path>
              <a:path w="106045" h="132080">
                <a:moveTo>
                  <a:pt x="16992" y="131089"/>
                </a:moveTo>
                <a:lnTo>
                  <a:pt x="0" y="131978"/>
                </a:lnTo>
              </a:path>
              <a:path w="106045" h="132080">
                <a:moveTo>
                  <a:pt x="16992" y="131089"/>
                </a:moveTo>
                <a:lnTo>
                  <a:pt x="21932" y="130822"/>
                </a:lnTo>
                <a:lnTo>
                  <a:pt x="25831" y="126733"/>
                </a:lnTo>
                <a:lnTo>
                  <a:pt x="25831" y="121754"/>
                </a:lnTo>
              </a:path>
              <a:path w="106045" h="132080">
                <a:moveTo>
                  <a:pt x="16992" y="876"/>
                </a:moveTo>
                <a:lnTo>
                  <a:pt x="0" y="0"/>
                </a:lnTo>
              </a:path>
              <a:path w="106045" h="132080">
                <a:moveTo>
                  <a:pt x="25831" y="10210"/>
                </a:moveTo>
                <a:lnTo>
                  <a:pt x="25831" y="5232"/>
                </a:lnTo>
                <a:lnTo>
                  <a:pt x="21932" y="1142"/>
                </a:lnTo>
                <a:lnTo>
                  <a:pt x="16992" y="876"/>
                </a:lnTo>
              </a:path>
              <a:path w="106045" h="132080">
                <a:moveTo>
                  <a:pt x="79641" y="120002"/>
                </a:moveTo>
                <a:lnTo>
                  <a:pt x="79641" y="11950"/>
                </a:lnTo>
              </a:path>
              <a:path w="106045" h="132080">
                <a:moveTo>
                  <a:pt x="79641" y="121754"/>
                </a:moveTo>
                <a:lnTo>
                  <a:pt x="79641" y="10210"/>
                </a:lnTo>
              </a:path>
              <a:path w="106045" h="132080">
                <a:moveTo>
                  <a:pt x="79641" y="121754"/>
                </a:moveTo>
                <a:lnTo>
                  <a:pt x="79641" y="10210"/>
                </a:lnTo>
              </a:path>
              <a:path w="106045" h="132080">
                <a:moveTo>
                  <a:pt x="33604" y="127800"/>
                </a:moveTo>
                <a:lnTo>
                  <a:pt x="71843" y="127800"/>
                </a:lnTo>
              </a:path>
              <a:path w="106045" h="132080">
                <a:moveTo>
                  <a:pt x="25831" y="120002"/>
                </a:moveTo>
                <a:lnTo>
                  <a:pt x="25831" y="124320"/>
                </a:lnTo>
                <a:lnTo>
                  <a:pt x="29336" y="127800"/>
                </a:lnTo>
                <a:lnTo>
                  <a:pt x="33604" y="127800"/>
                </a:lnTo>
              </a:path>
              <a:path w="106045" h="132080">
                <a:moveTo>
                  <a:pt x="71843" y="127800"/>
                </a:moveTo>
                <a:lnTo>
                  <a:pt x="76136" y="127800"/>
                </a:lnTo>
                <a:lnTo>
                  <a:pt x="79641" y="124320"/>
                </a:lnTo>
                <a:lnTo>
                  <a:pt x="79641" y="120002"/>
                </a:lnTo>
              </a:path>
              <a:path w="106045" h="132080">
                <a:moveTo>
                  <a:pt x="33604" y="4165"/>
                </a:moveTo>
                <a:lnTo>
                  <a:pt x="71843" y="4165"/>
                </a:lnTo>
              </a:path>
              <a:path w="106045" h="132080">
                <a:moveTo>
                  <a:pt x="33604" y="4165"/>
                </a:moveTo>
                <a:lnTo>
                  <a:pt x="29336" y="4165"/>
                </a:lnTo>
                <a:lnTo>
                  <a:pt x="25831" y="7658"/>
                </a:lnTo>
                <a:lnTo>
                  <a:pt x="25831" y="11950"/>
                </a:lnTo>
              </a:path>
              <a:path w="106045" h="132080">
                <a:moveTo>
                  <a:pt x="79641" y="11950"/>
                </a:moveTo>
                <a:lnTo>
                  <a:pt x="79641" y="7658"/>
                </a:lnTo>
                <a:lnTo>
                  <a:pt x="76136" y="4165"/>
                </a:lnTo>
                <a:lnTo>
                  <a:pt x="71843" y="4165"/>
                </a:lnTo>
              </a:path>
              <a:path w="106045" h="132080">
                <a:moveTo>
                  <a:pt x="88480" y="876"/>
                </a:moveTo>
                <a:lnTo>
                  <a:pt x="83515" y="1142"/>
                </a:lnTo>
                <a:lnTo>
                  <a:pt x="79641" y="5232"/>
                </a:lnTo>
                <a:lnTo>
                  <a:pt x="79641" y="10210"/>
                </a:lnTo>
              </a:path>
              <a:path w="106045" h="132080">
                <a:moveTo>
                  <a:pt x="88480" y="131089"/>
                </a:moveTo>
                <a:lnTo>
                  <a:pt x="105498" y="131978"/>
                </a:lnTo>
              </a:path>
              <a:path w="106045" h="132080">
                <a:moveTo>
                  <a:pt x="88480" y="876"/>
                </a:moveTo>
                <a:lnTo>
                  <a:pt x="105498" y="0"/>
                </a:lnTo>
              </a:path>
              <a:path w="106045" h="132080">
                <a:moveTo>
                  <a:pt x="79641" y="121754"/>
                </a:moveTo>
                <a:lnTo>
                  <a:pt x="79641" y="126733"/>
                </a:lnTo>
                <a:lnTo>
                  <a:pt x="83515" y="130822"/>
                </a:lnTo>
                <a:lnTo>
                  <a:pt x="88480" y="131089"/>
                </a:lnTo>
              </a:path>
            </a:pathLst>
          </a:custGeom>
          <a:ln w="10083">
            <a:solidFill>
              <a:srgbClr val="000000"/>
            </a:solidFill>
          </a:ln>
        </xdr:spPr>
      </xdr:sp>
    </xdr:grpSp>
    <xdr:clientData/>
  </xdr:oneCellAnchor>
  <xdr:oneCellAnchor>
    <xdr:from>
      <xdr:col>1</xdr:col>
      <xdr:colOff>96855</xdr:colOff>
      <xdr:row>140</xdr:row>
      <xdr:rowOff>523488</xdr:rowOff>
    </xdr:from>
    <xdr:ext cx="8890" cy="3810"/>
    <xdr:sp macro="" textlink="">
      <xdr:nvSpPr>
        <xdr:cNvPr id="154" name="Shape 653">
          <a:extLst>
            <a:ext uri="{FF2B5EF4-FFF2-40B4-BE49-F238E27FC236}">
              <a16:creationId xmlns:a16="http://schemas.microsoft.com/office/drawing/2014/main" id="{5D8928E9-3F72-42AD-AFF7-8D82376E3F11}"/>
            </a:ext>
          </a:extLst>
        </xdr:cNvPr>
        <xdr:cNvSpPr/>
      </xdr:nvSpPr>
      <xdr:spPr>
        <a:xfrm>
          <a:off x="617555" y="35626288"/>
          <a:ext cx="8890" cy="3810"/>
        </a:xfrm>
        <a:custGeom>
          <a:avLst/>
          <a:gdLst/>
          <a:ahLst/>
          <a:cxnLst/>
          <a:rect l="0" t="0" r="0" b="0"/>
          <a:pathLst>
            <a:path w="8890" h="3810">
              <a:moveTo>
                <a:pt x="8458" y="0"/>
              </a:moveTo>
              <a:lnTo>
                <a:pt x="5295" y="279"/>
              </a:lnTo>
              <a:lnTo>
                <a:pt x="2324" y="1612"/>
              </a:lnTo>
              <a:lnTo>
                <a:pt x="0" y="3771"/>
              </a:lnTo>
            </a:path>
          </a:pathLst>
        </a:custGeom>
        <a:ln w="10083">
          <a:solidFill>
            <a:srgbClr val="000000"/>
          </a:solidFill>
        </a:ln>
      </xdr:spPr>
    </xdr:sp>
    <xdr:clientData/>
  </xdr:oneCellAnchor>
  <xdr:oneCellAnchor>
    <xdr:from>
      <xdr:col>3</xdr:col>
      <xdr:colOff>0</xdr:colOff>
      <xdr:row>140</xdr:row>
      <xdr:rowOff>523488</xdr:rowOff>
    </xdr:from>
    <xdr:ext cx="8890" cy="3810"/>
    <xdr:sp macro="" textlink="">
      <xdr:nvSpPr>
        <xdr:cNvPr id="155" name="Shape 654">
          <a:extLst>
            <a:ext uri="{FF2B5EF4-FFF2-40B4-BE49-F238E27FC236}">
              <a16:creationId xmlns:a16="http://schemas.microsoft.com/office/drawing/2014/main" id="{160C70F3-E64A-43E5-A3D0-EC5010F473DD}"/>
            </a:ext>
          </a:extLst>
        </xdr:cNvPr>
        <xdr:cNvSpPr/>
      </xdr:nvSpPr>
      <xdr:spPr>
        <a:xfrm>
          <a:off x="1562100" y="35626288"/>
          <a:ext cx="8890" cy="3810"/>
        </a:xfrm>
        <a:custGeom>
          <a:avLst/>
          <a:gdLst/>
          <a:ahLst/>
          <a:cxnLst/>
          <a:rect l="0" t="0" r="0" b="0"/>
          <a:pathLst>
            <a:path w="8890" h="3810">
              <a:moveTo>
                <a:pt x="8432" y="3771"/>
              </a:moveTo>
              <a:lnTo>
                <a:pt x="6134" y="1612"/>
              </a:lnTo>
              <a:lnTo>
                <a:pt x="3136" y="279"/>
              </a:lnTo>
              <a:lnTo>
                <a:pt x="0" y="0"/>
              </a:lnTo>
            </a:path>
          </a:pathLst>
        </a:custGeom>
        <a:ln w="10083">
          <a:solidFill>
            <a:srgbClr val="000000"/>
          </a:solidFill>
        </a:ln>
      </xdr:spPr>
    </xdr:sp>
    <xdr:clientData/>
  </xdr:oneCellAnchor>
  <xdr:oneCellAnchor>
    <xdr:from>
      <xdr:col>5</xdr:col>
      <xdr:colOff>0</xdr:colOff>
      <xdr:row>139</xdr:row>
      <xdr:rowOff>201262</xdr:rowOff>
    </xdr:from>
    <xdr:ext cx="137160" cy="40005"/>
    <xdr:grpSp>
      <xdr:nvGrpSpPr>
        <xdr:cNvPr id="156" name="Group 655">
          <a:extLst>
            <a:ext uri="{FF2B5EF4-FFF2-40B4-BE49-F238E27FC236}">
              <a16:creationId xmlns:a16="http://schemas.microsoft.com/office/drawing/2014/main" id="{BBD96022-523F-45C3-9CC9-B3D5DFDED996}"/>
            </a:ext>
          </a:extLst>
        </xdr:cNvPr>
        <xdr:cNvGrpSpPr/>
      </xdr:nvGrpSpPr>
      <xdr:grpSpPr>
        <a:xfrm>
          <a:off x="2476500" y="34834162"/>
          <a:ext cx="137160" cy="40005"/>
          <a:chOff x="0" y="0"/>
          <a:chExt cx="137160" cy="40005"/>
        </a:xfrm>
      </xdr:grpSpPr>
      <xdr:sp macro="" textlink="">
        <xdr:nvSpPr>
          <xdr:cNvPr id="157" name="Shape 656">
            <a:extLst>
              <a:ext uri="{FF2B5EF4-FFF2-40B4-BE49-F238E27FC236}">
                <a16:creationId xmlns:a16="http://schemas.microsoft.com/office/drawing/2014/main" id="{9A4C5DF9-0AD8-B228-C6B0-2E71A3F3D71F}"/>
              </a:ext>
            </a:extLst>
          </xdr:cNvPr>
          <xdr:cNvSpPr/>
        </xdr:nvSpPr>
        <xdr:spPr>
          <a:xfrm>
            <a:off x="56588" y="20010"/>
            <a:ext cx="80645" cy="0"/>
          </a:xfrm>
          <a:custGeom>
            <a:avLst/>
            <a:gdLst/>
            <a:ahLst/>
            <a:cxnLst/>
            <a:rect l="0" t="0" r="0" b="0"/>
            <a:pathLst>
              <a:path w="80645">
                <a:moveTo>
                  <a:pt x="0" y="0"/>
                </a:moveTo>
                <a:lnTo>
                  <a:pt x="80543" y="0"/>
                </a:lnTo>
              </a:path>
            </a:pathLst>
          </a:custGeom>
          <a:ln w="6045">
            <a:solidFill>
              <a:srgbClr val="000000"/>
            </a:solidFill>
          </a:ln>
        </xdr:spPr>
      </xdr:sp>
      <xdr:sp macro="" textlink="">
        <xdr:nvSpPr>
          <xdr:cNvPr id="158" name="Shape 657">
            <a:extLst>
              <a:ext uri="{FF2B5EF4-FFF2-40B4-BE49-F238E27FC236}">
                <a16:creationId xmlns:a16="http://schemas.microsoft.com/office/drawing/2014/main" id="{B241A493-6A8F-7E7C-F593-9C2866AC9E58}"/>
              </a:ext>
            </a:extLst>
          </xdr:cNvPr>
          <xdr:cNvSpPr/>
        </xdr:nvSpPr>
        <xdr:spPr>
          <a:xfrm>
            <a:off x="0" y="0"/>
            <a:ext cx="100330" cy="40005"/>
          </a:xfrm>
          <a:custGeom>
            <a:avLst/>
            <a:gdLst/>
            <a:ahLst/>
            <a:cxnLst/>
            <a:rect l="0" t="0" r="0" b="0"/>
            <a:pathLst>
              <a:path w="100330" h="40005">
                <a:moveTo>
                  <a:pt x="99999" y="0"/>
                </a:moveTo>
                <a:lnTo>
                  <a:pt x="0" y="20002"/>
                </a:lnTo>
                <a:lnTo>
                  <a:pt x="99999" y="40005"/>
                </a:lnTo>
                <a:lnTo>
                  <a:pt x="99999" y="0"/>
                </a:lnTo>
                <a:close/>
              </a:path>
            </a:pathLst>
          </a:custGeom>
          <a:solidFill>
            <a:srgbClr val="000000"/>
          </a:solidFill>
        </xdr:spPr>
      </xdr:sp>
    </xdr:grpSp>
    <xdr:clientData/>
  </xdr:oneCellAnchor>
  <xdr:oneCellAnchor>
    <xdr:from>
      <xdr:col>5</xdr:col>
      <xdr:colOff>0</xdr:colOff>
      <xdr:row>139</xdr:row>
      <xdr:rowOff>121577</xdr:rowOff>
    </xdr:from>
    <xdr:ext cx="217804" cy="120014"/>
    <xdr:grpSp>
      <xdr:nvGrpSpPr>
        <xdr:cNvPr id="159" name="Group 658">
          <a:extLst>
            <a:ext uri="{FF2B5EF4-FFF2-40B4-BE49-F238E27FC236}">
              <a16:creationId xmlns:a16="http://schemas.microsoft.com/office/drawing/2014/main" id="{3B33CF70-38ED-4EDB-A37B-47F7274DB685}"/>
            </a:ext>
          </a:extLst>
        </xdr:cNvPr>
        <xdr:cNvGrpSpPr/>
      </xdr:nvGrpSpPr>
      <xdr:grpSpPr>
        <a:xfrm>
          <a:off x="2476500" y="34754477"/>
          <a:ext cx="217804" cy="120014"/>
          <a:chOff x="0" y="0"/>
          <a:chExt cx="217804" cy="120014"/>
        </a:xfrm>
      </xdr:grpSpPr>
      <xdr:sp macro="" textlink="">
        <xdr:nvSpPr>
          <xdr:cNvPr id="160" name="Shape 659">
            <a:extLst>
              <a:ext uri="{FF2B5EF4-FFF2-40B4-BE49-F238E27FC236}">
                <a16:creationId xmlns:a16="http://schemas.microsoft.com/office/drawing/2014/main" id="{CC22246F-489D-4D41-E5ED-AB6C4C507007}"/>
              </a:ext>
            </a:extLst>
          </xdr:cNvPr>
          <xdr:cNvSpPr/>
        </xdr:nvSpPr>
        <xdr:spPr>
          <a:xfrm>
            <a:off x="0" y="99689"/>
            <a:ext cx="160655" cy="0"/>
          </a:xfrm>
          <a:custGeom>
            <a:avLst/>
            <a:gdLst/>
            <a:ahLst/>
            <a:cxnLst/>
            <a:rect l="0" t="0" r="0" b="0"/>
            <a:pathLst>
              <a:path w="160655">
                <a:moveTo>
                  <a:pt x="160642" y="0"/>
                </a:moveTo>
                <a:lnTo>
                  <a:pt x="0" y="0"/>
                </a:lnTo>
              </a:path>
            </a:pathLst>
          </a:custGeom>
          <a:ln w="6045">
            <a:solidFill>
              <a:srgbClr val="000000"/>
            </a:solidFill>
          </a:ln>
        </xdr:spPr>
      </xdr:sp>
      <xdr:sp macro="" textlink="">
        <xdr:nvSpPr>
          <xdr:cNvPr id="161" name="Shape 660">
            <a:extLst>
              <a:ext uri="{FF2B5EF4-FFF2-40B4-BE49-F238E27FC236}">
                <a16:creationId xmlns:a16="http://schemas.microsoft.com/office/drawing/2014/main" id="{082BA4D7-84E1-6FF2-870A-286AEDE028A6}"/>
              </a:ext>
            </a:extLst>
          </xdr:cNvPr>
          <xdr:cNvSpPr/>
        </xdr:nvSpPr>
        <xdr:spPr>
          <a:xfrm>
            <a:off x="27841" y="0"/>
            <a:ext cx="189865" cy="120014"/>
          </a:xfrm>
          <a:custGeom>
            <a:avLst/>
            <a:gdLst/>
            <a:ahLst/>
            <a:cxnLst/>
            <a:rect l="0" t="0" r="0" b="0"/>
            <a:pathLst>
              <a:path w="189865" h="120014">
                <a:moveTo>
                  <a:pt x="27139" y="508"/>
                </a:moveTo>
                <a:lnTo>
                  <a:pt x="20561" y="508"/>
                </a:lnTo>
                <a:lnTo>
                  <a:pt x="18669" y="11303"/>
                </a:lnTo>
                <a:lnTo>
                  <a:pt x="9779" y="13919"/>
                </a:lnTo>
                <a:lnTo>
                  <a:pt x="0" y="13919"/>
                </a:lnTo>
                <a:lnTo>
                  <a:pt x="0" y="20777"/>
                </a:lnTo>
                <a:lnTo>
                  <a:pt x="18567" y="20777"/>
                </a:lnTo>
                <a:lnTo>
                  <a:pt x="18567" y="71983"/>
                </a:lnTo>
                <a:lnTo>
                  <a:pt x="27139" y="71983"/>
                </a:lnTo>
                <a:lnTo>
                  <a:pt x="27139" y="508"/>
                </a:lnTo>
                <a:close/>
              </a:path>
              <a:path w="189865" h="120014">
                <a:moveTo>
                  <a:pt x="65112" y="0"/>
                </a:moveTo>
                <a:lnTo>
                  <a:pt x="58267" y="0"/>
                </a:lnTo>
                <a:lnTo>
                  <a:pt x="58267" y="26009"/>
                </a:lnTo>
                <a:lnTo>
                  <a:pt x="65112" y="26009"/>
                </a:lnTo>
                <a:lnTo>
                  <a:pt x="65112" y="0"/>
                </a:lnTo>
                <a:close/>
              </a:path>
              <a:path w="189865" h="120014">
                <a:moveTo>
                  <a:pt x="79248" y="0"/>
                </a:moveTo>
                <a:lnTo>
                  <a:pt x="72402" y="0"/>
                </a:lnTo>
                <a:lnTo>
                  <a:pt x="72402" y="26009"/>
                </a:lnTo>
                <a:lnTo>
                  <a:pt x="79248" y="26009"/>
                </a:lnTo>
                <a:lnTo>
                  <a:pt x="79248" y="0"/>
                </a:lnTo>
                <a:close/>
              </a:path>
              <a:path w="189865" h="120014">
                <a:moveTo>
                  <a:pt x="189395" y="99682"/>
                </a:moveTo>
                <a:lnTo>
                  <a:pt x="89369" y="79679"/>
                </a:lnTo>
                <a:lnTo>
                  <a:pt x="89369" y="119684"/>
                </a:lnTo>
                <a:lnTo>
                  <a:pt x="189395" y="99682"/>
                </a:lnTo>
                <a:close/>
              </a:path>
            </a:pathLst>
          </a:custGeom>
          <a:solidFill>
            <a:srgbClr val="000000"/>
          </a:solidFill>
        </xdr:spPr>
      </xdr:sp>
    </xdr:grpSp>
    <xdr:clientData/>
  </xdr:oneCellAnchor>
  <xdr:oneCellAnchor>
    <xdr:from>
      <xdr:col>4</xdr:col>
      <xdr:colOff>33690</xdr:colOff>
      <xdr:row>165</xdr:row>
      <xdr:rowOff>586020</xdr:rowOff>
    </xdr:from>
    <xdr:ext cx="586105" cy="1460500"/>
    <xdr:grpSp>
      <xdr:nvGrpSpPr>
        <xdr:cNvPr id="162" name="Group 661">
          <a:extLst>
            <a:ext uri="{FF2B5EF4-FFF2-40B4-BE49-F238E27FC236}">
              <a16:creationId xmlns:a16="http://schemas.microsoft.com/office/drawing/2014/main" id="{F05BA802-D721-4DC7-8BDC-411731225FF0}"/>
            </a:ext>
          </a:extLst>
        </xdr:cNvPr>
        <xdr:cNvGrpSpPr/>
      </xdr:nvGrpSpPr>
      <xdr:grpSpPr>
        <a:xfrm>
          <a:off x="2014890" y="39819495"/>
          <a:ext cx="586105" cy="1460500"/>
          <a:chOff x="0" y="0"/>
          <a:chExt cx="586105" cy="1460500"/>
        </a:xfrm>
      </xdr:grpSpPr>
      <xdr:sp macro="" textlink="">
        <xdr:nvSpPr>
          <xdr:cNvPr id="163" name="Shape 662">
            <a:extLst>
              <a:ext uri="{FF2B5EF4-FFF2-40B4-BE49-F238E27FC236}">
                <a16:creationId xmlns:a16="http://schemas.microsoft.com/office/drawing/2014/main" id="{5FFAE7F2-6A77-82FD-56A7-9F2325DC6732}"/>
              </a:ext>
            </a:extLst>
          </xdr:cNvPr>
          <xdr:cNvSpPr/>
        </xdr:nvSpPr>
        <xdr:spPr>
          <a:xfrm>
            <a:off x="242110" y="321287"/>
            <a:ext cx="284480" cy="864235"/>
          </a:xfrm>
          <a:custGeom>
            <a:avLst/>
            <a:gdLst/>
            <a:ahLst/>
            <a:cxnLst/>
            <a:rect l="0" t="0" r="0" b="0"/>
            <a:pathLst>
              <a:path w="284480" h="864235">
                <a:moveTo>
                  <a:pt x="248437" y="0"/>
                </a:moveTo>
                <a:lnTo>
                  <a:pt x="35750" y="0"/>
                </a:lnTo>
                <a:lnTo>
                  <a:pt x="21838" y="2808"/>
                </a:lnTo>
                <a:lnTo>
                  <a:pt x="10474" y="10469"/>
                </a:lnTo>
                <a:lnTo>
                  <a:pt x="2810" y="21833"/>
                </a:lnTo>
                <a:lnTo>
                  <a:pt x="0" y="35750"/>
                </a:lnTo>
                <a:lnTo>
                  <a:pt x="0" y="828090"/>
                </a:lnTo>
                <a:lnTo>
                  <a:pt x="2810" y="842002"/>
                </a:lnTo>
                <a:lnTo>
                  <a:pt x="10474" y="853366"/>
                </a:lnTo>
                <a:lnTo>
                  <a:pt x="21838" y="861030"/>
                </a:lnTo>
                <a:lnTo>
                  <a:pt x="35750" y="863841"/>
                </a:lnTo>
                <a:lnTo>
                  <a:pt x="248437" y="863841"/>
                </a:lnTo>
                <a:lnTo>
                  <a:pt x="262360" y="861030"/>
                </a:lnTo>
                <a:lnTo>
                  <a:pt x="273723" y="853366"/>
                </a:lnTo>
                <a:lnTo>
                  <a:pt x="281380" y="842002"/>
                </a:lnTo>
                <a:lnTo>
                  <a:pt x="284187" y="828090"/>
                </a:lnTo>
                <a:lnTo>
                  <a:pt x="284187" y="35750"/>
                </a:lnTo>
                <a:lnTo>
                  <a:pt x="281380" y="21833"/>
                </a:lnTo>
                <a:lnTo>
                  <a:pt x="273723" y="10469"/>
                </a:lnTo>
                <a:lnTo>
                  <a:pt x="262360" y="2808"/>
                </a:lnTo>
                <a:lnTo>
                  <a:pt x="248437" y="0"/>
                </a:lnTo>
                <a:close/>
              </a:path>
            </a:pathLst>
          </a:custGeom>
          <a:solidFill>
            <a:srgbClr val="E3E3E3"/>
          </a:solidFill>
        </xdr:spPr>
      </xdr:sp>
      <xdr:sp macro="" textlink="">
        <xdr:nvSpPr>
          <xdr:cNvPr id="164" name="Shape 663">
            <a:extLst>
              <a:ext uri="{FF2B5EF4-FFF2-40B4-BE49-F238E27FC236}">
                <a16:creationId xmlns:a16="http://schemas.microsoft.com/office/drawing/2014/main" id="{8D894A1F-AB73-6870-AED0-10AC3303ED15}"/>
              </a:ext>
            </a:extLst>
          </xdr:cNvPr>
          <xdr:cNvSpPr/>
        </xdr:nvSpPr>
        <xdr:spPr>
          <a:xfrm>
            <a:off x="313616" y="520382"/>
            <a:ext cx="140335" cy="463550"/>
          </a:xfrm>
          <a:custGeom>
            <a:avLst/>
            <a:gdLst/>
            <a:ahLst/>
            <a:cxnLst/>
            <a:rect l="0" t="0" r="0" b="0"/>
            <a:pathLst>
              <a:path w="140335" h="463550">
                <a:moveTo>
                  <a:pt x="34328" y="7696"/>
                </a:moveTo>
                <a:lnTo>
                  <a:pt x="26631" y="0"/>
                </a:lnTo>
                <a:lnTo>
                  <a:pt x="7683" y="0"/>
                </a:lnTo>
                <a:lnTo>
                  <a:pt x="0" y="7696"/>
                </a:lnTo>
                <a:lnTo>
                  <a:pt x="0" y="455688"/>
                </a:lnTo>
                <a:lnTo>
                  <a:pt x="7683" y="463397"/>
                </a:lnTo>
                <a:lnTo>
                  <a:pt x="26631" y="463397"/>
                </a:lnTo>
                <a:lnTo>
                  <a:pt x="34328" y="455688"/>
                </a:lnTo>
                <a:lnTo>
                  <a:pt x="34328" y="17170"/>
                </a:lnTo>
                <a:lnTo>
                  <a:pt x="34328" y="7696"/>
                </a:lnTo>
                <a:close/>
              </a:path>
              <a:path w="140335" h="463550">
                <a:moveTo>
                  <a:pt x="140106" y="7696"/>
                </a:moveTo>
                <a:lnTo>
                  <a:pt x="132410" y="0"/>
                </a:lnTo>
                <a:lnTo>
                  <a:pt x="113474" y="0"/>
                </a:lnTo>
                <a:lnTo>
                  <a:pt x="105803" y="7696"/>
                </a:lnTo>
                <a:lnTo>
                  <a:pt x="105803" y="455688"/>
                </a:lnTo>
                <a:lnTo>
                  <a:pt x="113474" y="463397"/>
                </a:lnTo>
                <a:lnTo>
                  <a:pt x="132410" y="463397"/>
                </a:lnTo>
                <a:lnTo>
                  <a:pt x="140106" y="455688"/>
                </a:lnTo>
                <a:lnTo>
                  <a:pt x="140106" y="17170"/>
                </a:lnTo>
                <a:lnTo>
                  <a:pt x="140106" y="7696"/>
                </a:lnTo>
                <a:close/>
              </a:path>
            </a:pathLst>
          </a:custGeom>
          <a:solidFill>
            <a:srgbClr val="FFFFFF"/>
          </a:solidFill>
        </xdr:spPr>
      </xdr:sp>
      <xdr:pic>
        <xdr:nvPicPr>
          <xdr:cNvPr id="165" name="image68.png">
            <a:extLst>
              <a:ext uri="{FF2B5EF4-FFF2-40B4-BE49-F238E27FC236}">
                <a16:creationId xmlns:a16="http://schemas.microsoft.com/office/drawing/2014/main" id="{FF5F24B5-90FC-6894-782E-4CFB274F1113}"/>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312746" y="1027537"/>
            <a:ext cx="141757" cy="124129"/>
          </a:xfrm>
          <a:prstGeom prst="rect">
            <a:avLst/>
          </a:prstGeom>
        </xdr:spPr>
      </xdr:pic>
      <xdr:pic>
        <xdr:nvPicPr>
          <xdr:cNvPr id="166" name="image69.png">
            <a:extLst>
              <a:ext uri="{FF2B5EF4-FFF2-40B4-BE49-F238E27FC236}">
                <a16:creationId xmlns:a16="http://schemas.microsoft.com/office/drawing/2014/main" id="{21129946-292E-91A4-4641-5FCB55D51DEB}"/>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312746" y="352469"/>
            <a:ext cx="141757" cy="124129"/>
          </a:xfrm>
          <a:prstGeom prst="rect">
            <a:avLst/>
          </a:prstGeom>
        </xdr:spPr>
      </xdr:pic>
      <xdr:sp macro="" textlink="">
        <xdr:nvSpPr>
          <xdr:cNvPr id="167" name="Shape 666">
            <a:extLst>
              <a:ext uri="{FF2B5EF4-FFF2-40B4-BE49-F238E27FC236}">
                <a16:creationId xmlns:a16="http://schemas.microsoft.com/office/drawing/2014/main" id="{065B0447-AB92-695E-4C60-13BBED7B3E2C}"/>
              </a:ext>
            </a:extLst>
          </xdr:cNvPr>
          <xdr:cNvSpPr/>
        </xdr:nvSpPr>
        <xdr:spPr>
          <a:xfrm>
            <a:off x="242045" y="355911"/>
            <a:ext cx="283210" cy="792480"/>
          </a:xfrm>
          <a:custGeom>
            <a:avLst/>
            <a:gdLst/>
            <a:ahLst/>
            <a:cxnLst/>
            <a:rect l="0" t="0" r="0" b="0"/>
            <a:pathLst>
              <a:path w="283210" h="792480">
                <a:moveTo>
                  <a:pt x="0" y="0"/>
                </a:moveTo>
                <a:lnTo>
                  <a:pt x="0" y="792327"/>
                </a:lnTo>
              </a:path>
              <a:path w="283210" h="792480">
                <a:moveTo>
                  <a:pt x="283171" y="792327"/>
                </a:moveTo>
                <a:lnTo>
                  <a:pt x="283171" y="0"/>
                </a:lnTo>
              </a:path>
            </a:pathLst>
          </a:custGeom>
          <a:ln w="10185">
            <a:solidFill>
              <a:srgbClr val="000000"/>
            </a:solidFill>
          </a:ln>
        </xdr:spPr>
      </xdr:sp>
      <xdr:pic>
        <xdr:nvPicPr>
          <xdr:cNvPr id="168" name="image70.png">
            <a:extLst>
              <a:ext uri="{FF2B5EF4-FFF2-40B4-BE49-F238E27FC236}">
                <a16:creationId xmlns:a16="http://schemas.microsoft.com/office/drawing/2014/main" id="{93C89E67-9DAE-2B81-2C50-6DC7ABD6B6CE}"/>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236952" y="315055"/>
            <a:ext cx="293357" cy="227583"/>
          </a:xfrm>
          <a:prstGeom prst="rect">
            <a:avLst/>
          </a:prstGeom>
        </xdr:spPr>
      </xdr:pic>
      <xdr:pic>
        <xdr:nvPicPr>
          <xdr:cNvPr id="169" name="image71.png">
            <a:extLst>
              <a:ext uri="{FF2B5EF4-FFF2-40B4-BE49-F238E27FC236}">
                <a16:creationId xmlns:a16="http://schemas.microsoft.com/office/drawing/2014/main" id="{875157A2-6AB2-FE42-67F6-18315A029E41}"/>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236952" y="961497"/>
            <a:ext cx="293357" cy="227596"/>
          </a:xfrm>
          <a:prstGeom prst="rect">
            <a:avLst/>
          </a:prstGeom>
        </xdr:spPr>
      </xdr:pic>
      <xdr:sp macro="" textlink="">
        <xdr:nvSpPr>
          <xdr:cNvPr id="170" name="Shape 669">
            <a:extLst>
              <a:ext uri="{FF2B5EF4-FFF2-40B4-BE49-F238E27FC236}">
                <a16:creationId xmlns:a16="http://schemas.microsoft.com/office/drawing/2014/main" id="{4960F694-FCA9-3CCC-93A7-6CBECA18EB5F}"/>
              </a:ext>
            </a:extLst>
          </xdr:cNvPr>
          <xdr:cNvSpPr/>
        </xdr:nvSpPr>
        <xdr:spPr>
          <a:xfrm>
            <a:off x="313559" y="537546"/>
            <a:ext cx="140335" cy="429259"/>
          </a:xfrm>
          <a:custGeom>
            <a:avLst/>
            <a:gdLst/>
            <a:ahLst/>
            <a:cxnLst/>
            <a:rect l="0" t="0" r="0" b="0"/>
            <a:pathLst>
              <a:path w="140335" h="429259">
                <a:moveTo>
                  <a:pt x="0" y="429044"/>
                </a:moveTo>
                <a:lnTo>
                  <a:pt x="0" y="0"/>
                </a:lnTo>
              </a:path>
              <a:path w="140335" h="429259">
                <a:moveTo>
                  <a:pt x="34315" y="429044"/>
                </a:moveTo>
                <a:lnTo>
                  <a:pt x="34315" y="0"/>
                </a:lnTo>
              </a:path>
              <a:path w="140335" h="429259">
                <a:moveTo>
                  <a:pt x="105867" y="429044"/>
                </a:moveTo>
                <a:lnTo>
                  <a:pt x="105867" y="0"/>
                </a:lnTo>
              </a:path>
              <a:path w="140335" h="429259">
                <a:moveTo>
                  <a:pt x="140169" y="429044"/>
                </a:moveTo>
                <a:lnTo>
                  <a:pt x="140169" y="0"/>
                </a:lnTo>
              </a:path>
            </a:pathLst>
          </a:custGeom>
          <a:ln w="10185">
            <a:solidFill>
              <a:srgbClr val="000000"/>
            </a:solidFill>
          </a:ln>
        </xdr:spPr>
      </xdr:sp>
      <xdr:sp macro="" textlink="">
        <xdr:nvSpPr>
          <xdr:cNvPr id="171" name="Shape 670">
            <a:extLst>
              <a:ext uri="{FF2B5EF4-FFF2-40B4-BE49-F238E27FC236}">
                <a16:creationId xmlns:a16="http://schemas.microsoft.com/office/drawing/2014/main" id="{14EA4C45-2822-8263-2BCA-CC554DA044F9}"/>
              </a:ext>
            </a:extLst>
          </xdr:cNvPr>
          <xdr:cNvSpPr/>
        </xdr:nvSpPr>
        <xdr:spPr>
          <a:xfrm>
            <a:off x="0" y="47099"/>
            <a:ext cx="586105" cy="1413510"/>
          </a:xfrm>
          <a:custGeom>
            <a:avLst/>
            <a:gdLst/>
            <a:ahLst/>
            <a:cxnLst/>
            <a:rect l="0" t="0" r="0" b="0"/>
            <a:pathLst>
              <a:path w="586105" h="1413510">
                <a:moveTo>
                  <a:pt x="242112" y="252729"/>
                </a:moveTo>
                <a:lnTo>
                  <a:pt x="242112" y="0"/>
                </a:lnTo>
              </a:path>
              <a:path w="586105" h="1413510">
                <a:moveTo>
                  <a:pt x="525602" y="252729"/>
                </a:moveTo>
                <a:lnTo>
                  <a:pt x="525602" y="0"/>
                </a:lnTo>
              </a:path>
              <a:path w="586105" h="1413510">
                <a:moveTo>
                  <a:pt x="302577" y="57213"/>
                </a:moveTo>
                <a:lnTo>
                  <a:pt x="468109" y="57213"/>
                </a:lnTo>
              </a:path>
              <a:path w="586105" h="1413510">
                <a:moveTo>
                  <a:pt x="504355" y="1354734"/>
                </a:moveTo>
                <a:lnTo>
                  <a:pt x="585749" y="1354734"/>
                </a:lnTo>
              </a:path>
              <a:path w="586105" h="1413510">
                <a:moveTo>
                  <a:pt x="230238" y="1354734"/>
                </a:moveTo>
                <a:lnTo>
                  <a:pt x="0" y="1354734"/>
                </a:lnTo>
              </a:path>
              <a:path w="586105" h="1413510">
                <a:moveTo>
                  <a:pt x="328167" y="1354734"/>
                </a:moveTo>
                <a:lnTo>
                  <a:pt x="440689" y="1354734"/>
                </a:lnTo>
              </a:path>
              <a:path w="586105" h="1413510">
                <a:moveTo>
                  <a:pt x="383628" y="455891"/>
                </a:moveTo>
                <a:lnTo>
                  <a:pt x="383628" y="278739"/>
                </a:lnTo>
              </a:path>
              <a:path w="586105" h="1413510">
                <a:moveTo>
                  <a:pt x="300050" y="367423"/>
                </a:moveTo>
                <a:lnTo>
                  <a:pt x="467220" y="367423"/>
                </a:lnTo>
              </a:path>
              <a:path w="586105" h="1413510">
                <a:moveTo>
                  <a:pt x="383628" y="954049"/>
                </a:moveTo>
                <a:lnTo>
                  <a:pt x="383628" y="1131227"/>
                </a:lnTo>
              </a:path>
              <a:path w="586105" h="1413510">
                <a:moveTo>
                  <a:pt x="302132" y="1042492"/>
                </a:moveTo>
                <a:lnTo>
                  <a:pt x="465175" y="1042492"/>
                </a:lnTo>
              </a:path>
              <a:path w="586105" h="1413510">
                <a:moveTo>
                  <a:pt x="440689" y="1099718"/>
                </a:moveTo>
                <a:lnTo>
                  <a:pt x="440689" y="1413103"/>
                </a:lnTo>
              </a:path>
              <a:path w="586105" h="1413510">
                <a:moveTo>
                  <a:pt x="326580" y="1099718"/>
                </a:moveTo>
                <a:lnTo>
                  <a:pt x="326580" y="1413103"/>
                </a:lnTo>
              </a:path>
            </a:pathLst>
          </a:custGeom>
          <a:ln w="6108">
            <a:solidFill>
              <a:srgbClr val="000000"/>
            </a:solidFill>
          </a:ln>
        </xdr:spPr>
      </xdr:sp>
      <xdr:sp macro="" textlink="">
        <xdr:nvSpPr>
          <xdr:cNvPr id="172" name="Shape 671">
            <a:extLst>
              <a:ext uri="{FF2B5EF4-FFF2-40B4-BE49-F238E27FC236}">
                <a16:creationId xmlns:a16="http://schemas.microsoft.com/office/drawing/2014/main" id="{3F9696BC-DB18-6829-B062-C2E0A80EC43B}"/>
              </a:ext>
            </a:extLst>
          </xdr:cNvPr>
          <xdr:cNvSpPr/>
        </xdr:nvSpPr>
        <xdr:spPr>
          <a:xfrm>
            <a:off x="16093" y="0"/>
            <a:ext cx="525780" cy="1422400"/>
          </a:xfrm>
          <a:custGeom>
            <a:avLst/>
            <a:gdLst/>
            <a:ahLst/>
            <a:cxnLst/>
            <a:rect l="0" t="0" r="0" b="0"/>
            <a:pathLst>
              <a:path w="525780" h="1422400">
                <a:moveTo>
                  <a:pt x="27419" y="1301623"/>
                </a:moveTo>
                <a:lnTo>
                  <a:pt x="20777" y="1301623"/>
                </a:lnTo>
                <a:lnTo>
                  <a:pt x="18859" y="1312532"/>
                </a:lnTo>
                <a:lnTo>
                  <a:pt x="9880" y="1315173"/>
                </a:lnTo>
                <a:lnTo>
                  <a:pt x="0" y="1315173"/>
                </a:lnTo>
                <a:lnTo>
                  <a:pt x="0" y="1322095"/>
                </a:lnTo>
                <a:lnTo>
                  <a:pt x="18757" y="1322095"/>
                </a:lnTo>
                <a:lnTo>
                  <a:pt x="18757" y="1373847"/>
                </a:lnTo>
                <a:lnTo>
                  <a:pt x="27419" y="1373847"/>
                </a:lnTo>
                <a:lnTo>
                  <a:pt x="27419" y="1301623"/>
                </a:lnTo>
                <a:close/>
              </a:path>
              <a:path w="525780" h="1422400">
                <a:moveTo>
                  <a:pt x="73177" y="1302918"/>
                </a:moveTo>
                <a:lnTo>
                  <a:pt x="68529" y="1302918"/>
                </a:lnTo>
                <a:lnTo>
                  <a:pt x="67183" y="1310538"/>
                </a:lnTo>
                <a:lnTo>
                  <a:pt x="60896" y="1312405"/>
                </a:lnTo>
                <a:lnTo>
                  <a:pt x="53987" y="1312405"/>
                </a:lnTo>
                <a:lnTo>
                  <a:pt x="53987" y="1317244"/>
                </a:lnTo>
                <a:lnTo>
                  <a:pt x="67106" y="1317244"/>
                </a:lnTo>
                <a:lnTo>
                  <a:pt x="67106" y="1353477"/>
                </a:lnTo>
                <a:lnTo>
                  <a:pt x="73177" y="1353477"/>
                </a:lnTo>
                <a:lnTo>
                  <a:pt x="73177" y="1302918"/>
                </a:lnTo>
                <a:close/>
              </a:path>
              <a:path w="525780" h="1422400">
                <a:moveTo>
                  <a:pt x="123190" y="1299375"/>
                </a:moveTo>
                <a:lnTo>
                  <a:pt x="115747" y="1299375"/>
                </a:lnTo>
                <a:lnTo>
                  <a:pt x="85572" y="1375575"/>
                </a:lnTo>
                <a:lnTo>
                  <a:pt x="93014" y="1375575"/>
                </a:lnTo>
                <a:lnTo>
                  <a:pt x="123190" y="1299375"/>
                </a:lnTo>
                <a:close/>
              </a:path>
              <a:path w="525780" h="1422400">
                <a:moveTo>
                  <a:pt x="158076" y="1356652"/>
                </a:moveTo>
                <a:lnTo>
                  <a:pt x="151231" y="1356652"/>
                </a:lnTo>
                <a:lnTo>
                  <a:pt x="151231" y="1331925"/>
                </a:lnTo>
                <a:lnTo>
                  <a:pt x="151231" y="1323289"/>
                </a:lnTo>
                <a:lnTo>
                  <a:pt x="146354" y="1323289"/>
                </a:lnTo>
                <a:lnTo>
                  <a:pt x="145503" y="1324508"/>
                </a:lnTo>
                <a:lnTo>
                  <a:pt x="145503" y="1331925"/>
                </a:lnTo>
                <a:lnTo>
                  <a:pt x="145503" y="1356652"/>
                </a:lnTo>
                <a:lnTo>
                  <a:pt x="128536" y="1356652"/>
                </a:lnTo>
                <a:lnTo>
                  <a:pt x="145503" y="1331925"/>
                </a:lnTo>
                <a:lnTo>
                  <a:pt x="145503" y="1324508"/>
                </a:lnTo>
                <a:lnTo>
                  <a:pt x="123355" y="1356156"/>
                </a:lnTo>
                <a:lnTo>
                  <a:pt x="123355" y="1361998"/>
                </a:lnTo>
                <a:lnTo>
                  <a:pt x="145503" y="1361998"/>
                </a:lnTo>
                <a:lnTo>
                  <a:pt x="145503" y="1373847"/>
                </a:lnTo>
                <a:lnTo>
                  <a:pt x="151231" y="1373847"/>
                </a:lnTo>
                <a:lnTo>
                  <a:pt x="151231" y="1361998"/>
                </a:lnTo>
                <a:lnTo>
                  <a:pt x="158076" y="1361998"/>
                </a:lnTo>
                <a:lnTo>
                  <a:pt x="158076" y="1356652"/>
                </a:lnTo>
                <a:close/>
              </a:path>
              <a:path w="525780" h="1422400">
                <a:moveTo>
                  <a:pt x="179006" y="1301127"/>
                </a:moveTo>
                <a:lnTo>
                  <a:pt x="172085" y="1301127"/>
                </a:lnTo>
                <a:lnTo>
                  <a:pt x="172085" y="1327391"/>
                </a:lnTo>
                <a:lnTo>
                  <a:pt x="179006" y="1327391"/>
                </a:lnTo>
                <a:lnTo>
                  <a:pt x="179006" y="1301127"/>
                </a:lnTo>
                <a:close/>
              </a:path>
              <a:path w="525780" h="1422400">
                <a:moveTo>
                  <a:pt x="193255" y="1301127"/>
                </a:moveTo>
                <a:lnTo>
                  <a:pt x="186347" y="1301127"/>
                </a:lnTo>
                <a:lnTo>
                  <a:pt x="186347" y="1327391"/>
                </a:lnTo>
                <a:lnTo>
                  <a:pt x="193255" y="1327391"/>
                </a:lnTo>
                <a:lnTo>
                  <a:pt x="193255" y="1301127"/>
                </a:lnTo>
                <a:close/>
              </a:path>
              <a:path w="525780" h="1422400">
                <a:moveTo>
                  <a:pt x="308622" y="1401851"/>
                </a:moveTo>
                <a:lnTo>
                  <a:pt x="207556" y="1381633"/>
                </a:lnTo>
                <a:lnTo>
                  <a:pt x="207556" y="1422057"/>
                </a:lnTo>
                <a:lnTo>
                  <a:pt x="308622" y="1401851"/>
                </a:lnTo>
                <a:close/>
              </a:path>
              <a:path w="525780" h="1422400">
                <a:moveTo>
                  <a:pt x="316268" y="0"/>
                </a:moveTo>
                <a:lnTo>
                  <a:pt x="309651" y="0"/>
                </a:lnTo>
                <a:lnTo>
                  <a:pt x="307708" y="10896"/>
                </a:lnTo>
                <a:lnTo>
                  <a:pt x="298742" y="13550"/>
                </a:lnTo>
                <a:lnTo>
                  <a:pt x="288861" y="13550"/>
                </a:lnTo>
                <a:lnTo>
                  <a:pt x="288861" y="20472"/>
                </a:lnTo>
                <a:lnTo>
                  <a:pt x="307606" y="20472"/>
                </a:lnTo>
                <a:lnTo>
                  <a:pt x="307606" y="72224"/>
                </a:lnTo>
                <a:lnTo>
                  <a:pt x="316268" y="72224"/>
                </a:lnTo>
                <a:lnTo>
                  <a:pt x="316268" y="0"/>
                </a:lnTo>
                <a:close/>
              </a:path>
              <a:path w="525780" h="1422400">
                <a:moveTo>
                  <a:pt x="328168" y="84099"/>
                </a:moveTo>
                <a:lnTo>
                  <a:pt x="227076" y="104317"/>
                </a:lnTo>
                <a:lnTo>
                  <a:pt x="328168" y="124523"/>
                </a:lnTo>
                <a:lnTo>
                  <a:pt x="328168" y="84099"/>
                </a:lnTo>
                <a:close/>
              </a:path>
              <a:path w="525780" h="1422400">
                <a:moveTo>
                  <a:pt x="389001" y="36779"/>
                </a:moveTo>
                <a:lnTo>
                  <a:pt x="388429" y="24282"/>
                </a:lnTo>
                <a:lnTo>
                  <a:pt x="385457" y="12395"/>
                </a:lnTo>
                <a:lnTo>
                  <a:pt x="381609" y="7645"/>
                </a:lnTo>
                <a:lnTo>
                  <a:pt x="379831" y="5461"/>
                </a:lnTo>
                <a:lnTo>
                  <a:pt x="379831" y="36779"/>
                </a:lnTo>
                <a:lnTo>
                  <a:pt x="379577" y="45783"/>
                </a:lnTo>
                <a:lnTo>
                  <a:pt x="377939" y="55295"/>
                </a:lnTo>
                <a:lnTo>
                  <a:pt x="373519" y="62776"/>
                </a:lnTo>
                <a:lnTo>
                  <a:pt x="364959" y="65811"/>
                </a:lnTo>
                <a:lnTo>
                  <a:pt x="356400" y="62776"/>
                </a:lnTo>
                <a:lnTo>
                  <a:pt x="351980" y="55295"/>
                </a:lnTo>
                <a:lnTo>
                  <a:pt x="350329" y="45783"/>
                </a:lnTo>
                <a:lnTo>
                  <a:pt x="350088" y="36779"/>
                </a:lnTo>
                <a:lnTo>
                  <a:pt x="350329" y="27622"/>
                </a:lnTo>
                <a:lnTo>
                  <a:pt x="351980" y="18148"/>
                </a:lnTo>
                <a:lnTo>
                  <a:pt x="356400" y="10668"/>
                </a:lnTo>
                <a:lnTo>
                  <a:pt x="364959" y="7645"/>
                </a:lnTo>
                <a:lnTo>
                  <a:pt x="373519" y="10668"/>
                </a:lnTo>
                <a:lnTo>
                  <a:pt x="377939" y="18148"/>
                </a:lnTo>
                <a:lnTo>
                  <a:pt x="379577" y="27622"/>
                </a:lnTo>
                <a:lnTo>
                  <a:pt x="379831" y="36779"/>
                </a:lnTo>
                <a:lnTo>
                  <a:pt x="379831" y="5461"/>
                </a:lnTo>
                <a:lnTo>
                  <a:pt x="378256" y="3505"/>
                </a:lnTo>
                <a:lnTo>
                  <a:pt x="364959" y="12"/>
                </a:lnTo>
                <a:lnTo>
                  <a:pt x="351663" y="3505"/>
                </a:lnTo>
                <a:lnTo>
                  <a:pt x="344462" y="12395"/>
                </a:lnTo>
                <a:lnTo>
                  <a:pt x="341490" y="24282"/>
                </a:lnTo>
                <a:lnTo>
                  <a:pt x="340918" y="36779"/>
                </a:lnTo>
                <a:lnTo>
                  <a:pt x="341490" y="49212"/>
                </a:lnTo>
                <a:lnTo>
                  <a:pt x="344462" y="61074"/>
                </a:lnTo>
                <a:lnTo>
                  <a:pt x="351663" y="69951"/>
                </a:lnTo>
                <a:lnTo>
                  <a:pt x="364959" y="73456"/>
                </a:lnTo>
                <a:lnTo>
                  <a:pt x="378256" y="69951"/>
                </a:lnTo>
                <a:lnTo>
                  <a:pt x="381622" y="65811"/>
                </a:lnTo>
                <a:lnTo>
                  <a:pt x="385457" y="61074"/>
                </a:lnTo>
                <a:lnTo>
                  <a:pt x="388429" y="49212"/>
                </a:lnTo>
                <a:lnTo>
                  <a:pt x="389001" y="36779"/>
                </a:lnTo>
                <a:close/>
              </a:path>
              <a:path w="525780" h="1422400">
                <a:moveTo>
                  <a:pt x="445643" y="36779"/>
                </a:moveTo>
                <a:lnTo>
                  <a:pt x="445058" y="24282"/>
                </a:lnTo>
                <a:lnTo>
                  <a:pt x="442099" y="12395"/>
                </a:lnTo>
                <a:lnTo>
                  <a:pt x="438251" y="7645"/>
                </a:lnTo>
                <a:lnTo>
                  <a:pt x="436460" y="5435"/>
                </a:lnTo>
                <a:lnTo>
                  <a:pt x="436460" y="36779"/>
                </a:lnTo>
                <a:lnTo>
                  <a:pt x="436219" y="45783"/>
                </a:lnTo>
                <a:lnTo>
                  <a:pt x="434568" y="55295"/>
                </a:lnTo>
                <a:lnTo>
                  <a:pt x="430149" y="62776"/>
                </a:lnTo>
                <a:lnTo>
                  <a:pt x="421601" y="65811"/>
                </a:lnTo>
                <a:lnTo>
                  <a:pt x="413042" y="62776"/>
                </a:lnTo>
                <a:lnTo>
                  <a:pt x="408622" y="55295"/>
                </a:lnTo>
                <a:lnTo>
                  <a:pt x="406971" y="45783"/>
                </a:lnTo>
                <a:lnTo>
                  <a:pt x="406730" y="36779"/>
                </a:lnTo>
                <a:lnTo>
                  <a:pt x="406971" y="27622"/>
                </a:lnTo>
                <a:lnTo>
                  <a:pt x="408622" y="18148"/>
                </a:lnTo>
                <a:lnTo>
                  <a:pt x="413042" y="10668"/>
                </a:lnTo>
                <a:lnTo>
                  <a:pt x="421601" y="7645"/>
                </a:lnTo>
                <a:lnTo>
                  <a:pt x="430149" y="10668"/>
                </a:lnTo>
                <a:lnTo>
                  <a:pt x="434568" y="18148"/>
                </a:lnTo>
                <a:lnTo>
                  <a:pt x="436219" y="27622"/>
                </a:lnTo>
                <a:lnTo>
                  <a:pt x="436460" y="36779"/>
                </a:lnTo>
                <a:lnTo>
                  <a:pt x="436460" y="5435"/>
                </a:lnTo>
                <a:lnTo>
                  <a:pt x="434898" y="3505"/>
                </a:lnTo>
                <a:lnTo>
                  <a:pt x="421601" y="12"/>
                </a:lnTo>
                <a:lnTo>
                  <a:pt x="408292" y="3505"/>
                </a:lnTo>
                <a:lnTo>
                  <a:pt x="401091" y="12395"/>
                </a:lnTo>
                <a:lnTo>
                  <a:pt x="398132" y="24282"/>
                </a:lnTo>
                <a:lnTo>
                  <a:pt x="397560" y="36779"/>
                </a:lnTo>
                <a:lnTo>
                  <a:pt x="398132" y="49212"/>
                </a:lnTo>
                <a:lnTo>
                  <a:pt x="401091" y="61074"/>
                </a:lnTo>
                <a:lnTo>
                  <a:pt x="408292" y="69951"/>
                </a:lnTo>
                <a:lnTo>
                  <a:pt x="421601" y="73456"/>
                </a:lnTo>
                <a:lnTo>
                  <a:pt x="434898" y="69951"/>
                </a:lnTo>
                <a:lnTo>
                  <a:pt x="438264" y="65811"/>
                </a:lnTo>
                <a:lnTo>
                  <a:pt x="442099" y="61074"/>
                </a:lnTo>
                <a:lnTo>
                  <a:pt x="445058" y="49212"/>
                </a:lnTo>
                <a:lnTo>
                  <a:pt x="445643" y="36779"/>
                </a:lnTo>
                <a:close/>
              </a:path>
              <a:path w="525780" h="1422400">
                <a:moveTo>
                  <a:pt x="506691" y="104317"/>
                </a:moveTo>
                <a:lnTo>
                  <a:pt x="405638" y="84099"/>
                </a:lnTo>
                <a:lnTo>
                  <a:pt x="405638" y="124523"/>
                </a:lnTo>
                <a:lnTo>
                  <a:pt x="506691" y="104317"/>
                </a:lnTo>
                <a:close/>
              </a:path>
              <a:path w="525780" h="1422400">
                <a:moveTo>
                  <a:pt x="525564" y="1381633"/>
                </a:moveTo>
                <a:lnTo>
                  <a:pt x="424510" y="1401851"/>
                </a:lnTo>
                <a:lnTo>
                  <a:pt x="525564" y="1422057"/>
                </a:lnTo>
                <a:lnTo>
                  <a:pt x="525564" y="1381633"/>
                </a:lnTo>
                <a:close/>
              </a:path>
            </a:pathLst>
          </a:custGeom>
          <a:solidFill>
            <a:srgbClr val="000000"/>
          </a:solidFill>
        </xdr:spPr>
      </xdr:sp>
    </xdr:grpSp>
    <xdr:clientData/>
  </xdr:oneCellAnchor>
  <xdr:oneCellAnchor>
    <xdr:from>
      <xdr:col>0</xdr:col>
      <xdr:colOff>62703</xdr:colOff>
      <xdr:row>165</xdr:row>
      <xdr:rowOff>416914</xdr:rowOff>
    </xdr:from>
    <xdr:ext cx="2049780" cy="1624330"/>
    <xdr:grpSp>
      <xdr:nvGrpSpPr>
        <xdr:cNvPr id="173" name="Group 672">
          <a:extLst>
            <a:ext uri="{FF2B5EF4-FFF2-40B4-BE49-F238E27FC236}">
              <a16:creationId xmlns:a16="http://schemas.microsoft.com/office/drawing/2014/main" id="{6FE39031-39E9-4487-A127-EEC1E656D1AA}"/>
            </a:ext>
          </a:extLst>
        </xdr:cNvPr>
        <xdr:cNvGrpSpPr/>
      </xdr:nvGrpSpPr>
      <xdr:grpSpPr>
        <a:xfrm>
          <a:off x="62703" y="39650389"/>
          <a:ext cx="2049780" cy="1624330"/>
          <a:chOff x="0" y="0"/>
          <a:chExt cx="2049780" cy="1624330"/>
        </a:xfrm>
      </xdr:grpSpPr>
      <xdr:sp macro="" textlink="">
        <xdr:nvSpPr>
          <xdr:cNvPr id="174" name="Shape 673">
            <a:extLst>
              <a:ext uri="{FF2B5EF4-FFF2-40B4-BE49-F238E27FC236}">
                <a16:creationId xmlns:a16="http://schemas.microsoft.com/office/drawing/2014/main" id="{F51892B7-79A4-2665-5A49-5F404799F199}"/>
              </a:ext>
            </a:extLst>
          </xdr:cNvPr>
          <xdr:cNvSpPr/>
        </xdr:nvSpPr>
        <xdr:spPr>
          <a:xfrm>
            <a:off x="492730" y="491258"/>
            <a:ext cx="1327785" cy="863600"/>
          </a:xfrm>
          <a:custGeom>
            <a:avLst/>
            <a:gdLst/>
            <a:ahLst/>
            <a:cxnLst/>
            <a:rect l="0" t="0" r="0" b="0"/>
            <a:pathLst>
              <a:path w="1327785" h="863600">
                <a:moveTo>
                  <a:pt x="1327238" y="35560"/>
                </a:moveTo>
                <a:lnTo>
                  <a:pt x="1326883" y="34290"/>
                </a:lnTo>
                <a:lnTo>
                  <a:pt x="1325067" y="31750"/>
                </a:lnTo>
                <a:lnTo>
                  <a:pt x="1298663" y="31750"/>
                </a:lnTo>
                <a:lnTo>
                  <a:pt x="1295488" y="29210"/>
                </a:lnTo>
                <a:lnTo>
                  <a:pt x="1295488" y="22860"/>
                </a:lnTo>
                <a:lnTo>
                  <a:pt x="1295488" y="21590"/>
                </a:lnTo>
                <a:lnTo>
                  <a:pt x="1295488" y="12700"/>
                </a:lnTo>
                <a:lnTo>
                  <a:pt x="1293558" y="10160"/>
                </a:lnTo>
                <a:lnTo>
                  <a:pt x="1287183" y="10160"/>
                </a:lnTo>
                <a:lnTo>
                  <a:pt x="1287183" y="16510"/>
                </a:lnTo>
                <a:lnTo>
                  <a:pt x="1283271" y="12700"/>
                </a:lnTo>
                <a:lnTo>
                  <a:pt x="1249006" y="10160"/>
                </a:lnTo>
                <a:lnTo>
                  <a:pt x="1246124" y="10160"/>
                </a:lnTo>
                <a:lnTo>
                  <a:pt x="1243812" y="7620"/>
                </a:lnTo>
                <a:lnTo>
                  <a:pt x="1242098" y="6350"/>
                </a:lnTo>
                <a:lnTo>
                  <a:pt x="1236256" y="2540"/>
                </a:lnTo>
                <a:lnTo>
                  <a:pt x="1229106" y="0"/>
                </a:lnTo>
                <a:lnTo>
                  <a:pt x="1213993" y="0"/>
                </a:lnTo>
                <a:lnTo>
                  <a:pt x="1207122" y="2540"/>
                </a:lnTo>
                <a:lnTo>
                  <a:pt x="1201420" y="6350"/>
                </a:lnTo>
                <a:lnTo>
                  <a:pt x="1198994" y="7620"/>
                </a:lnTo>
                <a:lnTo>
                  <a:pt x="1196644" y="10160"/>
                </a:lnTo>
                <a:lnTo>
                  <a:pt x="1193774" y="10160"/>
                </a:lnTo>
                <a:lnTo>
                  <a:pt x="1159522" y="12700"/>
                </a:lnTo>
                <a:lnTo>
                  <a:pt x="1155611" y="16510"/>
                </a:lnTo>
                <a:lnTo>
                  <a:pt x="1155611" y="19050"/>
                </a:lnTo>
                <a:lnTo>
                  <a:pt x="1152080" y="15240"/>
                </a:lnTo>
                <a:lnTo>
                  <a:pt x="1104760" y="15240"/>
                </a:lnTo>
                <a:lnTo>
                  <a:pt x="1101267" y="19050"/>
                </a:lnTo>
                <a:lnTo>
                  <a:pt x="1101267" y="16510"/>
                </a:lnTo>
                <a:lnTo>
                  <a:pt x="1097305" y="12700"/>
                </a:lnTo>
                <a:lnTo>
                  <a:pt x="1063078" y="10160"/>
                </a:lnTo>
                <a:lnTo>
                  <a:pt x="1060196" y="10160"/>
                </a:lnTo>
                <a:lnTo>
                  <a:pt x="1057884" y="7620"/>
                </a:lnTo>
                <a:lnTo>
                  <a:pt x="1055535" y="6350"/>
                </a:lnTo>
                <a:lnTo>
                  <a:pt x="1049832" y="2540"/>
                </a:lnTo>
                <a:lnTo>
                  <a:pt x="1042885" y="0"/>
                </a:lnTo>
                <a:lnTo>
                  <a:pt x="1027569" y="0"/>
                </a:lnTo>
                <a:lnTo>
                  <a:pt x="1020229" y="2540"/>
                </a:lnTo>
                <a:lnTo>
                  <a:pt x="1014298" y="6350"/>
                </a:lnTo>
                <a:lnTo>
                  <a:pt x="1010716" y="10160"/>
                </a:lnTo>
                <a:lnTo>
                  <a:pt x="1007833" y="10160"/>
                </a:lnTo>
                <a:lnTo>
                  <a:pt x="973607" y="12700"/>
                </a:lnTo>
                <a:lnTo>
                  <a:pt x="969695" y="16510"/>
                </a:lnTo>
                <a:lnTo>
                  <a:pt x="969695" y="19050"/>
                </a:lnTo>
                <a:lnTo>
                  <a:pt x="966152" y="15240"/>
                </a:lnTo>
                <a:lnTo>
                  <a:pt x="918857" y="15240"/>
                </a:lnTo>
                <a:lnTo>
                  <a:pt x="915314" y="19050"/>
                </a:lnTo>
                <a:lnTo>
                  <a:pt x="915314" y="16510"/>
                </a:lnTo>
                <a:lnTo>
                  <a:pt x="911377" y="12700"/>
                </a:lnTo>
                <a:lnTo>
                  <a:pt x="877176" y="10160"/>
                </a:lnTo>
                <a:lnTo>
                  <a:pt x="874293" y="10160"/>
                </a:lnTo>
                <a:lnTo>
                  <a:pt x="871943" y="7620"/>
                </a:lnTo>
                <a:lnTo>
                  <a:pt x="870394" y="6350"/>
                </a:lnTo>
                <a:lnTo>
                  <a:pt x="864527" y="2540"/>
                </a:lnTo>
                <a:lnTo>
                  <a:pt x="857313" y="0"/>
                </a:lnTo>
                <a:lnTo>
                  <a:pt x="842124" y="0"/>
                </a:lnTo>
                <a:lnTo>
                  <a:pt x="835240" y="2540"/>
                </a:lnTo>
                <a:lnTo>
                  <a:pt x="829538" y="6350"/>
                </a:lnTo>
                <a:lnTo>
                  <a:pt x="827112" y="7620"/>
                </a:lnTo>
                <a:lnTo>
                  <a:pt x="824788" y="10160"/>
                </a:lnTo>
                <a:lnTo>
                  <a:pt x="821905" y="10160"/>
                </a:lnTo>
                <a:lnTo>
                  <a:pt x="787692" y="12700"/>
                </a:lnTo>
                <a:lnTo>
                  <a:pt x="783767" y="16510"/>
                </a:lnTo>
                <a:lnTo>
                  <a:pt x="783767" y="19050"/>
                </a:lnTo>
                <a:lnTo>
                  <a:pt x="780224" y="15240"/>
                </a:lnTo>
                <a:lnTo>
                  <a:pt x="732929" y="15240"/>
                </a:lnTo>
                <a:lnTo>
                  <a:pt x="729386" y="19050"/>
                </a:lnTo>
                <a:lnTo>
                  <a:pt x="729386" y="16510"/>
                </a:lnTo>
                <a:lnTo>
                  <a:pt x="725474" y="12700"/>
                </a:lnTo>
                <a:lnTo>
                  <a:pt x="691248" y="10160"/>
                </a:lnTo>
                <a:lnTo>
                  <a:pt x="688365" y="10160"/>
                </a:lnTo>
                <a:lnTo>
                  <a:pt x="686015" y="7620"/>
                </a:lnTo>
                <a:lnTo>
                  <a:pt x="683945" y="6350"/>
                </a:lnTo>
                <a:lnTo>
                  <a:pt x="678180" y="2540"/>
                </a:lnTo>
                <a:lnTo>
                  <a:pt x="671156" y="0"/>
                </a:lnTo>
                <a:lnTo>
                  <a:pt x="655878" y="0"/>
                </a:lnTo>
                <a:lnTo>
                  <a:pt x="648716" y="2540"/>
                </a:lnTo>
                <a:lnTo>
                  <a:pt x="642823" y="6350"/>
                </a:lnTo>
                <a:lnTo>
                  <a:pt x="641197" y="7620"/>
                </a:lnTo>
                <a:lnTo>
                  <a:pt x="638860" y="10160"/>
                </a:lnTo>
                <a:lnTo>
                  <a:pt x="636003" y="10160"/>
                </a:lnTo>
                <a:lnTo>
                  <a:pt x="601738" y="12700"/>
                </a:lnTo>
                <a:lnTo>
                  <a:pt x="597814" y="16510"/>
                </a:lnTo>
                <a:lnTo>
                  <a:pt x="597814" y="19050"/>
                </a:lnTo>
                <a:lnTo>
                  <a:pt x="594321" y="15240"/>
                </a:lnTo>
                <a:lnTo>
                  <a:pt x="546989" y="15240"/>
                </a:lnTo>
                <a:lnTo>
                  <a:pt x="543483" y="19050"/>
                </a:lnTo>
                <a:lnTo>
                  <a:pt x="543483" y="16510"/>
                </a:lnTo>
                <a:lnTo>
                  <a:pt x="539546" y="12700"/>
                </a:lnTo>
                <a:lnTo>
                  <a:pt x="505307" y="10160"/>
                </a:lnTo>
                <a:lnTo>
                  <a:pt x="502424" y="10160"/>
                </a:lnTo>
                <a:lnTo>
                  <a:pt x="500087" y="7620"/>
                </a:lnTo>
                <a:lnTo>
                  <a:pt x="497662" y="6350"/>
                </a:lnTo>
                <a:lnTo>
                  <a:pt x="491947" y="2540"/>
                </a:lnTo>
                <a:lnTo>
                  <a:pt x="485063" y="0"/>
                </a:lnTo>
                <a:lnTo>
                  <a:pt x="470293" y="0"/>
                </a:lnTo>
                <a:lnTo>
                  <a:pt x="463423" y="2540"/>
                </a:lnTo>
                <a:lnTo>
                  <a:pt x="457708" y="6350"/>
                </a:lnTo>
                <a:lnTo>
                  <a:pt x="455282" y="7620"/>
                </a:lnTo>
                <a:lnTo>
                  <a:pt x="452920" y="10160"/>
                </a:lnTo>
                <a:lnTo>
                  <a:pt x="450075" y="10160"/>
                </a:lnTo>
                <a:lnTo>
                  <a:pt x="415810" y="12700"/>
                </a:lnTo>
                <a:lnTo>
                  <a:pt x="411899" y="16510"/>
                </a:lnTo>
                <a:lnTo>
                  <a:pt x="411899" y="19050"/>
                </a:lnTo>
                <a:lnTo>
                  <a:pt x="408393" y="15240"/>
                </a:lnTo>
                <a:lnTo>
                  <a:pt x="361061" y="15240"/>
                </a:lnTo>
                <a:lnTo>
                  <a:pt x="357555" y="19050"/>
                </a:lnTo>
                <a:lnTo>
                  <a:pt x="357555" y="16510"/>
                </a:lnTo>
                <a:lnTo>
                  <a:pt x="353593" y="12700"/>
                </a:lnTo>
                <a:lnTo>
                  <a:pt x="319379" y="10160"/>
                </a:lnTo>
                <a:lnTo>
                  <a:pt x="316496" y="10160"/>
                </a:lnTo>
                <a:lnTo>
                  <a:pt x="314159" y="7620"/>
                </a:lnTo>
                <a:lnTo>
                  <a:pt x="312356" y="6350"/>
                </a:lnTo>
                <a:lnTo>
                  <a:pt x="306539" y="2540"/>
                </a:lnTo>
                <a:lnTo>
                  <a:pt x="299427" y="0"/>
                </a:lnTo>
                <a:lnTo>
                  <a:pt x="284048" y="0"/>
                </a:lnTo>
                <a:lnTo>
                  <a:pt x="276860" y="2540"/>
                </a:lnTo>
                <a:lnTo>
                  <a:pt x="271005" y="6350"/>
                </a:lnTo>
                <a:lnTo>
                  <a:pt x="266992" y="10160"/>
                </a:lnTo>
                <a:lnTo>
                  <a:pt x="264121" y="10160"/>
                </a:lnTo>
                <a:lnTo>
                  <a:pt x="229908" y="12700"/>
                </a:lnTo>
                <a:lnTo>
                  <a:pt x="225983" y="16510"/>
                </a:lnTo>
                <a:lnTo>
                  <a:pt x="225983" y="19050"/>
                </a:lnTo>
                <a:lnTo>
                  <a:pt x="222440" y="15240"/>
                </a:lnTo>
                <a:lnTo>
                  <a:pt x="175158" y="15240"/>
                </a:lnTo>
                <a:lnTo>
                  <a:pt x="171615" y="19050"/>
                </a:lnTo>
                <a:lnTo>
                  <a:pt x="171615" y="16510"/>
                </a:lnTo>
                <a:lnTo>
                  <a:pt x="167678" y="12700"/>
                </a:lnTo>
                <a:lnTo>
                  <a:pt x="133477" y="10160"/>
                </a:lnTo>
                <a:lnTo>
                  <a:pt x="130581" y="10160"/>
                </a:lnTo>
                <a:lnTo>
                  <a:pt x="128219" y="7620"/>
                </a:lnTo>
                <a:lnTo>
                  <a:pt x="126504" y="6350"/>
                </a:lnTo>
                <a:lnTo>
                  <a:pt x="120675" y="2540"/>
                </a:lnTo>
                <a:lnTo>
                  <a:pt x="113538" y="0"/>
                </a:lnTo>
                <a:lnTo>
                  <a:pt x="98044" y="0"/>
                </a:lnTo>
                <a:lnTo>
                  <a:pt x="90792" y="2540"/>
                </a:lnTo>
                <a:lnTo>
                  <a:pt x="84899" y="6350"/>
                </a:lnTo>
                <a:lnTo>
                  <a:pt x="83439" y="7620"/>
                </a:lnTo>
                <a:lnTo>
                  <a:pt x="81089" y="10160"/>
                </a:lnTo>
                <a:lnTo>
                  <a:pt x="78206" y="10160"/>
                </a:lnTo>
                <a:lnTo>
                  <a:pt x="43967" y="12700"/>
                </a:lnTo>
                <a:lnTo>
                  <a:pt x="40043" y="16510"/>
                </a:lnTo>
                <a:lnTo>
                  <a:pt x="40043" y="10160"/>
                </a:lnTo>
                <a:lnTo>
                  <a:pt x="33667" y="10160"/>
                </a:lnTo>
                <a:lnTo>
                  <a:pt x="31750" y="12700"/>
                </a:lnTo>
                <a:lnTo>
                  <a:pt x="31750" y="29210"/>
                </a:lnTo>
                <a:lnTo>
                  <a:pt x="28536" y="31750"/>
                </a:lnTo>
                <a:lnTo>
                  <a:pt x="2133" y="31750"/>
                </a:lnTo>
                <a:lnTo>
                  <a:pt x="342" y="34290"/>
                </a:lnTo>
                <a:lnTo>
                  <a:pt x="0" y="35560"/>
                </a:lnTo>
                <a:lnTo>
                  <a:pt x="0" y="151130"/>
                </a:lnTo>
                <a:lnTo>
                  <a:pt x="342" y="152400"/>
                </a:lnTo>
                <a:lnTo>
                  <a:pt x="2133" y="153670"/>
                </a:lnTo>
                <a:lnTo>
                  <a:pt x="28536" y="153670"/>
                </a:lnTo>
                <a:lnTo>
                  <a:pt x="31750" y="157480"/>
                </a:lnTo>
                <a:lnTo>
                  <a:pt x="31750" y="173990"/>
                </a:lnTo>
                <a:lnTo>
                  <a:pt x="33667" y="175260"/>
                </a:lnTo>
                <a:lnTo>
                  <a:pt x="40043" y="175260"/>
                </a:lnTo>
                <a:lnTo>
                  <a:pt x="40043" y="170180"/>
                </a:lnTo>
                <a:lnTo>
                  <a:pt x="43967" y="173990"/>
                </a:lnTo>
                <a:lnTo>
                  <a:pt x="64109" y="175260"/>
                </a:lnTo>
                <a:lnTo>
                  <a:pt x="70065" y="181610"/>
                </a:lnTo>
                <a:lnTo>
                  <a:pt x="70065" y="680720"/>
                </a:lnTo>
                <a:lnTo>
                  <a:pt x="64109" y="687070"/>
                </a:lnTo>
                <a:lnTo>
                  <a:pt x="43967" y="688340"/>
                </a:lnTo>
                <a:lnTo>
                  <a:pt x="40043" y="692150"/>
                </a:lnTo>
                <a:lnTo>
                  <a:pt x="40043" y="687070"/>
                </a:lnTo>
                <a:lnTo>
                  <a:pt x="33667" y="687070"/>
                </a:lnTo>
                <a:lnTo>
                  <a:pt x="31750" y="688340"/>
                </a:lnTo>
                <a:lnTo>
                  <a:pt x="31750" y="704850"/>
                </a:lnTo>
                <a:lnTo>
                  <a:pt x="28536" y="707390"/>
                </a:lnTo>
                <a:lnTo>
                  <a:pt x="2133" y="707390"/>
                </a:lnTo>
                <a:lnTo>
                  <a:pt x="342" y="709930"/>
                </a:lnTo>
                <a:lnTo>
                  <a:pt x="0" y="711200"/>
                </a:lnTo>
                <a:lnTo>
                  <a:pt x="0" y="828040"/>
                </a:lnTo>
                <a:lnTo>
                  <a:pt x="342" y="830580"/>
                </a:lnTo>
                <a:lnTo>
                  <a:pt x="2133" y="831850"/>
                </a:lnTo>
                <a:lnTo>
                  <a:pt x="28536" y="831850"/>
                </a:lnTo>
                <a:lnTo>
                  <a:pt x="31750" y="834390"/>
                </a:lnTo>
                <a:lnTo>
                  <a:pt x="31750" y="850900"/>
                </a:lnTo>
                <a:lnTo>
                  <a:pt x="33667" y="853440"/>
                </a:lnTo>
                <a:lnTo>
                  <a:pt x="40043" y="853440"/>
                </a:lnTo>
                <a:lnTo>
                  <a:pt x="40043" y="847090"/>
                </a:lnTo>
                <a:lnTo>
                  <a:pt x="43967" y="852170"/>
                </a:lnTo>
                <a:lnTo>
                  <a:pt x="78206" y="853440"/>
                </a:lnTo>
                <a:lnTo>
                  <a:pt x="81089" y="854710"/>
                </a:lnTo>
                <a:lnTo>
                  <a:pt x="83439" y="855980"/>
                </a:lnTo>
                <a:lnTo>
                  <a:pt x="84632" y="857250"/>
                </a:lnTo>
                <a:lnTo>
                  <a:pt x="90538" y="861060"/>
                </a:lnTo>
                <a:lnTo>
                  <a:pt x="97891" y="863600"/>
                </a:lnTo>
                <a:lnTo>
                  <a:pt x="113233" y="863600"/>
                </a:lnTo>
                <a:lnTo>
                  <a:pt x="120129" y="862330"/>
                </a:lnTo>
                <a:lnTo>
                  <a:pt x="125818" y="858520"/>
                </a:lnTo>
                <a:lnTo>
                  <a:pt x="128219" y="855980"/>
                </a:lnTo>
                <a:lnTo>
                  <a:pt x="130581" y="854710"/>
                </a:lnTo>
                <a:lnTo>
                  <a:pt x="133477" y="853440"/>
                </a:lnTo>
                <a:lnTo>
                  <a:pt x="167678" y="852170"/>
                </a:lnTo>
                <a:lnTo>
                  <a:pt x="171615" y="847090"/>
                </a:lnTo>
                <a:lnTo>
                  <a:pt x="171615" y="844550"/>
                </a:lnTo>
                <a:lnTo>
                  <a:pt x="175158" y="848360"/>
                </a:lnTo>
                <a:lnTo>
                  <a:pt x="222440" y="848360"/>
                </a:lnTo>
                <a:lnTo>
                  <a:pt x="225983" y="844550"/>
                </a:lnTo>
                <a:lnTo>
                  <a:pt x="225983" y="847090"/>
                </a:lnTo>
                <a:lnTo>
                  <a:pt x="229908" y="852170"/>
                </a:lnTo>
                <a:lnTo>
                  <a:pt x="269367" y="855980"/>
                </a:lnTo>
                <a:lnTo>
                  <a:pt x="277025" y="862330"/>
                </a:lnTo>
                <a:lnTo>
                  <a:pt x="284124" y="863600"/>
                </a:lnTo>
                <a:lnTo>
                  <a:pt x="299085" y="863600"/>
                </a:lnTo>
                <a:lnTo>
                  <a:pt x="305943" y="862330"/>
                </a:lnTo>
                <a:lnTo>
                  <a:pt x="311632" y="858520"/>
                </a:lnTo>
                <a:lnTo>
                  <a:pt x="314159" y="855980"/>
                </a:lnTo>
                <a:lnTo>
                  <a:pt x="316496" y="854710"/>
                </a:lnTo>
                <a:lnTo>
                  <a:pt x="319379" y="853440"/>
                </a:lnTo>
                <a:lnTo>
                  <a:pt x="353593" y="852170"/>
                </a:lnTo>
                <a:lnTo>
                  <a:pt x="357555" y="847090"/>
                </a:lnTo>
                <a:lnTo>
                  <a:pt x="357555" y="844550"/>
                </a:lnTo>
                <a:lnTo>
                  <a:pt x="361061" y="848360"/>
                </a:lnTo>
                <a:lnTo>
                  <a:pt x="408393" y="848360"/>
                </a:lnTo>
                <a:lnTo>
                  <a:pt x="411899" y="844550"/>
                </a:lnTo>
                <a:lnTo>
                  <a:pt x="411899" y="847090"/>
                </a:lnTo>
                <a:lnTo>
                  <a:pt x="415810" y="852170"/>
                </a:lnTo>
                <a:lnTo>
                  <a:pt x="455282" y="855980"/>
                </a:lnTo>
                <a:lnTo>
                  <a:pt x="462826" y="862330"/>
                </a:lnTo>
                <a:lnTo>
                  <a:pt x="469963" y="863600"/>
                </a:lnTo>
                <a:lnTo>
                  <a:pt x="485013" y="863600"/>
                </a:lnTo>
                <a:lnTo>
                  <a:pt x="491858" y="862330"/>
                </a:lnTo>
                <a:lnTo>
                  <a:pt x="497547" y="858520"/>
                </a:lnTo>
                <a:lnTo>
                  <a:pt x="500087" y="855980"/>
                </a:lnTo>
                <a:lnTo>
                  <a:pt x="502424" y="854710"/>
                </a:lnTo>
                <a:lnTo>
                  <a:pt x="505307" y="853440"/>
                </a:lnTo>
                <a:lnTo>
                  <a:pt x="539546" y="852170"/>
                </a:lnTo>
                <a:lnTo>
                  <a:pt x="543483" y="847090"/>
                </a:lnTo>
                <a:lnTo>
                  <a:pt x="543483" y="844550"/>
                </a:lnTo>
                <a:lnTo>
                  <a:pt x="546989" y="848360"/>
                </a:lnTo>
                <a:lnTo>
                  <a:pt x="594321" y="848360"/>
                </a:lnTo>
                <a:lnTo>
                  <a:pt x="597814" y="844550"/>
                </a:lnTo>
                <a:lnTo>
                  <a:pt x="597814" y="847090"/>
                </a:lnTo>
                <a:lnTo>
                  <a:pt x="601738" y="852170"/>
                </a:lnTo>
                <a:lnTo>
                  <a:pt x="641197" y="855980"/>
                </a:lnTo>
                <a:lnTo>
                  <a:pt x="648728" y="862330"/>
                </a:lnTo>
                <a:lnTo>
                  <a:pt x="655878" y="863600"/>
                </a:lnTo>
                <a:lnTo>
                  <a:pt x="670991" y="863600"/>
                </a:lnTo>
                <a:lnTo>
                  <a:pt x="677875" y="862330"/>
                </a:lnTo>
                <a:lnTo>
                  <a:pt x="683615" y="858520"/>
                </a:lnTo>
                <a:lnTo>
                  <a:pt x="686015" y="855980"/>
                </a:lnTo>
                <a:lnTo>
                  <a:pt x="688365" y="854710"/>
                </a:lnTo>
                <a:lnTo>
                  <a:pt x="691248" y="853440"/>
                </a:lnTo>
                <a:lnTo>
                  <a:pt x="725474" y="852170"/>
                </a:lnTo>
                <a:lnTo>
                  <a:pt x="729386" y="847090"/>
                </a:lnTo>
                <a:lnTo>
                  <a:pt x="729386" y="844550"/>
                </a:lnTo>
                <a:lnTo>
                  <a:pt x="732929" y="848360"/>
                </a:lnTo>
                <a:lnTo>
                  <a:pt x="780224" y="848360"/>
                </a:lnTo>
                <a:lnTo>
                  <a:pt x="783767" y="844550"/>
                </a:lnTo>
                <a:lnTo>
                  <a:pt x="783767" y="847090"/>
                </a:lnTo>
                <a:lnTo>
                  <a:pt x="787692" y="852170"/>
                </a:lnTo>
                <a:lnTo>
                  <a:pt x="827112" y="855980"/>
                </a:lnTo>
                <a:lnTo>
                  <a:pt x="834694" y="862330"/>
                </a:lnTo>
                <a:lnTo>
                  <a:pt x="841844" y="863600"/>
                </a:lnTo>
                <a:lnTo>
                  <a:pt x="856805" y="863600"/>
                </a:lnTo>
                <a:lnTo>
                  <a:pt x="863561" y="862330"/>
                </a:lnTo>
                <a:lnTo>
                  <a:pt x="869200" y="858520"/>
                </a:lnTo>
                <a:lnTo>
                  <a:pt x="871943" y="855980"/>
                </a:lnTo>
                <a:lnTo>
                  <a:pt x="874293" y="854710"/>
                </a:lnTo>
                <a:lnTo>
                  <a:pt x="877176" y="853440"/>
                </a:lnTo>
                <a:lnTo>
                  <a:pt x="911377" y="852170"/>
                </a:lnTo>
                <a:lnTo>
                  <a:pt x="915314" y="847090"/>
                </a:lnTo>
                <a:lnTo>
                  <a:pt x="915314" y="844550"/>
                </a:lnTo>
                <a:lnTo>
                  <a:pt x="918857" y="848360"/>
                </a:lnTo>
                <a:lnTo>
                  <a:pt x="966152" y="848360"/>
                </a:lnTo>
                <a:lnTo>
                  <a:pt x="969695" y="844550"/>
                </a:lnTo>
                <a:lnTo>
                  <a:pt x="969695" y="847090"/>
                </a:lnTo>
                <a:lnTo>
                  <a:pt x="973607" y="852170"/>
                </a:lnTo>
                <a:lnTo>
                  <a:pt x="1013066" y="855980"/>
                </a:lnTo>
                <a:lnTo>
                  <a:pt x="1020749" y="862330"/>
                </a:lnTo>
                <a:lnTo>
                  <a:pt x="1027823" y="863600"/>
                </a:lnTo>
                <a:lnTo>
                  <a:pt x="1042809" y="863600"/>
                </a:lnTo>
                <a:lnTo>
                  <a:pt x="1049667" y="862330"/>
                </a:lnTo>
                <a:lnTo>
                  <a:pt x="1055357" y="858520"/>
                </a:lnTo>
                <a:lnTo>
                  <a:pt x="1057884" y="855980"/>
                </a:lnTo>
                <a:lnTo>
                  <a:pt x="1060196" y="854710"/>
                </a:lnTo>
                <a:lnTo>
                  <a:pt x="1063078" y="853440"/>
                </a:lnTo>
                <a:lnTo>
                  <a:pt x="1097305" y="852170"/>
                </a:lnTo>
                <a:lnTo>
                  <a:pt x="1101267" y="847090"/>
                </a:lnTo>
                <a:lnTo>
                  <a:pt x="1101267" y="844550"/>
                </a:lnTo>
                <a:lnTo>
                  <a:pt x="1104760" y="848360"/>
                </a:lnTo>
                <a:lnTo>
                  <a:pt x="1152080" y="848360"/>
                </a:lnTo>
                <a:lnTo>
                  <a:pt x="1155611" y="844550"/>
                </a:lnTo>
                <a:lnTo>
                  <a:pt x="1155611" y="847090"/>
                </a:lnTo>
                <a:lnTo>
                  <a:pt x="1159522" y="852170"/>
                </a:lnTo>
                <a:lnTo>
                  <a:pt x="1198994" y="855980"/>
                </a:lnTo>
                <a:lnTo>
                  <a:pt x="1206373" y="862330"/>
                </a:lnTo>
                <a:lnTo>
                  <a:pt x="1213599" y="863600"/>
                </a:lnTo>
                <a:lnTo>
                  <a:pt x="1228775" y="863600"/>
                </a:lnTo>
                <a:lnTo>
                  <a:pt x="1235659" y="862330"/>
                </a:lnTo>
                <a:lnTo>
                  <a:pt x="1241374" y="858520"/>
                </a:lnTo>
                <a:lnTo>
                  <a:pt x="1243812" y="855980"/>
                </a:lnTo>
                <a:lnTo>
                  <a:pt x="1246124" y="854710"/>
                </a:lnTo>
                <a:lnTo>
                  <a:pt x="1249006" y="853440"/>
                </a:lnTo>
                <a:lnTo>
                  <a:pt x="1283271" y="852170"/>
                </a:lnTo>
                <a:lnTo>
                  <a:pt x="1287183" y="847090"/>
                </a:lnTo>
                <a:lnTo>
                  <a:pt x="1287183" y="853440"/>
                </a:lnTo>
                <a:lnTo>
                  <a:pt x="1293558" y="853440"/>
                </a:lnTo>
                <a:lnTo>
                  <a:pt x="1295488" y="850900"/>
                </a:lnTo>
                <a:lnTo>
                  <a:pt x="1295488" y="842010"/>
                </a:lnTo>
                <a:lnTo>
                  <a:pt x="1295488" y="840740"/>
                </a:lnTo>
                <a:lnTo>
                  <a:pt x="1295488" y="834390"/>
                </a:lnTo>
                <a:lnTo>
                  <a:pt x="1298663" y="831850"/>
                </a:lnTo>
                <a:lnTo>
                  <a:pt x="1325067" y="831850"/>
                </a:lnTo>
                <a:lnTo>
                  <a:pt x="1326883" y="830580"/>
                </a:lnTo>
                <a:lnTo>
                  <a:pt x="1327238" y="828040"/>
                </a:lnTo>
                <a:lnTo>
                  <a:pt x="1327238" y="711200"/>
                </a:lnTo>
                <a:lnTo>
                  <a:pt x="1326883" y="709930"/>
                </a:lnTo>
                <a:lnTo>
                  <a:pt x="1325067" y="707390"/>
                </a:lnTo>
                <a:lnTo>
                  <a:pt x="1298663" y="707390"/>
                </a:lnTo>
                <a:lnTo>
                  <a:pt x="1295488" y="704850"/>
                </a:lnTo>
                <a:lnTo>
                  <a:pt x="1295488" y="697230"/>
                </a:lnTo>
                <a:lnTo>
                  <a:pt x="1295488" y="688340"/>
                </a:lnTo>
                <a:lnTo>
                  <a:pt x="1293558" y="687070"/>
                </a:lnTo>
                <a:lnTo>
                  <a:pt x="1287183" y="687070"/>
                </a:lnTo>
                <a:lnTo>
                  <a:pt x="1287183" y="692150"/>
                </a:lnTo>
                <a:lnTo>
                  <a:pt x="1283271" y="688340"/>
                </a:lnTo>
                <a:lnTo>
                  <a:pt x="1263091" y="687070"/>
                </a:lnTo>
                <a:lnTo>
                  <a:pt x="1257147" y="680720"/>
                </a:lnTo>
                <a:lnTo>
                  <a:pt x="1257147" y="181610"/>
                </a:lnTo>
                <a:lnTo>
                  <a:pt x="1263091" y="175260"/>
                </a:lnTo>
                <a:lnTo>
                  <a:pt x="1283271" y="173990"/>
                </a:lnTo>
                <a:lnTo>
                  <a:pt x="1287183" y="170180"/>
                </a:lnTo>
                <a:lnTo>
                  <a:pt x="1287183" y="175260"/>
                </a:lnTo>
                <a:lnTo>
                  <a:pt x="1293558" y="175260"/>
                </a:lnTo>
                <a:lnTo>
                  <a:pt x="1295488" y="173990"/>
                </a:lnTo>
                <a:lnTo>
                  <a:pt x="1295488" y="165100"/>
                </a:lnTo>
                <a:lnTo>
                  <a:pt x="1295488" y="157480"/>
                </a:lnTo>
                <a:lnTo>
                  <a:pt x="1298663" y="153670"/>
                </a:lnTo>
                <a:lnTo>
                  <a:pt x="1325067" y="153670"/>
                </a:lnTo>
                <a:lnTo>
                  <a:pt x="1326883" y="152400"/>
                </a:lnTo>
                <a:lnTo>
                  <a:pt x="1327238" y="151130"/>
                </a:lnTo>
                <a:lnTo>
                  <a:pt x="1327238" y="35560"/>
                </a:lnTo>
                <a:close/>
              </a:path>
            </a:pathLst>
          </a:custGeom>
          <a:solidFill>
            <a:srgbClr val="E3E3E3"/>
          </a:solidFill>
        </xdr:spPr>
      </xdr:sp>
      <xdr:sp macro="" textlink="">
        <xdr:nvSpPr>
          <xdr:cNvPr id="175" name="Shape 674">
            <a:extLst>
              <a:ext uri="{FF2B5EF4-FFF2-40B4-BE49-F238E27FC236}">
                <a16:creationId xmlns:a16="http://schemas.microsoft.com/office/drawing/2014/main" id="{13103407-00F4-F868-57B4-9540F2AF68F3}"/>
              </a:ext>
            </a:extLst>
          </xdr:cNvPr>
          <xdr:cNvSpPr/>
        </xdr:nvSpPr>
        <xdr:spPr>
          <a:xfrm>
            <a:off x="634323" y="658098"/>
            <a:ext cx="1044575" cy="527685"/>
          </a:xfrm>
          <a:custGeom>
            <a:avLst/>
            <a:gdLst/>
            <a:ahLst/>
            <a:cxnLst/>
            <a:rect l="0" t="0" r="0" b="0"/>
            <a:pathLst>
              <a:path w="1044575" h="527685">
                <a:moveTo>
                  <a:pt x="114427" y="13906"/>
                </a:moveTo>
                <a:lnTo>
                  <a:pt x="108458" y="7632"/>
                </a:lnTo>
                <a:lnTo>
                  <a:pt x="88315" y="6578"/>
                </a:lnTo>
                <a:lnTo>
                  <a:pt x="85407" y="3517"/>
                </a:lnTo>
                <a:lnTo>
                  <a:pt x="84404" y="2451"/>
                </a:lnTo>
                <a:lnTo>
                  <a:pt x="84404" y="0"/>
                </a:lnTo>
                <a:lnTo>
                  <a:pt x="80860" y="3517"/>
                </a:lnTo>
                <a:lnTo>
                  <a:pt x="33566" y="3517"/>
                </a:lnTo>
                <a:lnTo>
                  <a:pt x="30022" y="0"/>
                </a:lnTo>
                <a:lnTo>
                  <a:pt x="30022" y="2451"/>
                </a:lnTo>
                <a:lnTo>
                  <a:pt x="26085" y="6578"/>
                </a:lnTo>
                <a:lnTo>
                  <a:pt x="5969" y="7632"/>
                </a:lnTo>
                <a:lnTo>
                  <a:pt x="0" y="13906"/>
                </a:lnTo>
                <a:lnTo>
                  <a:pt x="0" y="513384"/>
                </a:lnTo>
                <a:lnTo>
                  <a:pt x="5969" y="519658"/>
                </a:lnTo>
                <a:lnTo>
                  <a:pt x="26085" y="520712"/>
                </a:lnTo>
                <a:lnTo>
                  <a:pt x="30022" y="524865"/>
                </a:lnTo>
                <a:lnTo>
                  <a:pt x="30022" y="527316"/>
                </a:lnTo>
                <a:lnTo>
                  <a:pt x="33566" y="523798"/>
                </a:lnTo>
                <a:lnTo>
                  <a:pt x="80860" y="523798"/>
                </a:lnTo>
                <a:lnTo>
                  <a:pt x="84404" y="527316"/>
                </a:lnTo>
                <a:lnTo>
                  <a:pt x="84404" y="524865"/>
                </a:lnTo>
                <a:lnTo>
                  <a:pt x="85407" y="523798"/>
                </a:lnTo>
                <a:lnTo>
                  <a:pt x="88315" y="520712"/>
                </a:lnTo>
                <a:lnTo>
                  <a:pt x="108458" y="519658"/>
                </a:lnTo>
                <a:lnTo>
                  <a:pt x="114427" y="513384"/>
                </a:lnTo>
                <a:lnTo>
                  <a:pt x="114427" y="13906"/>
                </a:lnTo>
                <a:close/>
              </a:path>
              <a:path w="1044575" h="527685">
                <a:moveTo>
                  <a:pt x="300342" y="13906"/>
                </a:moveTo>
                <a:lnTo>
                  <a:pt x="294398" y="7632"/>
                </a:lnTo>
                <a:lnTo>
                  <a:pt x="274218" y="6578"/>
                </a:lnTo>
                <a:lnTo>
                  <a:pt x="271310" y="3517"/>
                </a:lnTo>
                <a:lnTo>
                  <a:pt x="270294" y="2451"/>
                </a:lnTo>
                <a:lnTo>
                  <a:pt x="270294" y="0"/>
                </a:lnTo>
                <a:lnTo>
                  <a:pt x="266801" y="3517"/>
                </a:lnTo>
                <a:lnTo>
                  <a:pt x="219468" y="3517"/>
                </a:lnTo>
                <a:lnTo>
                  <a:pt x="215963" y="0"/>
                </a:lnTo>
                <a:lnTo>
                  <a:pt x="215963" y="2451"/>
                </a:lnTo>
                <a:lnTo>
                  <a:pt x="212001" y="6578"/>
                </a:lnTo>
                <a:lnTo>
                  <a:pt x="191871" y="7632"/>
                </a:lnTo>
                <a:lnTo>
                  <a:pt x="185915" y="13906"/>
                </a:lnTo>
                <a:lnTo>
                  <a:pt x="185915" y="513384"/>
                </a:lnTo>
                <a:lnTo>
                  <a:pt x="191871" y="519658"/>
                </a:lnTo>
                <a:lnTo>
                  <a:pt x="212001" y="520712"/>
                </a:lnTo>
                <a:lnTo>
                  <a:pt x="215963" y="524865"/>
                </a:lnTo>
                <a:lnTo>
                  <a:pt x="215963" y="527316"/>
                </a:lnTo>
                <a:lnTo>
                  <a:pt x="219468" y="523798"/>
                </a:lnTo>
                <a:lnTo>
                  <a:pt x="266801" y="523798"/>
                </a:lnTo>
                <a:lnTo>
                  <a:pt x="270294" y="527316"/>
                </a:lnTo>
                <a:lnTo>
                  <a:pt x="270294" y="524865"/>
                </a:lnTo>
                <a:lnTo>
                  <a:pt x="271297" y="523798"/>
                </a:lnTo>
                <a:lnTo>
                  <a:pt x="274218" y="520712"/>
                </a:lnTo>
                <a:lnTo>
                  <a:pt x="294398" y="519658"/>
                </a:lnTo>
                <a:lnTo>
                  <a:pt x="300342" y="513384"/>
                </a:lnTo>
                <a:lnTo>
                  <a:pt x="300342" y="13906"/>
                </a:lnTo>
                <a:close/>
              </a:path>
              <a:path w="1044575" h="527685">
                <a:moveTo>
                  <a:pt x="485749" y="13906"/>
                </a:moveTo>
                <a:lnTo>
                  <a:pt x="479806" y="7632"/>
                </a:lnTo>
                <a:lnTo>
                  <a:pt x="459625" y="6578"/>
                </a:lnTo>
                <a:lnTo>
                  <a:pt x="456730" y="3517"/>
                </a:lnTo>
                <a:lnTo>
                  <a:pt x="455714" y="2451"/>
                </a:lnTo>
                <a:lnTo>
                  <a:pt x="455714" y="0"/>
                </a:lnTo>
                <a:lnTo>
                  <a:pt x="452208" y="3517"/>
                </a:lnTo>
                <a:lnTo>
                  <a:pt x="404876" y="3517"/>
                </a:lnTo>
                <a:lnTo>
                  <a:pt x="401370" y="0"/>
                </a:lnTo>
                <a:lnTo>
                  <a:pt x="401370" y="2451"/>
                </a:lnTo>
                <a:lnTo>
                  <a:pt x="397408" y="6578"/>
                </a:lnTo>
                <a:lnTo>
                  <a:pt x="377278" y="7632"/>
                </a:lnTo>
                <a:lnTo>
                  <a:pt x="371335" y="13906"/>
                </a:lnTo>
                <a:lnTo>
                  <a:pt x="371335" y="513384"/>
                </a:lnTo>
                <a:lnTo>
                  <a:pt x="377278" y="519658"/>
                </a:lnTo>
                <a:lnTo>
                  <a:pt x="397408" y="520712"/>
                </a:lnTo>
                <a:lnTo>
                  <a:pt x="401370" y="524865"/>
                </a:lnTo>
                <a:lnTo>
                  <a:pt x="401370" y="527316"/>
                </a:lnTo>
                <a:lnTo>
                  <a:pt x="404876" y="523798"/>
                </a:lnTo>
                <a:lnTo>
                  <a:pt x="452208" y="523798"/>
                </a:lnTo>
                <a:lnTo>
                  <a:pt x="455714" y="527316"/>
                </a:lnTo>
                <a:lnTo>
                  <a:pt x="455714" y="524865"/>
                </a:lnTo>
                <a:lnTo>
                  <a:pt x="456717" y="523798"/>
                </a:lnTo>
                <a:lnTo>
                  <a:pt x="459625" y="520712"/>
                </a:lnTo>
                <a:lnTo>
                  <a:pt x="479806" y="519658"/>
                </a:lnTo>
                <a:lnTo>
                  <a:pt x="485749" y="513384"/>
                </a:lnTo>
                <a:lnTo>
                  <a:pt x="485749" y="13906"/>
                </a:lnTo>
                <a:close/>
              </a:path>
              <a:path w="1044575" h="527685">
                <a:moveTo>
                  <a:pt x="670966" y="13906"/>
                </a:moveTo>
                <a:lnTo>
                  <a:pt x="665022" y="7632"/>
                </a:lnTo>
                <a:lnTo>
                  <a:pt x="644842" y="6578"/>
                </a:lnTo>
                <a:lnTo>
                  <a:pt x="641946" y="3517"/>
                </a:lnTo>
                <a:lnTo>
                  <a:pt x="640943" y="2451"/>
                </a:lnTo>
                <a:lnTo>
                  <a:pt x="640943" y="0"/>
                </a:lnTo>
                <a:lnTo>
                  <a:pt x="637400" y="3517"/>
                </a:lnTo>
                <a:lnTo>
                  <a:pt x="590092" y="3517"/>
                </a:lnTo>
                <a:lnTo>
                  <a:pt x="586587" y="0"/>
                </a:lnTo>
                <a:lnTo>
                  <a:pt x="586587" y="2451"/>
                </a:lnTo>
                <a:lnTo>
                  <a:pt x="582625" y="6578"/>
                </a:lnTo>
                <a:lnTo>
                  <a:pt x="562495" y="7632"/>
                </a:lnTo>
                <a:lnTo>
                  <a:pt x="556539" y="13906"/>
                </a:lnTo>
                <a:lnTo>
                  <a:pt x="556539" y="513384"/>
                </a:lnTo>
                <a:lnTo>
                  <a:pt x="562495" y="519658"/>
                </a:lnTo>
                <a:lnTo>
                  <a:pt x="582625" y="520712"/>
                </a:lnTo>
                <a:lnTo>
                  <a:pt x="586587" y="524865"/>
                </a:lnTo>
                <a:lnTo>
                  <a:pt x="586587" y="527316"/>
                </a:lnTo>
                <a:lnTo>
                  <a:pt x="590092" y="523798"/>
                </a:lnTo>
                <a:lnTo>
                  <a:pt x="637400" y="523798"/>
                </a:lnTo>
                <a:lnTo>
                  <a:pt x="640943" y="527316"/>
                </a:lnTo>
                <a:lnTo>
                  <a:pt x="640943" y="524865"/>
                </a:lnTo>
                <a:lnTo>
                  <a:pt x="641934" y="523798"/>
                </a:lnTo>
                <a:lnTo>
                  <a:pt x="644842" y="520712"/>
                </a:lnTo>
                <a:lnTo>
                  <a:pt x="665022" y="519658"/>
                </a:lnTo>
                <a:lnTo>
                  <a:pt x="670966" y="513384"/>
                </a:lnTo>
                <a:lnTo>
                  <a:pt x="670966" y="13906"/>
                </a:lnTo>
                <a:close/>
              </a:path>
              <a:path w="1044575" h="527685">
                <a:moveTo>
                  <a:pt x="857046" y="13906"/>
                </a:moveTo>
                <a:lnTo>
                  <a:pt x="851103" y="7632"/>
                </a:lnTo>
                <a:lnTo>
                  <a:pt x="830922" y="6578"/>
                </a:lnTo>
                <a:lnTo>
                  <a:pt x="828014" y="3517"/>
                </a:lnTo>
                <a:lnTo>
                  <a:pt x="826998" y="2451"/>
                </a:lnTo>
                <a:lnTo>
                  <a:pt x="826998" y="0"/>
                </a:lnTo>
                <a:lnTo>
                  <a:pt x="823506" y="3517"/>
                </a:lnTo>
                <a:lnTo>
                  <a:pt x="776173" y="3517"/>
                </a:lnTo>
                <a:lnTo>
                  <a:pt x="772668" y="0"/>
                </a:lnTo>
                <a:lnTo>
                  <a:pt x="772668" y="2451"/>
                </a:lnTo>
                <a:lnTo>
                  <a:pt x="768705" y="6578"/>
                </a:lnTo>
                <a:lnTo>
                  <a:pt x="748576" y="7632"/>
                </a:lnTo>
                <a:lnTo>
                  <a:pt x="742619" y="13906"/>
                </a:lnTo>
                <a:lnTo>
                  <a:pt x="742619" y="513384"/>
                </a:lnTo>
                <a:lnTo>
                  <a:pt x="748576" y="519658"/>
                </a:lnTo>
                <a:lnTo>
                  <a:pt x="768705" y="520712"/>
                </a:lnTo>
                <a:lnTo>
                  <a:pt x="772668" y="524865"/>
                </a:lnTo>
                <a:lnTo>
                  <a:pt x="772668" y="527316"/>
                </a:lnTo>
                <a:lnTo>
                  <a:pt x="776173" y="523798"/>
                </a:lnTo>
                <a:lnTo>
                  <a:pt x="823506" y="523798"/>
                </a:lnTo>
                <a:lnTo>
                  <a:pt x="826998" y="527316"/>
                </a:lnTo>
                <a:lnTo>
                  <a:pt x="826998" y="524865"/>
                </a:lnTo>
                <a:lnTo>
                  <a:pt x="828001" y="523798"/>
                </a:lnTo>
                <a:lnTo>
                  <a:pt x="830922" y="520712"/>
                </a:lnTo>
                <a:lnTo>
                  <a:pt x="851103" y="519658"/>
                </a:lnTo>
                <a:lnTo>
                  <a:pt x="857046" y="513384"/>
                </a:lnTo>
                <a:lnTo>
                  <a:pt x="857046" y="13906"/>
                </a:lnTo>
                <a:close/>
              </a:path>
              <a:path w="1044575" h="527685">
                <a:moveTo>
                  <a:pt x="1044232" y="13906"/>
                </a:moveTo>
                <a:lnTo>
                  <a:pt x="1038288" y="7632"/>
                </a:lnTo>
                <a:lnTo>
                  <a:pt x="1018108" y="6578"/>
                </a:lnTo>
                <a:lnTo>
                  <a:pt x="1015187" y="3517"/>
                </a:lnTo>
                <a:lnTo>
                  <a:pt x="1014183" y="2451"/>
                </a:lnTo>
                <a:lnTo>
                  <a:pt x="1014183" y="0"/>
                </a:lnTo>
                <a:lnTo>
                  <a:pt x="1010691" y="3517"/>
                </a:lnTo>
                <a:lnTo>
                  <a:pt x="963358" y="3517"/>
                </a:lnTo>
                <a:lnTo>
                  <a:pt x="959853" y="0"/>
                </a:lnTo>
                <a:lnTo>
                  <a:pt x="959853" y="2451"/>
                </a:lnTo>
                <a:lnTo>
                  <a:pt x="955890" y="6578"/>
                </a:lnTo>
                <a:lnTo>
                  <a:pt x="935761" y="7632"/>
                </a:lnTo>
                <a:lnTo>
                  <a:pt x="929805" y="13906"/>
                </a:lnTo>
                <a:lnTo>
                  <a:pt x="929805" y="513384"/>
                </a:lnTo>
                <a:lnTo>
                  <a:pt x="935761" y="519658"/>
                </a:lnTo>
                <a:lnTo>
                  <a:pt x="955890" y="520712"/>
                </a:lnTo>
                <a:lnTo>
                  <a:pt x="959853" y="524865"/>
                </a:lnTo>
                <a:lnTo>
                  <a:pt x="959853" y="527316"/>
                </a:lnTo>
                <a:lnTo>
                  <a:pt x="963358" y="523798"/>
                </a:lnTo>
                <a:lnTo>
                  <a:pt x="1010691" y="523798"/>
                </a:lnTo>
                <a:lnTo>
                  <a:pt x="1014183" y="527316"/>
                </a:lnTo>
                <a:lnTo>
                  <a:pt x="1014183" y="524865"/>
                </a:lnTo>
                <a:lnTo>
                  <a:pt x="1015187" y="523798"/>
                </a:lnTo>
                <a:lnTo>
                  <a:pt x="1018108" y="520712"/>
                </a:lnTo>
                <a:lnTo>
                  <a:pt x="1038288" y="519658"/>
                </a:lnTo>
                <a:lnTo>
                  <a:pt x="1044232" y="513384"/>
                </a:lnTo>
                <a:lnTo>
                  <a:pt x="1044232" y="13906"/>
                </a:lnTo>
                <a:close/>
              </a:path>
            </a:pathLst>
          </a:custGeom>
          <a:solidFill>
            <a:srgbClr val="FFFFFF"/>
          </a:solidFill>
        </xdr:spPr>
      </xdr:sp>
      <xdr:sp macro="" textlink="">
        <xdr:nvSpPr>
          <xdr:cNvPr id="176" name="Shape 675">
            <a:extLst>
              <a:ext uri="{FF2B5EF4-FFF2-40B4-BE49-F238E27FC236}">
                <a16:creationId xmlns:a16="http://schemas.microsoft.com/office/drawing/2014/main" id="{DA094BB5-6633-804C-78D1-9DE7C5F6141D}"/>
              </a:ext>
            </a:extLst>
          </xdr:cNvPr>
          <xdr:cNvSpPr/>
        </xdr:nvSpPr>
        <xdr:spPr>
          <a:xfrm>
            <a:off x="492737" y="505959"/>
            <a:ext cx="404495" cy="832485"/>
          </a:xfrm>
          <a:custGeom>
            <a:avLst/>
            <a:gdLst/>
            <a:ahLst/>
            <a:cxnLst/>
            <a:rect l="0" t="0" r="0" b="0"/>
            <a:pathLst>
              <a:path w="404495" h="832485">
                <a:moveTo>
                  <a:pt x="0" y="698652"/>
                </a:moveTo>
                <a:lnTo>
                  <a:pt x="0" y="808774"/>
                </a:lnTo>
              </a:path>
              <a:path w="404495" h="832485">
                <a:moveTo>
                  <a:pt x="365391" y="675055"/>
                </a:moveTo>
                <a:lnTo>
                  <a:pt x="404012" y="675055"/>
                </a:lnTo>
              </a:path>
              <a:path w="404495" h="832485">
                <a:moveTo>
                  <a:pt x="365391" y="832370"/>
                </a:moveTo>
                <a:lnTo>
                  <a:pt x="404012" y="832370"/>
                </a:lnTo>
              </a:path>
              <a:path w="404495" h="832485">
                <a:moveTo>
                  <a:pt x="365391" y="0"/>
                </a:moveTo>
                <a:lnTo>
                  <a:pt x="404012" y="0"/>
                </a:lnTo>
              </a:path>
              <a:path w="404495" h="832485">
                <a:moveTo>
                  <a:pt x="365391" y="157314"/>
                </a:moveTo>
                <a:lnTo>
                  <a:pt x="404012" y="157314"/>
                </a:lnTo>
              </a:path>
              <a:path w="404495" h="832485">
                <a:moveTo>
                  <a:pt x="256006" y="812977"/>
                </a:moveTo>
                <a:lnTo>
                  <a:pt x="256006" y="20015"/>
                </a:lnTo>
              </a:path>
              <a:path w="404495" h="832485">
                <a:moveTo>
                  <a:pt x="327520" y="812355"/>
                </a:moveTo>
                <a:lnTo>
                  <a:pt x="327520" y="20015"/>
                </a:lnTo>
              </a:path>
              <a:path w="404495" h="832485">
                <a:moveTo>
                  <a:pt x="141592" y="812977"/>
                </a:moveTo>
                <a:lnTo>
                  <a:pt x="141592" y="20015"/>
                </a:lnTo>
              </a:path>
              <a:path w="404495" h="832485">
                <a:moveTo>
                  <a:pt x="70065" y="812355"/>
                </a:moveTo>
                <a:lnTo>
                  <a:pt x="70065" y="20015"/>
                </a:lnTo>
              </a:path>
            </a:pathLst>
          </a:custGeom>
          <a:ln w="10185">
            <a:solidFill>
              <a:srgbClr val="000000"/>
            </a:solidFill>
          </a:ln>
        </xdr:spPr>
      </xdr:sp>
      <xdr:pic>
        <xdr:nvPicPr>
          <xdr:cNvPr id="177" name="image72.png">
            <a:extLst>
              <a:ext uri="{FF2B5EF4-FFF2-40B4-BE49-F238E27FC236}">
                <a16:creationId xmlns:a16="http://schemas.microsoft.com/office/drawing/2014/main" id="{884DE3F3-104D-3E7E-1D80-BA73929FA715}"/>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487644" y="1157913"/>
            <a:ext cx="375577" cy="201244"/>
          </a:xfrm>
          <a:prstGeom prst="rect">
            <a:avLst/>
          </a:prstGeom>
        </xdr:spPr>
      </xdr:pic>
      <xdr:pic>
        <xdr:nvPicPr>
          <xdr:cNvPr id="178" name="image73.png">
            <a:extLst>
              <a:ext uri="{FF2B5EF4-FFF2-40B4-BE49-F238E27FC236}">
                <a16:creationId xmlns:a16="http://schemas.microsoft.com/office/drawing/2014/main" id="{5CEB3EC0-54F0-4367-3AAC-86429FBC379F}"/>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487644" y="485118"/>
            <a:ext cx="375577" cy="201244"/>
          </a:xfrm>
          <a:prstGeom prst="rect">
            <a:avLst/>
          </a:prstGeom>
        </xdr:spPr>
      </xdr:pic>
      <xdr:sp macro="" textlink="">
        <xdr:nvSpPr>
          <xdr:cNvPr id="179" name="Shape 678">
            <a:extLst>
              <a:ext uri="{FF2B5EF4-FFF2-40B4-BE49-F238E27FC236}">
                <a16:creationId xmlns:a16="http://schemas.microsoft.com/office/drawing/2014/main" id="{73A1340E-844E-A5A1-FA30-AB0A9719C82F}"/>
              </a:ext>
            </a:extLst>
          </xdr:cNvPr>
          <xdr:cNvSpPr/>
        </xdr:nvSpPr>
        <xdr:spPr>
          <a:xfrm>
            <a:off x="934671" y="525974"/>
            <a:ext cx="629285" cy="828675"/>
          </a:xfrm>
          <a:custGeom>
            <a:avLst/>
            <a:gdLst/>
            <a:ahLst/>
            <a:cxnLst/>
            <a:rect l="0" t="0" r="0" b="0"/>
            <a:pathLst>
              <a:path w="629285" h="828675">
                <a:moveTo>
                  <a:pt x="557758" y="792962"/>
                </a:moveTo>
                <a:lnTo>
                  <a:pt x="557758" y="0"/>
                </a:lnTo>
              </a:path>
              <a:path w="629285" h="828675">
                <a:moveTo>
                  <a:pt x="629284" y="792340"/>
                </a:moveTo>
                <a:lnTo>
                  <a:pt x="629284" y="0"/>
                </a:lnTo>
              </a:path>
              <a:path w="629285" h="828675">
                <a:moveTo>
                  <a:pt x="371830" y="792962"/>
                </a:moveTo>
                <a:lnTo>
                  <a:pt x="371830" y="0"/>
                </a:lnTo>
              </a:path>
              <a:path w="629285" h="828675">
                <a:moveTo>
                  <a:pt x="443356" y="792340"/>
                </a:moveTo>
                <a:lnTo>
                  <a:pt x="443356" y="0"/>
                </a:lnTo>
              </a:path>
              <a:path w="629285" h="828675">
                <a:moveTo>
                  <a:pt x="185927" y="792962"/>
                </a:moveTo>
                <a:lnTo>
                  <a:pt x="185927" y="0"/>
                </a:lnTo>
              </a:path>
              <a:path w="629285" h="828675">
                <a:moveTo>
                  <a:pt x="257416" y="792340"/>
                </a:moveTo>
                <a:lnTo>
                  <a:pt x="257416" y="0"/>
                </a:lnTo>
              </a:path>
              <a:path w="629285" h="828675">
                <a:moveTo>
                  <a:pt x="0" y="792962"/>
                </a:moveTo>
                <a:lnTo>
                  <a:pt x="0" y="0"/>
                </a:lnTo>
              </a:path>
              <a:path w="629285" h="828675">
                <a:moveTo>
                  <a:pt x="71488" y="792340"/>
                </a:moveTo>
                <a:lnTo>
                  <a:pt x="71488" y="0"/>
                </a:lnTo>
              </a:path>
              <a:path w="629285" h="828675">
                <a:moveTo>
                  <a:pt x="371830" y="792340"/>
                </a:moveTo>
                <a:lnTo>
                  <a:pt x="374644" y="806252"/>
                </a:lnTo>
                <a:lnTo>
                  <a:pt x="382314" y="817616"/>
                </a:lnTo>
                <a:lnTo>
                  <a:pt x="393679" y="825280"/>
                </a:lnTo>
                <a:lnTo>
                  <a:pt x="407581" y="828090"/>
                </a:lnTo>
              </a:path>
              <a:path w="629285" h="828675">
                <a:moveTo>
                  <a:pt x="341833" y="661136"/>
                </a:moveTo>
                <a:lnTo>
                  <a:pt x="341833" y="806246"/>
                </a:lnTo>
              </a:path>
              <a:path w="629285" h="828675">
                <a:moveTo>
                  <a:pt x="341833" y="661136"/>
                </a:moveTo>
                <a:lnTo>
                  <a:pt x="341833" y="806246"/>
                </a:lnTo>
              </a:path>
              <a:path w="629285" h="828675">
                <a:moveTo>
                  <a:pt x="341833" y="662901"/>
                </a:moveTo>
                <a:lnTo>
                  <a:pt x="341833" y="804481"/>
                </a:lnTo>
              </a:path>
              <a:path w="629285" h="828675">
                <a:moveTo>
                  <a:pt x="341833" y="806246"/>
                </a:moveTo>
                <a:lnTo>
                  <a:pt x="341833" y="661136"/>
                </a:lnTo>
              </a:path>
            </a:pathLst>
          </a:custGeom>
          <a:ln w="10185">
            <a:solidFill>
              <a:srgbClr val="000000"/>
            </a:solidFill>
          </a:ln>
        </xdr:spPr>
      </xdr:sp>
      <xdr:sp macro="" textlink="">
        <xdr:nvSpPr>
          <xdr:cNvPr id="180" name="Shape 679">
            <a:extLst>
              <a:ext uri="{FF2B5EF4-FFF2-40B4-BE49-F238E27FC236}">
                <a16:creationId xmlns:a16="http://schemas.microsoft.com/office/drawing/2014/main" id="{2C131524-EC98-D446-FE6F-DD4FDCE44AA4}"/>
              </a:ext>
            </a:extLst>
          </xdr:cNvPr>
          <xdr:cNvSpPr/>
        </xdr:nvSpPr>
        <xdr:spPr>
          <a:xfrm>
            <a:off x="896752" y="490217"/>
            <a:ext cx="751840" cy="864235"/>
          </a:xfrm>
          <a:custGeom>
            <a:avLst/>
            <a:gdLst/>
            <a:ahLst/>
            <a:cxnLst/>
            <a:rect l="0" t="0" r="0" b="0"/>
            <a:pathLst>
              <a:path w="751840" h="864235">
                <a:moveTo>
                  <a:pt x="325374" y="696887"/>
                </a:moveTo>
                <a:lnTo>
                  <a:pt x="325374" y="842010"/>
                </a:lnTo>
              </a:path>
              <a:path w="751840" h="864235">
                <a:moveTo>
                  <a:pt x="325374" y="842010"/>
                </a:moveTo>
                <a:lnTo>
                  <a:pt x="325374" y="696887"/>
                </a:lnTo>
              </a:path>
              <a:path w="751840" h="864235">
                <a:moveTo>
                  <a:pt x="325374" y="696887"/>
                </a:moveTo>
                <a:lnTo>
                  <a:pt x="325374" y="842010"/>
                </a:lnTo>
              </a:path>
              <a:path w="751840" h="864235">
                <a:moveTo>
                  <a:pt x="193802" y="696887"/>
                </a:moveTo>
                <a:lnTo>
                  <a:pt x="193802" y="842010"/>
                </a:lnTo>
              </a:path>
              <a:path w="751840" h="864235">
                <a:moveTo>
                  <a:pt x="193802" y="696887"/>
                </a:moveTo>
                <a:lnTo>
                  <a:pt x="193802" y="842010"/>
                </a:lnTo>
              </a:path>
              <a:path w="751840" h="864235">
                <a:moveTo>
                  <a:pt x="193802" y="698652"/>
                </a:moveTo>
                <a:lnTo>
                  <a:pt x="193802" y="840232"/>
                </a:lnTo>
              </a:path>
              <a:path w="751840" h="864235">
                <a:moveTo>
                  <a:pt x="193802" y="842010"/>
                </a:moveTo>
                <a:lnTo>
                  <a:pt x="193802" y="696887"/>
                </a:lnTo>
              </a:path>
              <a:path w="751840" h="864235">
                <a:moveTo>
                  <a:pt x="139471" y="696887"/>
                </a:moveTo>
                <a:lnTo>
                  <a:pt x="139471" y="842010"/>
                </a:lnTo>
              </a:path>
              <a:path w="751840" h="864235">
                <a:moveTo>
                  <a:pt x="139471" y="842010"/>
                </a:moveTo>
                <a:lnTo>
                  <a:pt x="139471" y="696887"/>
                </a:lnTo>
              </a:path>
              <a:path w="751840" h="864235">
                <a:moveTo>
                  <a:pt x="139471" y="696887"/>
                </a:moveTo>
                <a:lnTo>
                  <a:pt x="139471" y="842010"/>
                </a:lnTo>
              </a:path>
              <a:path w="751840" h="864235">
                <a:moveTo>
                  <a:pt x="7874" y="696887"/>
                </a:moveTo>
                <a:lnTo>
                  <a:pt x="7874" y="842010"/>
                </a:lnTo>
              </a:path>
              <a:path w="751840" h="864235">
                <a:moveTo>
                  <a:pt x="7874" y="696887"/>
                </a:moveTo>
                <a:lnTo>
                  <a:pt x="7874" y="842010"/>
                </a:lnTo>
              </a:path>
              <a:path w="751840" h="864235">
                <a:moveTo>
                  <a:pt x="7874" y="698652"/>
                </a:moveTo>
                <a:lnTo>
                  <a:pt x="7874" y="840232"/>
                </a:lnTo>
              </a:path>
              <a:path w="751840" h="864235">
                <a:moveTo>
                  <a:pt x="7874" y="842010"/>
                </a:moveTo>
                <a:lnTo>
                  <a:pt x="7874" y="696887"/>
                </a:lnTo>
              </a:path>
              <a:path w="751840" h="864235">
                <a:moveTo>
                  <a:pt x="202755" y="851433"/>
                </a:moveTo>
                <a:lnTo>
                  <a:pt x="228955" y="852805"/>
                </a:lnTo>
              </a:path>
              <a:path w="751840" h="864235">
                <a:moveTo>
                  <a:pt x="73672" y="863854"/>
                </a:moveTo>
                <a:lnTo>
                  <a:pt x="87593" y="861043"/>
                </a:lnTo>
                <a:lnTo>
                  <a:pt x="98952" y="853379"/>
                </a:lnTo>
                <a:lnTo>
                  <a:pt x="106605" y="842015"/>
                </a:lnTo>
                <a:lnTo>
                  <a:pt x="109410" y="828103"/>
                </a:lnTo>
              </a:path>
              <a:path w="751840" h="864235">
                <a:moveTo>
                  <a:pt x="7874" y="842010"/>
                </a:moveTo>
                <a:lnTo>
                  <a:pt x="7874" y="847039"/>
                </a:lnTo>
                <a:lnTo>
                  <a:pt x="11798" y="851179"/>
                </a:lnTo>
                <a:lnTo>
                  <a:pt x="16814" y="851433"/>
                </a:lnTo>
              </a:path>
              <a:path w="751840" h="864235">
                <a:moveTo>
                  <a:pt x="37922" y="828103"/>
                </a:moveTo>
                <a:lnTo>
                  <a:pt x="40729" y="842015"/>
                </a:lnTo>
                <a:lnTo>
                  <a:pt x="48387" y="853379"/>
                </a:lnTo>
                <a:lnTo>
                  <a:pt x="59749" y="861043"/>
                </a:lnTo>
                <a:lnTo>
                  <a:pt x="73672" y="863854"/>
                </a:lnTo>
              </a:path>
              <a:path w="751840" h="864235">
                <a:moveTo>
                  <a:pt x="0" y="848118"/>
                </a:moveTo>
                <a:lnTo>
                  <a:pt x="4381" y="848118"/>
                </a:lnTo>
                <a:lnTo>
                  <a:pt x="7874" y="844588"/>
                </a:lnTo>
                <a:lnTo>
                  <a:pt x="7874" y="840232"/>
                </a:lnTo>
              </a:path>
              <a:path w="751840" h="864235">
                <a:moveTo>
                  <a:pt x="16814" y="851433"/>
                </a:moveTo>
                <a:lnTo>
                  <a:pt x="43027" y="852805"/>
                </a:lnTo>
              </a:path>
              <a:path w="751840" h="864235">
                <a:moveTo>
                  <a:pt x="51269" y="855954"/>
                </a:moveTo>
                <a:lnTo>
                  <a:pt x="48907" y="854062"/>
                </a:lnTo>
                <a:lnTo>
                  <a:pt x="46062" y="852970"/>
                </a:lnTo>
                <a:lnTo>
                  <a:pt x="43027" y="852805"/>
                </a:lnTo>
              </a:path>
              <a:path w="751840" h="864235">
                <a:moveTo>
                  <a:pt x="193802" y="842010"/>
                </a:moveTo>
                <a:lnTo>
                  <a:pt x="193802" y="847039"/>
                </a:lnTo>
                <a:lnTo>
                  <a:pt x="197726" y="851179"/>
                </a:lnTo>
                <a:lnTo>
                  <a:pt x="202755" y="851433"/>
                </a:lnTo>
              </a:path>
              <a:path w="751840" h="864235">
                <a:moveTo>
                  <a:pt x="185928" y="848118"/>
                </a:moveTo>
                <a:lnTo>
                  <a:pt x="190296" y="848118"/>
                </a:lnTo>
                <a:lnTo>
                  <a:pt x="193802" y="844588"/>
                </a:lnTo>
                <a:lnTo>
                  <a:pt x="193802" y="840232"/>
                </a:lnTo>
              </a:path>
              <a:path w="751840" h="864235">
                <a:moveTo>
                  <a:pt x="139471" y="840232"/>
                </a:moveTo>
                <a:lnTo>
                  <a:pt x="139471" y="844588"/>
                </a:lnTo>
                <a:lnTo>
                  <a:pt x="142963" y="848118"/>
                </a:lnTo>
                <a:lnTo>
                  <a:pt x="147332" y="848118"/>
                </a:lnTo>
              </a:path>
              <a:path w="751840" h="864235">
                <a:moveTo>
                  <a:pt x="130492" y="851433"/>
                </a:moveTo>
                <a:lnTo>
                  <a:pt x="135534" y="851179"/>
                </a:lnTo>
                <a:lnTo>
                  <a:pt x="139471" y="847039"/>
                </a:lnTo>
                <a:lnTo>
                  <a:pt x="139471" y="842010"/>
                </a:lnTo>
              </a:path>
              <a:path w="751840" h="864235">
                <a:moveTo>
                  <a:pt x="147332" y="848118"/>
                </a:moveTo>
                <a:lnTo>
                  <a:pt x="185928" y="848118"/>
                </a:lnTo>
              </a:path>
              <a:path w="751840" h="864235">
                <a:moveTo>
                  <a:pt x="104292" y="852805"/>
                </a:moveTo>
                <a:lnTo>
                  <a:pt x="101282" y="852970"/>
                </a:lnTo>
                <a:lnTo>
                  <a:pt x="98399" y="854062"/>
                </a:lnTo>
                <a:lnTo>
                  <a:pt x="96075" y="855954"/>
                </a:lnTo>
              </a:path>
              <a:path w="751840" h="864235">
                <a:moveTo>
                  <a:pt x="130492" y="851433"/>
                </a:moveTo>
                <a:lnTo>
                  <a:pt x="104292" y="852805"/>
                </a:lnTo>
              </a:path>
              <a:path w="751840" h="864235">
                <a:moveTo>
                  <a:pt x="325374" y="840232"/>
                </a:moveTo>
                <a:lnTo>
                  <a:pt x="325374" y="844588"/>
                </a:lnTo>
                <a:lnTo>
                  <a:pt x="328917" y="848118"/>
                </a:lnTo>
                <a:lnTo>
                  <a:pt x="333248" y="848118"/>
                </a:lnTo>
              </a:path>
              <a:path w="751840" h="864235">
                <a:moveTo>
                  <a:pt x="316445" y="851433"/>
                </a:moveTo>
                <a:lnTo>
                  <a:pt x="321449" y="851179"/>
                </a:lnTo>
                <a:lnTo>
                  <a:pt x="325374" y="847039"/>
                </a:lnTo>
                <a:lnTo>
                  <a:pt x="325374" y="842010"/>
                </a:lnTo>
              </a:path>
              <a:path w="751840" h="864235">
                <a:moveTo>
                  <a:pt x="259575" y="863854"/>
                </a:moveTo>
                <a:lnTo>
                  <a:pt x="273503" y="861043"/>
                </a:lnTo>
                <a:lnTo>
                  <a:pt x="284865" y="853379"/>
                </a:lnTo>
                <a:lnTo>
                  <a:pt x="292520" y="842015"/>
                </a:lnTo>
                <a:lnTo>
                  <a:pt x="295325" y="828103"/>
                </a:lnTo>
              </a:path>
              <a:path w="751840" h="864235">
                <a:moveTo>
                  <a:pt x="223850" y="828103"/>
                </a:moveTo>
                <a:lnTo>
                  <a:pt x="226660" y="842015"/>
                </a:lnTo>
                <a:lnTo>
                  <a:pt x="234321" y="853379"/>
                </a:lnTo>
                <a:lnTo>
                  <a:pt x="245677" y="861043"/>
                </a:lnTo>
                <a:lnTo>
                  <a:pt x="259575" y="863854"/>
                </a:lnTo>
              </a:path>
              <a:path w="751840" h="864235">
                <a:moveTo>
                  <a:pt x="237172" y="855954"/>
                </a:moveTo>
                <a:lnTo>
                  <a:pt x="234848" y="854062"/>
                </a:lnTo>
                <a:lnTo>
                  <a:pt x="231978" y="852970"/>
                </a:lnTo>
                <a:lnTo>
                  <a:pt x="228955" y="852805"/>
                </a:lnTo>
              </a:path>
              <a:path w="751840" h="864235">
                <a:moveTo>
                  <a:pt x="290220" y="852805"/>
                </a:moveTo>
                <a:lnTo>
                  <a:pt x="287235" y="852970"/>
                </a:lnTo>
                <a:lnTo>
                  <a:pt x="284353" y="854062"/>
                </a:lnTo>
                <a:lnTo>
                  <a:pt x="281978" y="855954"/>
                </a:lnTo>
              </a:path>
              <a:path w="751840" h="864235">
                <a:moveTo>
                  <a:pt x="316445" y="851433"/>
                </a:moveTo>
                <a:lnTo>
                  <a:pt x="290220" y="852805"/>
                </a:lnTo>
              </a:path>
              <a:path w="751840" h="864235">
                <a:moveTo>
                  <a:pt x="379755" y="842010"/>
                </a:moveTo>
                <a:lnTo>
                  <a:pt x="379755" y="847039"/>
                </a:lnTo>
                <a:lnTo>
                  <a:pt x="383667" y="851179"/>
                </a:lnTo>
                <a:lnTo>
                  <a:pt x="388683" y="851433"/>
                </a:lnTo>
              </a:path>
              <a:path w="751840" h="864235">
                <a:moveTo>
                  <a:pt x="371868" y="848118"/>
                </a:moveTo>
                <a:lnTo>
                  <a:pt x="376212" y="848118"/>
                </a:lnTo>
                <a:lnTo>
                  <a:pt x="379755" y="844588"/>
                </a:lnTo>
                <a:lnTo>
                  <a:pt x="379755" y="840232"/>
                </a:lnTo>
              </a:path>
              <a:path w="751840" h="864235">
                <a:moveTo>
                  <a:pt x="333248" y="848118"/>
                </a:moveTo>
                <a:lnTo>
                  <a:pt x="371868" y="848118"/>
                </a:lnTo>
              </a:path>
              <a:path w="751840" h="864235">
                <a:moveTo>
                  <a:pt x="388683" y="851433"/>
                </a:moveTo>
                <a:lnTo>
                  <a:pt x="414909" y="852805"/>
                </a:lnTo>
              </a:path>
              <a:path w="751840" h="864235">
                <a:moveTo>
                  <a:pt x="423100" y="855954"/>
                </a:moveTo>
                <a:lnTo>
                  <a:pt x="420776" y="854062"/>
                </a:lnTo>
                <a:lnTo>
                  <a:pt x="417893" y="852970"/>
                </a:lnTo>
                <a:lnTo>
                  <a:pt x="414909" y="852805"/>
                </a:lnTo>
              </a:path>
              <a:path w="751840" h="864235">
                <a:moveTo>
                  <a:pt x="210273" y="687057"/>
                </a:moveTo>
                <a:lnTo>
                  <a:pt x="202755" y="687451"/>
                </a:lnTo>
              </a:path>
              <a:path w="751840" h="864235">
                <a:moveTo>
                  <a:pt x="24345" y="687057"/>
                </a:moveTo>
                <a:lnTo>
                  <a:pt x="31978" y="686663"/>
                </a:lnTo>
                <a:lnTo>
                  <a:pt x="37922" y="680389"/>
                </a:lnTo>
                <a:lnTo>
                  <a:pt x="37922" y="672795"/>
                </a:lnTo>
              </a:path>
              <a:path w="751840" h="864235">
                <a:moveTo>
                  <a:pt x="24345" y="687057"/>
                </a:moveTo>
                <a:lnTo>
                  <a:pt x="16814" y="687451"/>
                </a:lnTo>
              </a:path>
              <a:path w="751840" h="864235">
                <a:moveTo>
                  <a:pt x="16814" y="687451"/>
                </a:moveTo>
                <a:lnTo>
                  <a:pt x="11798" y="687717"/>
                </a:lnTo>
                <a:lnTo>
                  <a:pt x="7874" y="691870"/>
                </a:lnTo>
                <a:lnTo>
                  <a:pt x="7874" y="696887"/>
                </a:lnTo>
              </a:path>
              <a:path w="751840" h="864235">
                <a:moveTo>
                  <a:pt x="7874" y="698652"/>
                </a:moveTo>
                <a:lnTo>
                  <a:pt x="7874" y="694321"/>
                </a:lnTo>
                <a:lnTo>
                  <a:pt x="4381" y="690803"/>
                </a:lnTo>
                <a:lnTo>
                  <a:pt x="0" y="690803"/>
                </a:lnTo>
              </a:path>
              <a:path w="751840" h="864235">
                <a:moveTo>
                  <a:pt x="147332" y="690803"/>
                </a:moveTo>
                <a:lnTo>
                  <a:pt x="185928" y="690803"/>
                </a:lnTo>
              </a:path>
              <a:path w="751840" h="864235">
                <a:moveTo>
                  <a:pt x="147332" y="690803"/>
                </a:moveTo>
                <a:lnTo>
                  <a:pt x="142963" y="690803"/>
                </a:lnTo>
                <a:lnTo>
                  <a:pt x="139471" y="694321"/>
                </a:lnTo>
                <a:lnTo>
                  <a:pt x="139471" y="698652"/>
                </a:lnTo>
              </a:path>
              <a:path w="751840" h="864235">
                <a:moveTo>
                  <a:pt x="139471" y="696887"/>
                </a:moveTo>
                <a:lnTo>
                  <a:pt x="139471" y="691870"/>
                </a:lnTo>
                <a:lnTo>
                  <a:pt x="135534" y="687717"/>
                </a:lnTo>
                <a:lnTo>
                  <a:pt x="130492" y="687451"/>
                </a:lnTo>
              </a:path>
              <a:path w="751840" h="864235">
                <a:moveTo>
                  <a:pt x="109410" y="672795"/>
                </a:moveTo>
                <a:lnTo>
                  <a:pt x="109410" y="680389"/>
                </a:lnTo>
                <a:lnTo>
                  <a:pt x="115379" y="686663"/>
                </a:lnTo>
                <a:lnTo>
                  <a:pt x="122999" y="687057"/>
                </a:lnTo>
              </a:path>
              <a:path w="751840" h="864235">
                <a:moveTo>
                  <a:pt x="122999" y="687057"/>
                </a:moveTo>
                <a:lnTo>
                  <a:pt x="130492" y="687451"/>
                </a:lnTo>
              </a:path>
              <a:path w="751840" h="864235">
                <a:moveTo>
                  <a:pt x="202755" y="687451"/>
                </a:moveTo>
                <a:lnTo>
                  <a:pt x="197726" y="687717"/>
                </a:lnTo>
                <a:lnTo>
                  <a:pt x="193802" y="691870"/>
                </a:lnTo>
                <a:lnTo>
                  <a:pt x="193802" y="696887"/>
                </a:lnTo>
              </a:path>
              <a:path w="751840" h="864235">
                <a:moveTo>
                  <a:pt x="193802" y="698652"/>
                </a:moveTo>
                <a:lnTo>
                  <a:pt x="193802" y="694321"/>
                </a:lnTo>
                <a:lnTo>
                  <a:pt x="190296" y="690803"/>
                </a:lnTo>
                <a:lnTo>
                  <a:pt x="185928" y="690803"/>
                </a:lnTo>
              </a:path>
              <a:path w="751840" h="864235">
                <a:moveTo>
                  <a:pt x="333248" y="690803"/>
                </a:moveTo>
                <a:lnTo>
                  <a:pt x="328917" y="690803"/>
                </a:lnTo>
                <a:lnTo>
                  <a:pt x="325374" y="694321"/>
                </a:lnTo>
                <a:lnTo>
                  <a:pt x="325374" y="698652"/>
                </a:lnTo>
              </a:path>
              <a:path w="751840" h="864235">
                <a:moveTo>
                  <a:pt x="325374" y="696887"/>
                </a:moveTo>
                <a:lnTo>
                  <a:pt x="325374" y="691870"/>
                </a:lnTo>
                <a:lnTo>
                  <a:pt x="321449" y="687717"/>
                </a:lnTo>
                <a:lnTo>
                  <a:pt x="316445" y="687451"/>
                </a:lnTo>
              </a:path>
              <a:path w="751840" h="864235">
                <a:moveTo>
                  <a:pt x="210273" y="687057"/>
                </a:moveTo>
                <a:lnTo>
                  <a:pt x="217893" y="686663"/>
                </a:lnTo>
                <a:lnTo>
                  <a:pt x="223850" y="680389"/>
                </a:lnTo>
                <a:lnTo>
                  <a:pt x="223850" y="672795"/>
                </a:lnTo>
              </a:path>
              <a:path w="751840" h="864235">
                <a:moveTo>
                  <a:pt x="295325" y="672795"/>
                </a:moveTo>
                <a:lnTo>
                  <a:pt x="295325" y="680389"/>
                </a:lnTo>
                <a:lnTo>
                  <a:pt x="301320" y="686663"/>
                </a:lnTo>
                <a:lnTo>
                  <a:pt x="308902" y="687057"/>
                </a:lnTo>
              </a:path>
              <a:path w="751840" h="864235">
                <a:moveTo>
                  <a:pt x="308902" y="687057"/>
                </a:moveTo>
                <a:lnTo>
                  <a:pt x="316445" y="687451"/>
                </a:lnTo>
              </a:path>
              <a:path w="751840" h="864235">
                <a:moveTo>
                  <a:pt x="388683" y="687451"/>
                </a:moveTo>
                <a:lnTo>
                  <a:pt x="383667" y="687717"/>
                </a:lnTo>
                <a:lnTo>
                  <a:pt x="379755" y="691870"/>
                </a:lnTo>
                <a:lnTo>
                  <a:pt x="379755" y="696887"/>
                </a:lnTo>
              </a:path>
              <a:path w="751840" h="864235">
                <a:moveTo>
                  <a:pt x="379755" y="698652"/>
                </a:moveTo>
                <a:lnTo>
                  <a:pt x="379755" y="694321"/>
                </a:lnTo>
                <a:lnTo>
                  <a:pt x="376212" y="690803"/>
                </a:lnTo>
                <a:lnTo>
                  <a:pt x="371868" y="690803"/>
                </a:lnTo>
              </a:path>
              <a:path w="751840" h="864235">
                <a:moveTo>
                  <a:pt x="333248" y="690803"/>
                </a:moveTo>
                <a:lnTo>
                  <a:pt x="371868" y="690803"/>
                </a:lnTo>
              </a:path>
              <a:path w="751840" h="864235">
                <a:moveTo>
                  <a:pt x="396227" y="687057"/>
                </a:moveTo>
                <a:lnTo>
                  <a:pt x="388683" y="687451"/>
                </a:lnTo>
              </a:path>
              <a:path w="751840" h="864235">
                <a:moveTo>
                  <a:pt x="396227" y="687057"/>
                </a:moveTo>
                <a:lnTo>
                  <a:pt x="403796" y="686663"/>
                </a:lnTo>
                <a:lnTo>
                  <a:pt x="409752" y="680389"/>
                </a:lnTo>
                <a:lnTo>
                  <a:pt x="409752" y="672795"/>
                </a:lnTo>
              </a:path>
              <a:path w="751840" h="864235">
                <a:moveTo>
                  <a:pt x="751598" y="696887"/>
                </a:moveTo>
                <a:lnTo>
                  <a:pt x="751598" y="842010"/>
                </a:lnTo>
              </a:path>
              <a:path w="751840" h="864235">
                <a:moveTo>
                  <a:pt x="751598" y="696887"/>
                </a:moveTo>
                <a:lnTo>
                  <a:pt x="751598" y="842010"/>
                </a:lnTo>
              </a:path>
              <a:path w="751840" h="864235">
                <a:moveTo>
                  <a:pt x="697242" y="842010"/>
                </a:moveTo>
                <a:lnTo>
                  <a:pt x="697242" y="696887"/>
                </a:lnTo>
              </a:path>
              <a:path w="751840" h="864235">
                <a:moveTo>
                  <a:pt x="697242" y="696887"/>
                </a:moveTo>
                <a:lnTo>
                  <a:pt x="697242" y="842010"/>
                </a:lnTo>
              </a:path>
              <a:path w="751840" h="864235">
                <a:moveTo>
                  <a:pt x="751598" y="842010"/>
                </a:moveTo>
                <a:lnTo>
                  <a:pt x="751598" y="696887"/>
                </a:lnTo>
              </a:path>
              <a:path w="751840" h="864235">
                <a:moveTo>
                  <a:pt x="751598" y="698652"/>
                </a:moveTo>
                <a:lnTo>
                  <a:pt x="751598" y="840232"/>
                </a:lnTo>
              </a:path>
              <a:path w="751840" h="864235">
                <a:moveTo>
                  <a:pt x="697242" y="696887"/>
                </a:moveTo>
                <a:lnTo>
                  <a:pt x="697242" y="842010"/>
                </a:lnTo>
              </a:path>
              <a:path w="751840" h="864235">
                <a:moveTo>
                  <a:pt x="565670" y="696887"/>
                </a:moveTo>
                <a:lnTo>
                  <a:pt x="565670" y="842010"/>
                </a:lnTo>
              </a:path>
              <a:path w="751840" h="864235">
                <a:moveTo>
                  <a:pt x="565670" y="696887"/>
                </a:moveTo>
                <a:lnTo>
                  <a:pt x="565670" y="842010"/>
                </a:lnTo>
              </a:path>
              <a:path w="751840" h="864235">
                <a:moveTo>
                  <a:pt x="511302" y="842010"/>
                </a:moveTo>
                <a:lnTo>
                  <a:pt x="511302" y="696887"/>
                </a:lnTo>
              </a:path>
              <a:path w="751840" h="864235">
                <a:moveTo>
                  <a:pt x="511302" y="696887"/>
                </a:moveTo>
                <a:lnTo>
                  <a:pt x="511302" y="842010"/>
                </a:lnTo>
              </a:path>
              <a:path w="751840" h="864235">
                <a:moveTo>
                  <a:pt x="565670" y="842010"/>
                </a:moveTo>
                <a:lnTo>
                  <a:pt x="565670" y="696887"/>
                </a:lnTo>
              </a:path>
              <a:path w="751840" h="864235">
                <a:moveTo>
                  <a:pt x="565670" y="698652"/>
                </a:moveTo>
                <a:lnTo>
                  <a:pt x="565670" y="840232"/>
                </a:lnTo>
              </a:path>
              <a:path w="751840" h="864235">
                <a:moveTo>
                  <a:pt x="511302" y="696887"/>
                </a:moveTo>
                <a:lnTo>
                  <a:pt x="511302" y="842010"/>
                </a:lnTo>
              </a:path>
              <a:path w="751840" h="864235">
                <a:moveTo>
                  <a:pt x="688276" y="851433"/>
                </a:moveTo>
                <a:lnTo>
                  <a:pt x="662051" y="852805"/>
                </a:lnTo>
              </a:path>
              <a:path w="751840" h="864235">
                <a:moveTo>
                  <a:pt x="631456" y="863854"/>
                </a:moveTo>
                <a:lnTo>
                  <a:pt x="645368" y="861043"/>
                </a:lnTo>
                <a:lnTo>
                  <a:pt x="656732" y="853379"/>
                </a:lnTo>
                <a:lnTo>
                  <a:pt x="664396" y="842015"/>
                </a:lnTo>
                <a:lnTo>
                  <a:pt x="667207" y="828103"/>
                </a:lnTo>
              </a:path>
              <a:path w="751840" h="864235">
                <a:moveTo>
                  <a:pt x="557796" y="848118"/>
                </a:moveTo>
                <a:lnTo>
                  <a:pt x="562140" y="848118"/>
                </a:lnTo>
                <a:lnTo>
                  <a:pt x="565670" y="844588"/>
                </a:lnTo>
                <a:lnTo>
                  <a:pt x="565670" y="840232"/>
                </a:lnTo>
              </a:path>
              <a:path w="751840" h="864235">
                <a:moveTo>
                  <a:pt x="511302" y="840232"/>
                </a:moveTo>
                <a:lnTo>
                  <a:pt x="511302" y="844588"/>
                </a:lnTo>
                <a:lnTo>
                  <a:pt x="514845" y="848118"/>
                </a:lnTo>
                <a:lnTo>
                  <a:pt x="519163" y="848118"/>
                </a:lnTo>
              </a:path>
              <a:path w="751840" h="864235">
                <a:moveTo>
                  <a:pt x="502361" y="851433"/>
                </a:moveTo>
                <a:lnTo>
                  <a:pt x="507365" y="851179"/>
                </a:lnTo>
                <a:lnTo>
                  <a:pt x="511302" y="847039"/>
                </a:lnTo>
                <a:lnTo>
                  <a:pt x="511302" y="842010"/>
                </a:lnTo>
              </a:path>
              <a:path w="751840" h="864235">
                <a:moveTo>
                  <a:pt x="445503" y="863854"/>
                </a:moveTo>
                <a:lnTo>
                  <a:pt x="459430" y="861043"/>
                </a:lnTo>
                <a:lnTo>
                  <a:pt x="470801" y="853379"/>
                </a:lnTo>
                <a:lnTo>
                  <a:pt x="478468" y="842015"/>
                </a:lnTo>
                <a:lnTo>
                  <a:pt x="481279" y="828103"/>
                </a:lnTo>
              </a:path>
              <a:path w="751840" h="864235">
                <a:moveTo>
                  <a:pt x="502361" y="851433"/>
                </a:moveTo>
                <a:lnTo>
                  <a:pt x="476123" y="852805"/>
                </a:lnTo>
              </a:path>
              <a:path w="751840" h="864235">
                <a:moveTo>
                  <a:pt x="476123" y="852805"/>
                </a:moveTo>
                <a:lnTo>
                  <a:pt x="473163" y="852970"/>
                </a:lnTo>
                <a:lnTo>
                  <a:pt x="470281" y="854062"/>
                </a:lnTo>
                <a:lnTo>
                  <a:pt x="467906" y="855954"/>
                </a:lnTo>
              </a:path>
              <a:path w="751840" h="864235">
                <a:moveTo>
                  <a:pt x="519163" y="848118"/>
                </a:moveTo>
                <a:lnTo>
                  <a:pt x="557796" y="848118"/>
                </a:lnTo>
              </a:path>
              <a:path w="751840" h="864235">
                <a:moveTo>
                  <a:pt x="565670" y="842010"/>
                </a:moveTo>
                <a:lnTo>
                  <a:pt x="565670" y="847039"/>
                </a:lnTo>
                <a:lnTo>
                  <a:pt x="569595" y="851179"/>
                </a:lnTo>
                <a:lnTo>
                  <a:pt x="574611" y="851433"/>
                </a:lnTo>
              </a:path>
              <a:path w="751840" h="864235">
                <a:moveTo>
                  <a:pt x="595680" y="828103"/>
                </a:moveTo>
                <a:lnTo>
                  <a:pt x="598491" y="842015"/>
                </a:lnTo>
                <a:lnTo>
                  <a:pt x="606158" y="853379"/>
                </a:lnTo>
                <a:lnTo>
                  <a:pt x="617529" y="861043"/>
                </a:lnTo>
                <a:lnTo>
                  <a:pt x="631456" y="863854"/>
                </a:lnTo>
              </a:path>
              <a:path w="751840" h="864235">
                <a:moveTo>
                  <a:pt x="574611" y="851433"/>
                </a:moveTo>
                <a:lnTo>
                  <a:pt x="600824" y="852805"/>
                </a:lnTo>
              </a:path>
              <a:path w="751840" h="864235">
                <a:moveTo>
                  <a:pt x="609053" y="855954"/>
                </a:moveTo>
                <a:lnTo>
                  <a:pt x="606704" y="854062"/>
                </a:lnTo>
                <a:lnTo>
                  <a:pt x="603821" y="852970"/>
                </a:lnTo>
                <a:lnTo>
                  <a:pt x="600824" y="852805"/>
                </a:lnTo>
              </a:path>
              <a:path w="751840" h="864235">
                <a:moveTo>
                  <a:pt x="662051" y="852805"/>
                </a:moveTo>
                <a:lnTo>
                  <a:pt x="659066" y="852970"/>
                </a:lnTo>
                <a:lnTo>
                  <a:pt x="656183" y="854062"/>
                </a:lnTo>
                <a:lnTo>
                  <a:pt x="653872" y="855954"/>
                </a:lnTo>
              </a:path>
              <a:path w="751840" h="864235">
                <a:moveTo>
                  <a:pt x="743699" y="848118"/>
                </a:moveTo>
                <a:lnTo>
                  <a:pt x="748055" y="848118"/>
                </a:lnTo>
                <a:lnTo>
                  <a:pt x="751598" y="844588"/>
                </a:lnTo>
                <a:lnTo>
                  <a:pt x="751598" y="840232"/>
                </a:lnTo>
              </a:path>
              <a:path w="751840" h="864235">
                <a:moveTo>
                  <a:pt x="697242" y="840232"/>
                </a:moveTo>
                <a:lnTo>
                  <a:pt x="697242" y="844588"/>
                </a:lnTo>
                <a:lnTo>
                  <a:pt x="700747" y="848118"/>
                </a:lnTo>
                <a:lnTo>
                  <a:pt x="705078" y="848118"/>
                </a:lnTo>
              </a:path>
              <a:path w="751840" h="864235">
                <a:moveTo>
                  <a:pt x="688276" y="851433"/>
                </a:moveTo>
                <a:lnTo>
                  <a:pt x="693293" y="851179"/>
                </a:lnTo>
                <a:lnTo>
                  <a:pt x="697242" y="847039"/>
                </a:lnTo>
                <a:lnTo>
                  <a:pt x="697242" y="842010"/>
                </a:lnTo>
              </a:path>
              <a:path w="751840" h="864235">
                <a:moveTo>
                  <a:pt x="705078" y="848118"/>
                </a:moveTo>
                <a:lnTo>
                  <a:pt x="743699" y="848118"/>
                </a:lnTo>
              </a:path>
              <a:path w="751840" h="864235">
                <a:moveTo>
                  <a:pt x="667207" y="672795"/>
                </a:moveTo>
                <a:lnTo>
                  <a:pt x="667207" y="680389"/>
                </a:lnTo>
                <a:lnTo>
                  <a:pt x="673150" y="686663"/>
                </a:lnTo>
                <a:lnTo>
                  <a:pt x="680770" y="687057"/>
                </a:lnTo>
              </a:path>
              <a:path w="751840" h="864235">
                <a:moveTo>
                  <a:pt x="565670" y="698652"/>
                </a:moveTo>
                <a:lnTo>
                  <a:pt x="565670" y="694321"/>
                </a:lnTo>
                <a:lnTo>
                  <a:pt x="562140" y="690803"/>
                </a:lnTo>
                <a:lnTo>
                  <a:pt x="557796" y="690803"/>
                </a:lnTo>
              </a:path>
              <a:path w="751840" h="864235">
                <a:moveTo>
                  <a:pt x="494830" y="687057"/>
                </a:moveTo>
                <a:lnTo>
                  <a:pt x="502361" y="687451"/>
                </a:lnTo>
              </a:path>
              <a:path w="751840" h="864235">
                <a:moveTo>
                  <a:pt x="481279" y="672795"/>
                </a:moveTo>
                <a:lnTo>
                  <a:pt x="481279" y="680389"/>
                </a:lnTo>
                <a:lnTo>
                  <a:pt x="487248" y="686663"/>
                </a:lnTo>
                <a:lnTo>
                  <a:pt x="494830" y="687057"/>
                </a:lnTo>
              </a:path>
              <a:path w="751840" h="864235">
                <a:moveTo>
                  <a:pt x="519163" y="690803"/>
                </a:moveTo>
                <a:lnTo>
                  <a:pt x="557796" y="690803"/>
                </a:lnTo>
              </a:path>
              <a:path w="751840" h="864235">
                <a:moveTo>
                  <a:pt x="519163" y="690803"/>
                </a:moveTo>
                <a:lnTo>
                  <a:pt x="514845" y="690803"/>
                </a:lnTo>
                <a:lnTo>
                  <a:pt x="511302" y="694321"/>
                </a:lnTo>
                <a:lnTo>
                  <a:pt x="511302" y="698652"/>
                </a:lnTo>
              </a:path>
              <a:path w="751840" h="864235">
                <a:moveTo>
                  <a:pt x="511302" y="696887"/>
                </a:moveTo>
                <a:lnTo>
                  <a:pt x="511302" y="691870"/>
                </a:lnTo>
                <a:lnTo>
                  <a:pt x="507365" y="687717"/>
                </a:lnTo>
                <a:lnTo>
                  <a:pt x="502361" y="687451"/>
                </a:lnTo>
              </a:path>
              <a:path w="751840" h="864235">
                <a:moveTo>
                  <a:pt x="582142" y="687057"/>
                </a:moveTo>
                <a:lnTo>
                  <a:pt x="574611" y="687451"/>
                </a:lnTo>
              </a:path>
              <a:path w="751840" h="864235">
                <a:moveTo>
                  <a:pt x="582142" y="687057"/>
                </a:moveTo>
                <a:lnTo>
                  <a:pt x="589724" y="686663"/>
                </a:lnTo>
                <a:lnTo>
                  <a:pt x="595680" y="680389"/>
                </a:lnTo>
                <a:lnTo>
                  <a:pt x="595680" y="672795"/>
                </a:lnTo>
              </a:path>
              <a:path w="751840" h="864235">
                <a:moveTo>
                  <a:pt x="574611" y="687451"/>
                </a:moveTo>
                <a:lnTo>
                  <a:pt x="569595" y="687717"/>
                </a:lnTo>
                <a:lnTo>
                  <a:pt x="565670" y="691870"/>
                </a:lnTo>
                <a:lnTo>
                  <a:pt x="565670" y="696887"/>
                </a:lnTo>
              </a:path>
              <a:path w="751840" h="864235">
                <a:moveTo>
                  <a:pt x="705078" y="690803"/>
                </a:moveTo>
                <a:lnTo>
                  <a:pt x="743699" y="690803"/>
                </a:lnTo>
              </a:path>
              <a:path w="751840" h="864235">
                <a:moveTo>
                  <a:pt x="705078" y="690803"/>
                </a:moveTo>
                <a:lnTo>
                  <a:pt x="700747" y="690803"/>
                </a:lnTo>
                <a:lnTo>
                  <a:pt x="697242" y="694321"/>
                </a:lnTo>
                <a:lnTo>
                  <a:pt x="697242" y="698652"/>
                </a:lnTo>
              </a:path>
              <a:path w="751840" h="864235">
                <a:moveTo>
                  <a:pt x="697242" y="696887"/>
                </a:moveTo>
                <a:lnTo>
                  <a:pt x="697242" y="691870"/>
                </a:lnTo>
                <a:lnTo>
                  <a:pt x="693293" y="687717"/>
                </a:lnTo>
                <a:lnTo>
                  <a:pt x="688276" y="687451"/>
                </a:lnTo>
              </a:path>
              <a:path w="751840" h="864235">
                <a:moveTo>
                  <a:pt x="680770" y="687057"/>
                </a:moveTo>
                <a:lnTo>
                  <a:pt x="688276" y="687451"/>
                </a:lnTo>
              </a:path>
              <a:path w="751840" h="864235">
                <a:moveTo>
                  <a:pt x="751598" y="698652"/>
                </a:moveTo>
                <a:lnTo>
                  <a:pt x="751598" y="694321"/>
                </a:lnTo>
                <a:lnTo>
                  <a:pt x="748055" y="690803"/>
                </a:lnTo>
                <a:lnTo>
                  <a:pt x="743699" y="690803"/>
                </a:lnTo>
              </a:path>
              <a:path w="751840" h="864235">
                <a:moveTo>
                  <a:pt x="445503" y="0"/>
                </a:moveTo>
                <a:lnTo>
                  <a:pt x="431601" y="2810"/>
                </a:lnTo>
                <a:lnTo>
                  <a:pt x="420236" y="10474"/>
                </a:lnTo>
                <a:lnTo>
                  <a:pt x="412567" y="21838"/>
                </a:lnTo>
                <a:lnTo>
                  <a:pt x="409752" y="35750"/>
                </a:lnTo>
              </a:path>
              <a:path w="751840" h="864235">
                <a:moveTo>
                  <a:pt x="379755" y="166966"/>
                </a:moveTo>
                <a:lnTo>
                  <a:pt x="379755" y="21818"/>
                </a:lnTo>
              </a:path>
              <a:path w="751840" h="864235">
                <a:moveTo>
                  <a:pt x="379755" y="166966"/>
                </a:moveTo>
                <a:lnTo>
                  <a:pt x="379755" y="21818"/>
                </a:lnTo>
              </a:path>
              <a:path w="751840" h="864235">
                <a:moveTo>
                  <a:pt x="379755" y="23596"/>
                </a:moveTo>
                <a:lnTo>
                  <a:pt x="379755" y="165188"/>
                </a:lnTo>
              </a:path>
              <a:path w="751840" h="864235">
                <a:moveTo>
                  <a:pt x="379755" y="166966"/>
                </a:moveTo>
                <a:lnTo>
                  <a:pt x="379755" y="21818"/>
                </a:lnTo>
              </a:path>
              <a:path w="751840" h="864235">
                <a:moveTo>
                  <a:pt x="325374" y="21818"/>
                </a:moveTo>
                <a:lnTo>
                  <a:pt x="325374" y="166966"/>
                </a:lnTo>
              </a:path>
              <a:path w="751840" h="864235">
                <a:moveTo>
                  <a:pt x="325374" y="166966"/>
                </a:moveTo>
                <a:lnTo>
                  <a:pt x="325374" y="21818"/>
                </a:lnTo>
              </a:path>
              <a:path w="751840" h="864235">
                <a:moveTo>
                  <a:pt x="295325" y="35750"/>
                </a:moveTo>
                <a:lnTo>
                  <a:pt x="292520" y="21838"/>
                </a:lnTo>
                <a:lnTo>
                  <a:pt x="284865" y="10474"/>
                </a:lnTo>
                <a:lnTo>
                  <a:pt x="273503" y="2810"/>
                </a:lnTo>
                <a:lnTo>
                  <a:pt x="259575" y="0"/>
                </a:lnTo>
              </a:path>
              <a:path w="751840" h="864235">
                <a:moveTo>
                  <a:pt x="259575" y="0"/>
                </a:moveTo>
                <a:lnTo>
                  <a:pt x="245677" y="2810"/>
                </a:lnTo>
                <a:lnTo>
                  <a:pt x="234321" y="10474"/>
                </a:lnTo>
                <a:lnTo>
                  <a:pt x="226660" y="21838"/>
                </a:lnTo>
                <a:lnTo>
                  <a:pt x="223850" y="35750"/>
                </a:lnTo>
              </a:path>
              <a:path w="751840" h="864235">
                <a:moveTo>
                  <a:pt x="193802" y="166966"/>
                </a:moveTo>
                <a:lnTo>
                  <a:pt x="193802" y="21818"/>
                </a:lnTo>
              </a:path>
              <a:path w="751840" h="864235">
                <a:moveTo>
                  <a:pt x="193802" y="166966"/>
                </a:moveTo>
                <a:lnTo>
                  <a:pt x="193802" y="21818"/>
                </a:lnTo>
              </a:path>
              <a:path w="751840" h="864235">
                <a:moveTo>
                  <a:pt x="325374" y="166966"/>
                </a:moveTo>
                <a:lnTo>
                  <a:pt x="325374" y="21818"/>
                </a:lnTo>
              </a:path>
              <a:path w="751840" h="864235">
                <a:moveTo>
                  <a:pt x="193802" y="23596"/>
                </a:moveTo>
                <a:lnTo>
                  <a:pt x="193802" y="165188"/>
                </a:lnTo>
              </a:path>
              <a:path w="751840" h="864235">
                <a:moveTo>
                  <a:pt x="193802" y="166966"/>
                </a:moveTo>
                <a:lnTo>
                  <a:pt x="193802" y="21818"/>
                </a:lnTo>
              </a:path>
              <a:path w="751840" h="864235">
                <a:moveTo>
                  <a:pt x="139471" y="21818"/>
                </a:moveTo>
                <a:lnTo>
                  <a:pt x="139471" y="166966"/>
                </a:lnTo>
              </a:path>
              <a:path w="751840" h="864235">
                <a:moveTo>
                  <a:pt x="139471" y="166966"/>
                </a:moveTo>
                <a:lnTo>
                  <a:pt x="139471" y="21818"/>
                </a:lnTo>
              </a:path>
              <a:path w="751840" h="864235">
                <a:moveTo>
                  <a:pt x="109410" y="35750"/>
                </a:moveTo>
                <a:lnTo>
                  <a:pt x="106605" y="21838"/>
                </a:lnTo>
                <a:lnTo>
                  <a:pt x="98952" y="10474"/>
                </a:lnTo>
                <a:lnTo>
                  <a:pt x="87593" y="2810"/>
                </a:lnTo>
                <a:lnTo>
                  <a:pt x="73672" y="0"/>
                </a:lnTo>
              </a:path>
              <a:path w="751840" h="864235">
                <a:moveTo>
                  <a:pt x="73672" y="0"/>
                </a:moveTo>
                <a:lnTo>
                  <a:pt x="59749" y="2810"/>
                </a:lnTo>
                <a:lnTo>
                  <a:pt x="48387" y="10474"/>
                </a:lnTo>
                <a:lnTo>
                  <a:pt x="40729" y="21838"/>
                </a:lnTo>
                <a:lnTo>
                  <a:pt x="37922" y="35750"/>
                </a:lnTo>
              </a:path>
              <a:path w="751840" h="864235">
                <a:moveTo>
                  <a:pt x="7874" y="166966"/>
                </a:moveTo>
                <a:lnTo>
                  <a:pt x="7874" y="21818"/>
                </a:lnTo>
              </a:path>
              <a:path w="751840" h="864235">
                <a:moveTo>
                  <a:pt x="7874" y="166966"/>
                </a:moveTo>
                <a:lnTo>
                  <a:pt x="7874" y="21818"/>
                </a:lnTo>
              </a:path>
              <a:path w="751840" h="864235">
                <a:moveTo>
                  <a:pt x="139471" y="166966"/>
                </a:moveTo>
                <a:lnTo>
                  <a:pt x="139471" y="21818"/>
                </a:lnTo>
              </a:path>
              <a:path w="751840" h="864235">
                <a:moveTo>
                  <a:pt x="7874" y="23596"/>
                </a:moveTo>
                <a:lnTo>
                  <a:pt x="7874" y="165188"/>
                </a:lnTo>
              </a:path>
              <a:path w="751840" h="864235">
                <a:moveTo>
                  <a:pt x="7874" y="166966"/>
                </a:moveTo>
                <a:lnTo>
                  <a:pt x="7874" y="21818"/>
                </a:lnTo>
              </a:path>
              <a:path w="751840" h="864235">
                <a:moveTo>
                  <a:pt x="210273" y="176771"/>
                </a:moveTo>
                <a:lnTo>
                  <a:pt x="202755" y="176390"/>
                </a:lnTo>
              </a:path>
              <a:path w="751840" h="864235">
                <a:moveTo>
                  <a:pt x="37922" y="191058"/>
                </a:moveTo>
                <a:lnTo>
                  <a:pt x="37922" y="183451"/>
                </a:lnTo>
                <a:lnTo>
                  <a:pt x="31978" y="177165"/>
                </a:lnTo>
                <a:lnTo>
                  <a:pt x="24345" y="176771"/>
                </a:lnTo>
              </a:path>
              <a:path w="751840" h="864235">
                <a:moveTo>
                  <a:pt x="24345" y="176771"/>
                </a:moveTo>
                <a:lnTo>
                  <a:pt x="16814" y="176390"/>
                </a:lnTo>
              </a:path>
              <a:path w="751840" h="864235">
                <a:moveTo>
                  <a:pt x="7874" y="166966"/>
                </a:moveTo>
                <a:lnTo>
                  <a:pt x="7874" y="171970"/>
                </a:lnTo>
                <a:lnTo>
                  <a:pt x="11798" y="176110"/>
                </a:lnTo>
                <a:lnTo>
                  <a:pt x="16814" y="176390"/>
                </a:lnTo>
              </a:path>
              <a:path w="751840" h="864235">
                <a:moveTo>
                  <a:pt x="0" y="173050"/>
                </a:moveTo>
                <a:lnTo>
                  <a:pt x="4381" y="173050"/>
                </a:lnTo>
                <a:lnTo>
                  <a:pt x="7874" y="169532"/>
                </a:lnTo>
                <a:lnTo>
                  <a:pt x="7874" y="165188"/>
                </a:lnTo>
              </a:path>
              <a:path w="751840" h="864235">
                <a:moveTo>
                  <a:pt x="147332" y="173050"/>
                </a:moveTo>
                <a:lnTo>
                  <a:pt x="185928" y="173050"/>
                </a:lnTo>
              </a:path>
              <a:path w="751840" h="864235">
                <a:moveTo>
                  <a:pt x="139471" y="165188"/>
                </a:moveTo>
                <a:lnTo>
                  <a:pt x="139471" y="169532"/>
                </a:lnTo>
                <a:lnTo>
                  <a:pt x="142963" y="173050"/>
                </a:lnTo>
                <a:lnTo>
                  <a:pt x="147332" y="173050"/>
                </a:lnTo>
              </a:path>
              <a:path w="751840" h="864235">
                <a:moveTo>
                  <a:pt x="130492" y="176390"/>
                </a:moveTo>
                <a:lnTo>
                  <a:pt x="135534" y="176110"/>
                </a:lnTo>
                <a:lnTo>
                  <a:pt x="139471" y="171970"/>
                </a:lnTo>
                <a:lnTo>
                  <a:pt x="139471" y="166966"/>
                </a:lnTo>
              </a:path>
              <a:path w="751840" h="864235">
                <a:moveTo>
                  <a:pt x="122999" y="176771"/>
                </a:moveTo>
                <a:lnTo>
                  <a:pt x="115379" y="177165"/>
                </a:lnTo>
                <a:lnTo>
                  <a:pt x="109410" y="183451"/>
                </a:lnTo>
                <a:lnTo>
                  <a:pt x="109410" y="191058"/>
                </a:lnTo>
              </a:path>
              <a:path w="751840" h="864235">
                <a:moveTo>
                  <a:pt x="122999" y="176771"/>
                </a:moveTo>
                <a:lnTo>
                  <a:pt x="130492" y="176390"/>
                </a:lnTo>
              </a:path>
              <a:path w="751840" h="864235">
                <a:moveTo>
                  <a:pt x="193802" y="166966"/>
                </a:moveTo>
                <a:lnTo>
                  <a:pt x="193802" y="171970"/>
                </a:lnTo>
                <a:lnTo>
                  <a:pt x="197726" y="176110"/>
                </a:lnTo>
                <a:lnTo>
                  <a:pt x="202755" y="176390"/>
                </a:lnTo>
              </a:path>
              <a:path w="751840" h="864235">
                <a:moveTo>
                  <a:pt x="185928" y="173050"/>
                </a:moveTo>
                <a:lnTo>
                  <a:pt x="190296" y="173050"/>
                </a:lnTo>
                <a:lnTo>
                  <a:pt x="193802" y="169532"/>
                </a:lnTo>
                <a:lnTo>
                  <a:pt x="193802" y="165188"/>
                </a:lnTo>
              </a:path>
              <a:path w="751840" h="864235">
                <a:moveTo>
                  <a:pt x="325374" y="165188"/>
                </a:moveTo>
                <a:lnTo>
                  <a:pt x="325374" y="169532"/>
                </a:lnTo>
                <a:lnTo>
                  <a:pt x="328917" y="173050"/>
                </a:lnTo>
                <a:lnTo>
                  <a:pt x="333248" y="173050"/>
                </a:lnTo>
              </a:path>
              <a:path w="751840" h="864235">
                <a:moveTo>
                  <a:pt x="316445" y="176390"/>
                </a:moveTo>
                <a:lnTo>
                  <a:pt x="321449" y="176110"/>
                </a:lnTo>
                <a:lnTo>
                  <a:pt x="325374" y="171970"/>
                </a:lnTo>
                <a:lnTo>
                  <a:pt x="325374" y="166966"/>
                </a:lnTo>
              </a:path>
              <a:path w="751840" h="864235">
                <a:moveTo>
                  <a:pt x="223850" y="191058"/>
                </a:moveTo>
                <a:lnTo>
                  <a:pt x="223850" y="183451"/>
                </a:lnTo>
                <a:lnTo>
                  <a:pt x="217893" y="177165"/>
                </a:lnTo>
                <a:lnTo>
                  <a:pt x="210273" y="176771"/>
                </a:lnTo>
              </a:path>
              <a:path w="751840" h="864235">
                <a:moveTo>
                  <a:pt x="308902" y="176771"/>
                </a:moveTo>
                <a:lnTo>
                  <a:pt x="301320" y="177165"/>
                </a:lnTo>
                <a:lnTo>
                  <a:pt x="295325" y="183451"/>
                </a:lnTo>
                <a:lnTo>
                  <a:pt x="295325" y="191058"/>
                </a:lnTo>
              </a:path>
              <a:path w="751840" h="864235">
                <a:moveTo>
                  <a:pt x="308902" y="176771"/>
                </a:moveTo>
                <a:lnTo>
                  <a:pt x="316445" y="176390"/>
                </a:lnTo>
              </a:path>
              <a:path w="751840" h="864235">
                <a:moveTo>
                  <a:pt x="379755" y="166966"/>
                </a:moveTo>
                <a:lnTo>
                  <a:pt x="379755" y="171970"/>
                </a:lnTo>
                <a:lnTo>
                  <a:pt x="383667" y="176110"/>
                </a:lnTo>
                <a:lnTo>
                  <a:pt x="388683" y="176390"/>
                </a:lnTo>
              </a:path>
              <a:path w="751840" h="864235">
                <a:moveTo>
                  <a:pt x="371868" y="173050"/>
                </a:moveTo>
                <a:lnTo>
                  <a:pt x="376212" y="173050"/>
                </a:lnTo>
                <a:lnTo>
                  <a:pt x="379755" y="169532"/>
                </a:lnTo>
                <a:lnTo>
                  <a:pt x="379755" y="165188"/>
                </a:lnTo>
              </a:path>
              <a:path w="751840" h="864235">
                <a:moveTo>
                  <a:pt x="333248" y="173050"/>
                </a:moveTo>
                <a:lnTo>
                  <a:pt x="371868" y="173050"/>
                </a:lnTo>
              </a:path>
              <a:path w="751840" h="864235">
                <a:moveTo>
                  <a:pt x="396227" y="176771"/>
                </a:moveTo>
                <a:lnTo>
                  <a:pt x="388683" y="176390"/>
                </a:lnTo>
              </a:path>
              <a:path w="751840" h="864235">
                <a:moveTo>
                  <a:pt x="409752" y="191058"/>
                </a:moveTo>
                <a:lnTo>
                  <a:pt x="409752" y="183451"/>
                </a:lnTo>
                <a:lnTo>
                  <a:pt x="403796" y="177165"/>
                </a:lnTo>
                <a:lnTo>
                  <a:pt x="396227" y="176771"/>
                </a:lnTo>
              </a:path>
              <a:path w="751840" h="864235">
                <a:moveTo>
                  <a:pt x="202755" y="12407"/>
                </a:moveTo>
                <a:lnTo>
                  <a:pt x="228955" y="11036"/>
                </a:lnTo>
              </a:path>
              <a:path w="751840" h="864235">
                <a:moveTo>
                  <a:pt x="16814" y="12407"/>
                </a:moveTo>
                <a:lnTo>
                  <a:pt x="43027" y="11036"/>
                </a:lnTo>
              </a:path>
              <a:path w="751840" h="864235">
                <a:moveTo>
                  <a:pt x="16814" y="12407"/>
                </a:moveTo>
                <a:lnTo>
                  <a:pt x="11798" y="12674"/>
                </a:lnTo>
                <a:lnTo>
                  <a:pt x="7874" y="16814"/>
                </a:lnTo>
                <a:lnTo>
                  <a:pt x="7874" y="21818"/>
                </a:lnTo>
              </a:path>
              <a:path w="751840" h="864235">
                <a:moveTo>
                  <a:pt x="7874" y="23596"/>
                </a:moveTo>
                <a:lnTo>
                  <a:pt x="7874" y="19253"/>
                </a:lnTo>
                <a:lnTo>
                  <a:pt x="4381" y="15735"/>
                </a:lnTo>
                <a:lnTo>
                  <a:pt x="0" y="15735"/>
                </a:lnTo>
              </a:path>
              <a:path w="751840" h="864235">
                <a:moveTo>
                  <a:pt x="43027" y="11036"/>
                </a:moveTo>
                <a:lnTo>
                  <a:pt x="46062" y="10883"/>
                </a:lnTo>
                <a:lnTo>
                  <a:pt x="48907" y="9791"/>
                </a:lnTo>
                <a:lnTo>
                  <a:pt x="51269" y="7899"/>
                </a:lnTo>
              </a:path>
              <a:path w="751840" h="864235">
                <a:moveTo>
                  <a:pt x="147332" y="15735"/>
                </a:moveTo>
                <a:lnTo>
                  <a:pt x="185928" y="15735"/>
                </a:lnTo>
              </a:path>
              <a:path w="751840" h="864235">
                <a:moveTo>
                  <a:pt x="147332" y="15735"/>
                </a:moveTo>
                <a:lnTo>
                  <a:pt x="142963" y="15735"/>
                </a:lnTo>
                <a:lnTo>
                  <a:pt x="139471" y="19253"/>
                </a:lnTo>
                <a:lnTo>
                  <a:pt x="139471" y="23596"/>
                </a:lnTo>
              </a:path>
              <a:path w="751840" h="864235">
                <a:moveTo>
                  <a:pt x="139471" y="21818"/>
                </a:moveTo>
                <a:lnTo>
                  <a:pt x="139471" y="16814"/>
                </a:lnTo>
                <a:lnTo>
                  <a:pt x="135534" y="12674"/>
                </a:lnTo>
                <a:lnTo>
                  <a:pt x="130492" y="12407"/>
                </a:lnTo>
              </a:path>
              <a:path w="751840" h="864235">
                <a:moveTo>
                  <a:pt x="96075" y="7899"/>
                </a:moveTo>
                <a:lnTo>
                  <a:pt x="98399" y="9791"/>
                </a:lnTo>
                <a:lnTo>
                  <a:pt x="101282" y="10883"/>
                </a:lnTo>
                <a:lnTo>
                  <a:pt x="104292" y="11036"/>
                </a:lnTo>
              </a:path>
              <a:path w="751840" h="864235">
                <a:moveTo>
                  <a:pt x="130492" y="12407"/>
                </a:moveTo>
                <a:lnTo>
                  <a:pt x="104292" y="11036"/>
                </a:lnTo>
              </a:path>
              <a:path w="751840" h="864235">
                <a:moveTo>
                  <a:pt x="202755" y="12407"/>
                </a:moveTo>
                <a:lnTo>
                  <a:pt x="197726" y="12674"/>
                </a:lnTo>
                <a:lnTo>
                  <a:pt x="193802" y="16814"/>
                </a:lnTo>
                <a:lnTo>
                  <a:pt x="193802" y="21818"/>
                </a:lnTo>
              </a:path>
              <a:path w="751840" h="864235">
                <a:moveTo>
                  <a:pt x="193802" y="23596"/>
                </a:moveTo>
                <a:lnTo>
                  <a:pt x="193802" y="19253"/>
                </a:lnTo>
                <a:lnTo>
                  <a:pt x="190296" y="15735"/>
                </a:lnTo>
                <a:lnTo>
                  <a:pt x="185928" y="15735"/>
                </a:lnTo>
              </a:path>
              <a:path w="751840" h="864235">
                <a:moveTo>
                  <a:pt x="333248" y="15735"/>
                </a:moveTo>
                <a:lnTo>
                  <a:pt x="328917" y="15735"/>
                </a:lnTo>
                <a:lnTo>
                  <a:pt x="325374" y="19253"/>
                </a:lnTo>
                <a:lnTo>
                  <a:pt x="325374" y="23596"/>
                </a:lnTo>
              </a:path>
              <a:path w="751840" h="864235">
                <a:moveTo>
                  <a:pt x="325374" y="21818"/>
                </a:moveTo>
                <a:lnTo>
                  <a:pt x="325374" y="16814"/>
                </a:lnTo>
                <a:lnTo>
                  <a:pt x="321449" y="12674"/>
                </a:lnTo>
                <a:lnTo>
                  <a:pt x="316445" y="12407"/>
                </a:lnTo>
              </a:path>
              <a:path w="751840" h="864235">
                <a:moveTo>
                  <a:pt x="228955" y="11036"/>
                </a:moveTo>
                <a:lnTo>
                  <a:pt x="231978" y="10883"/>
                </a:lnTo>
                <a:lnTo>
                  <a:pt x="234848" y="9791"/>
                </a:lnTo>
                <a:lnTo>
                  <a:pt x="237172" y="7899"/>
                </a:lnTo>
              </a:path>
              <a:path w="751840" h="864235">
                <a:moveTo>
                  <a:pt x="281978" y="7899"/>
                </a:moveTo>
                <a:lnTo>
                  <a:pt x="284353" y="9791"/>
                </a:lnTo>
                <a:lnTo>
                  <a:pt x="287235" y="10883"/>
                </a:lnTo>
                <a:lnTo>
                  <a:pt x="290220" y="11036"/>
                </a:lnTo>
              </a:path>
              <a:path w="751840" h="864235">
                <a:moveTo>
                  <a:pt x="316445" y="12407"/>
                </a:moveTo>
                <a:lnTo>
                  <a:pt x="290220" y="11036"/>
                </a:lnTo>
              </a:path>
              <a:path w="751840" h="864235">
                <a:moveTo>
                  <a:pt x="388683" y="12407"/>
                </a:moveTo>
                <a:lnTo>
                  <a:pt x="383667" y="12674"/>
                </a:lnTo>
                <a:lnTo>
                  <a:pt x="379755" y="16814"/>
                </a:lnTo>
                <a:lnTo>
                  <a:pt x="379755" y="21818"/>
                </a:lnTo>
              </a:path>
              <a:path w="751840" h="864235">
                <a:moveTo>
                  <a:pt x="379755" y="23596"/>
                </a:moveTo>
                <a:lnTo>
                  <a:pt x="379755" y="19253"/>
                </a:lnTo>
                <a:lnTo>
                  <a:pt x="376212" y="15735"/>
                </a:lnTo>
                <a:lnTo>
                  <a:pt x="371868" y="15735"/>
                </a:lnTo>
              </a:path>
              <a:path w="751840" h="864235">
                <a:moveTo>
                  <a:pt x="333248" y="15735"/>
                </a:moveTo>
                <a:lnTo>
                  <a:pt x="371868" y="15735"/>
                </a:lnTo>
              </a:path>
              <a:path w="751840" h="864235">
                <a:moveTo>
                  <a:pt x="388683" y="12407"/>
                </a:moveTo>
                <a:lnTo>
                  <a:pt x="414909" y="11036"/>
                </a:lnTo>
              </a:path>
              <a:path w="751840" h="864235">
                <a:moveTo>
                  <a:pt x="414909" y="11036"/>
                </a:moveTo>
                <a:lnTo>
                  <a:pt x="417893" y="10883"/>
                </a:lnTo>
                <a:lnTo>
                  <a:pt x="420776" y="9791"/>
                </a:lnTo>
                <a:lnTo>
                  <a:pt x="423100" y="7899"/>
                </a:lnTo>
              </a:path>
              <a:path w="751840" h="864235">
                <a:moveTo>
                  <a:pt x="751598" y="166966"/>
                </a:moveTo>
                <a:lnTo>
                  <a:pt x="751598" y="21818"/>
                </a:lnTo>
              </a:path>
              <a:path w="751840" h="864235">
                <a:moveTo>
                  <a:pt x="751598" y="166966"/>
                </a:moveTo>
                <a:lnTo>
                  <a:pt x="751598" y="21818"/>
                </a:lnTo>
              </a:path>
              <a:path w="751840" h="864235">
                <a:moveTo>
                  <a:pt x="697242" y="166966"/>
                </a:moveTo>
                <a:lnTo>
                  <a:pt x="697242" y="21818"/>
                </a:lnTo>
              </a:path>
              <a:path w="751840" h="864235">
                <a:moveTo>
                  <a:pt x="697242" y="21818"/>
                </a:moveTo>
                <a:lnTo>
                  <a:pt x="697242" y="166966"/>
                </a:lnTo>
              </a:path>
              <a:path w="751840" h="864235">
                <a:moveTo>
                  <a:pt x="751598" y="166966"/>
                </a:moveTo>
                <a:lnTo>
                  <a:pt x="751598" y="21818"/>
                </a:lnTo>
              </a:path>
              <a:path w="751840" h="864235">
                <a:moveTo>
                  <a:pt x="751598" y="23596"/>
                </a:moveTo>
                <a:lnTo>
                  <a:pt x="751598" y="165188"/>
                </a:lnTo>
              </a:path>
              <a:path w="751840" h="864235">
                <a:moveTo>
                  <a:pt x="667207" y="35750"/>
                </a:moveTo>
                <a:lnTo>
                  <a:pt x="664396" y="21838"/>
                </a:lnTo>
                <a:lnTo>
                  <a:pt x="656732" y="10474"/>
                </a:lnTo>
                <a:lnTo>
                  <a:pt x="645368" y="2810"/>
                </a:lnTo>
                <a:lnTo>
                  <a:pt x="631456" y="0"/>
                </a:lnTo>
              </a:path>
              <a:path w="751840" h="864235">
                <a:moveTo>
                  <a:pt x="631456" y="0"/>
                </a:moveTo>
                <a:lnTo>
                  <a:pt x="617529" y="2810"/>
                </a:lnTo>
                <a:lnTo>
                  <a:pt x="606158" y="10474"/>
                </a:lnTo>
                <a:lnTo>
                  <a:pt x="598491" y="21838"/>
                </a:lnTo>
                <a:lnTo>
                  <a:pt x="595680" y="35750"/>
                </a:lnTo>
              </a:path>
              <a:path w="751840" h="864235">
                <a:moveTo>
                  <a:pt x="565670" y="166966"/>
                </a:moveTo>
                <a:lnTo>
                  <a:pt x="565670" y="21818"/>
                </a:lnTo>
              </a:path>
              <a:path w="751840" h="864235">
                <a:moveTo>
                  <a:pt x="565670" y="166966"/>
                </a:moveTo>
                <a:lnTo>
                  <a:pt x="565670" y="21818"/>
                </a:lnTo>
              </a:path>
              <a:path w="751840" h="864235">
                <a:moveTo>
                  <a:pt x="697242" y="166966"/>
                </a:moveTo>
                <a:lnTo>
                  <a:pt x="697242" y="21818"/>
                </a:lnTo>
              </a:path>
              <a:path w="751840" h="864235">
                <a:moveTo>
                  <a:pt x="511302" y="166966"/>
                </a:moveTo>
                <a:lnTo>
                  <a:pt x="511302" y="21818"/>
                </a:lnTo>
              </a:path>
              <a:path w="751840" h="864235">
                <a:moveTo>
                  <a:pt x="511302" y="21818"/>
                </a:moveTo>
                <a:lnTo>
                  <a:pt x="511302" y="166966"/>
                </a:lnTo>
              </a:path>
              <a:path w="751840" h="864235">
                <a:moveTo>
                  <a:pt x="565670" y="166966"/>
                </a:moveTo>
                <a:lnTo>
                  <a:pt x="565670" y="21818"/>
                </a:lnTo>
              </a:path>
              <a:path w="751840" h="864235">
                <a:moveTo>
                  <a:pt x="565670" y="23596"/>
                </a:moveTo>
                <a:lnTo>
                  <a:pt x="565670" y="165188"/>
                </a:lnTo>
              </a:path>
              <a:path w="751840" h="864235">
                <a:moveTo>
                  <a:pt x="481279" y="35750"/>
                </a:moveTo>
                <a:lnTo>
                  <a:pt x="478468" y="21838"/>
                </a:lnTo>
                <a:lnTo>
                  <a:pt x="470801" y="10474"/>
                </a:lnTo>
                <a:lnTo>
                  <a:pt x="459430" y="2810"/>
                </a:lnTo>
                <a:lnTo>
                  <a:pt x="445503" y="0"/>
                </a:lnTo>
              </a:path>
              <a:path w="751840" h="864235">
                <a:moveTo>
                  <a:pt x="511302" y="166966"/>
                </a:moveTo>
                <a:lnTo>
                  <a:pt x="511302" y="21818"/>
                </a:lnTo>
              </a:path>
              <a:path w="751840" h="864235">
                <a:moveTo>
                  <a:pt x="680770" y="176771"/>
                </a:moveTo>
                <a:lnTo>
                  <a:pt x="673150" y="177165"/>
                </a:lnTo>
                <a:lnTo>
                  <a:pt x="667207" y="183451"/>
                </a:lnTo>
                <a:lnTo>
                  <a:pt x="667207" y="191058"/>
                </a:lnTo>
              </a:path>
              <a:path w="751840" h="864235">
                <a:moveTo>
                  <a:pt x="557796" y="173050"/>
                </a:moveTo>
                <a:lnTo>
                  <a:pt x="562140" y="173050"/>
                </a:lnTo>
                <a:lnTo>
                  <a:pt x="565670" y="169532"/>
                </a:lnTo>
                <a:lnTo>
                  <a:pt x="565670" y="165188"/>
                </a:lnTo>
              </a:path>
              <a:path w="751840" h="864235">
                <a:moveTo>
                  <a:pt x="494830" y="176771"/>
                </a:moveTo>
                <a:lnTo>
                  <a:pt x="502361" y="176390"/>
                </a:lnTo>
              </a:path>
              <a:path w="751840" h="864235">
                <a:moveTo>
                  <a:pt x="494830" y="176771"/>
                </a:moveTo>
                <a:lnTo>
                  <a:pt x="487248" y="177165"/>
                </a:lnTo>
                <a:lnTo>
                  <a:pt x="481279" y="183451"/>
                </a:lnTo>
                <a:lnTo>
                  <a:pt x="481279" y="191058"/>
                </a:lnTo>
              </a:path>
              <a:path w="751840" h="864235">
                <a:moveTo>
                  <a:pt x="519163" y="173050"/>
                </a:moveTo>
                <a:lnTo>
                  <a:pt x="557796" y="173050"/>
                </a:lnTo>
              </a:path>
              <a:path w="751840" h="864235">
                <a:moveTo>
                  <a:pt x="511302" y="165188"/>
                </a:moveTo>
                <a:lnTo>
                  <a:pt x="511302" y="169532"/>
                </a:lnTo>
                <a:lnTo>
                  <a:pt x="514845" y="173050"/>
                </a:lnTo>
                <a:lnTo>
                  <a:pt x="519163" y="173050"/>
                </a:lnTo>
              </a:path>
              <a:path w="751840" h="864235">
                <a:moveTo>
                  <a:pt x="502361" y="176390"/>
                </a:moveTo>
                <a:lnTo>
                  <a:pt x="507365" y="176110"/>
                </a:lnTo>
                <a:lnTo>
                  <a:pt x="511302" y="171970"/>
                </a:lnTo>
                <a:lnTo>
                  <a:pt x="511302" y="166966"/>
                </a:lnTo>
              </a:path>
            </a:pathLst>
          </a:custGeom>
          <a:ln w="10185">
            <a:solidFill>
              <a:srgbClr val="000000"/>
            </a:solidFill>
          </a:ln>
        </xdr:spPr>
      </xdr:sp>
      <xdr:sp macro="" textlink="">
        <xdr:nvSpPr>
          <xdr:cNvPr id="181" name="Shape 680">
            <a:extLst>
              <a:ext uri="{FF2B5EF4-FFF2-40B4-BE49-F238E27FC236}">
                <a16:creationId xmlns:a16="http://schemas.microsoft.com/office/drawing/2014/main" id="{EBFBF644-22BB-3265-B3B9-2399221A4530}"/>
              </a:ext>
            </a:extLst>
          </xdr:cNvPr>
          <xdr:cNvSpPr/>
        </xdr:nvSpPr>
        <xdr:spPr>
          <a:xfrm>
            <a:off x="1364664" y="498118"/>
            <a:ext cx="385445" cy="821055"/>
          </a:xfrm>
          <a:custGeom>
            <a:avLst/>
            <a:gdLst/>
            <a:ahLst/>
            <a:cxnLst/>
            <a:rect l="0" t="0" r="0" b="0"/>
            <a:pathLst>
              <a:path w="385445" h="821055">
                <a:moveTo>
                  <a:pt x="114236" y="168871"/>
                </a:moveTo>
                <a:lnTo>
                  <a:pt x="106692" y="168490"/>
                </a:lnTo>
              </a:path>
              <a:path w="385445" h="821055">
                <a:moveTo>
                  <a:pt x="127762" y="183159"/>
                </a:moveTo>
                <a:lnTo>
                  <a:pt x="127762" y="175552"/>
                </a:lnTo>
                <a:lnTo>
                  <a:pt x="121818" y="169265"/>
                </a:lnTo>
                <a:lnTo>
                  <a:pt x="114236" y="168871"/>
                </a:lnTo>
              </a:path>
              <a:path w="385445" h="821055">
                <a:moveTo>
                  <a:pt x="97764" y="159054"/>
                </a:moveTo>
                <a:lnTo>
                  <a:pt x="97764" y="164071"/>
                </a:lnTo>
                <a:lnTo>
                  <a:pt x="101688" y="168211"/>
                </a:lnTo>
                <a:lnTo>
                  <a:pt x="106692" y="168490"/>
                </a:lnTo>
              </a:path>
              <a:path w="385445" h="821055">
                <a:moveTo>
                  <a:pt x="237172" y="165150"/>
                </a:moveTo>
                <a:lnTo>
                  <a:pt x="275793" y="165150"/>
                </a:lnTo>
              </a:path>
              <a:path w="385445" h="821055">
                <a:moveTo>
                  <a:pt x="229336" y="157289"/>
                </a:moveTo>
                <a:lnTo>
                  <a:pt x="229336" y="161632"/>
                </a:lnTo>
                <a:lnTo>
                  <a:pt x="232841" y="165150"/>
                </a:lnTo>
                <a:lnTo>
                  <a:pt x="237172" y="165150"/>
                </a:lnTo>
              </a:path>
              <a:path w="385445" h="821055">
                <a:moveTo>
                  <a:pt x="220357" y="168490"/>
                </a:moveTo>
                <a:lnTo>
                  <a:pt x="225374" y="168211"/>
                </a:lnTo>
                <a:lnTo>
                  <a:pt x="229336" y="164071"/>
                </a:lnTo>
                <a:lnTo>
                  <a:pt x="229336" y="159054"/>
                </a:lnTo>
              </a:path>
              <a:path w="385445" h="821055">
                <a:moveTo>
                  <a:pt x="212864" y="168871"/>
                </a:moveTo>
                <a:lnTo>
                  <a:pt x="220357" y="168490"/>
                </a:lnTo>
              </a:path>
              <a:path w="385445" h="821055">
                <a:moveTo>
                  <a:pt x="275793" y="165150"/>
                </a:moveTo>
                <a:lnTo>
                  <a:pt x="280149" y="165150"/>
                </a:lnTo>
                <a:lnTo>
                  <a:pt x="283692" y="161632"/>
                </a:lnTo>
                <a:lnTo>
                  <a:pt x="283692" y="157289"/>
                </a:lnTo>
              </a:path>
              <a:path w="385445" h="821055">
                <a:moveTo>
                  <a:pt x="220357" y="4508"/>
                </a:moveTo>
                <a:lnTo>
                  <a:pt x="194144" y="3136"/>
                </a:lnTo>
              </a:path>
              <a:path w="385445" h="821055">
                <a:moveTo>
                  <a:pt x="97764" y="15697"/>
                </a:moveTo>
                <a:lnTo>
                  <a:pt x="97764" y="11353"/>
                </a:lnTo>
                <a:lnTo>
                  <a:pt x="94221" y="7835"/>
                </a:lnTo>
                <a:lnTo>
                  <a:pt x="89890" y="7835"/>
                </a:lnTo>
              </a:path>
              <a:path w="385445" h="821055">
                <a:moveTo>
                  <a:pt x="34455" y="4508"/>
                </a:moveTo>
                <a:lnTo>
                  <a:pt x="8216" y="3136"/>
                </a:lnTo>
              </a:path>
              <a:path w="385445" h="821055">
                <a:moveTo>
                  <a:pt x="0" y="0"/>
                </a:moveTo>
                <a:lnTo>
                  <a:pt x="2362" y="1892"/>
                </a:lnTo>
                <a:lnTo>
                  <a:pt x="5245" y="2984"/>
                </a:lnTo>
                <a:lnTo>
                  <a:pt x="8216" y="3136"/>
                </a:lnTo>
              </a:path>
              <a:path w="385445" h="821055">
                <a:moveTo>
                  <a:pt x="51244" y="7835"/>
                </a:moveTo>
                <a:lnTo>
                  <a:pt x="89890" y="7835"/>
                </a:lnTo>
              </a:path>
              <a:path w="385445" h="821055">
                <a:moveTo>
                  <a:pt x="51244" y="7835"/>
                </a:moveTo>
                <a:lnTo>
                  <a:pt x="46926" y="7835"/>
                </a:lnTo>
                <a:lnTo>
                  <a:pt x="43383" y="11353"/>
                </a:lnTo>
                <a:lnTo>
                  <a:pt x="43383" y="15697"/>
                </a:lnTo>
              </a:path>
              <a:path w="385445" h="821055">
                <a:moveTo>
                  <a:pt x="43383" y="13919"/>
                </a:moveTo>
                <a:lnTo>
                  <a:pt x="43383" y="8902"/>
                </a:lnTo>
                <a:lnTo>
                  <a:pt x="39446" y="4775"/>
                </a:lnTo>
                <a:lnTo>
                  <a:pt x="34455" y="4508"/>
                </a:lnTo>
              </a:path>
              <a:path w="385445" h="821055">
                <a:moveTo>
                  <a:pt x="106692" y="4508"/>
                </a:moveTo>
                <a:lnTo>
                  <a:pt x="132918" y="3136"/>
                </a:lnTo>
              </a:path>
              <a:path w="385445" h="821055">
                <a:moveTo>
                  <a:pt x="132918" y="3136"/>
                </a:moveTo>
                <a:lnTo>
                  <a:pt x="135902" y="2984"/>
                </a:lnTo>
                <a:lnTo>
                  <a:pt x="138785" y="1892"/>
                </a:lnTo>
                <a:lnTo>
                  <a:pt x="141135" y="0"/>
                </a:lnTo>
              </a:path>
              <a:path w="385445" h="821055">
                <a:moveTo>
                  <a:pt x="106692" y="4508"/>
                </a:moveTo>
                <a:lnTo>
                  <a:pt x="101688" y="4775"/>
                </a:lnTo>
                <a:lnTo>
                  <a:pt x="97764" y="8902"/>
                </a:lnTo>
                <a:lnTo>
                  <a:pt x="97764" y="13919"/>
                </a:lnTo>
              </a:path>
              <a:path w="385445" h="821055">
                <a:moveTo>
                  <a:pt x="185966" y="0"/>
                </a:moveTo>
                <a:lnTo>
                  <a:pt x="188264" y="1892"/>
                </a:lnTo>
                <a:lnTo>
                  <a:pt x="191147" y="2984"/>
                </a:lnTo>
                <a:lnTo>
                  <a:pt x="194144" y="3136"/>
                </a:lnTo>
              </a:path>
              <a:path w="385445" h="821055">
                <a:moveTo>
                  <a:pt x="237172" y="7835"/>
                </a:moveTo>
                <a:lnTo>
                  <a:pt x="275793" y="7835"/>
                </a:lnTo>
              </a:path>
              <a:path w="385445" h="821055">
                <a:moveTo>
                  <a:pt x="237172" y="7835"/>
                </a:moveTo>
                <a:lnTo>
                  <a:pt x="232841" y="7835"/>
                </a:lnTo>
                <a:lnTo>
                  <a:pt x="229336" y="11353"/>
                </a:lnTo>
                <a:lnTo>
                  <a:pt x="229336" y="15697"/>
                </a:lnTo>
              </a:path>
              <a:path w="385445" h="821055">
                <a:moveTo>
                  <a:pt x="229336" y="13919"/>
                </a:moveTo>
                <a:lnTo>
                  <a:pt x="229336" y="8902"/>
                </a:lnTo>
                <a:lnTo>
                  <a:pt x="225374" y="4775"/>
                </a:lnTo>
                <a:lnTo>
                  <a:pt x="220357" y="4508"/>
                </a:lnTo>
              </a:path>
              <a:path w="385445" h="821055">
                <a:moveTo>
                  <a:pt x="283692" y="15697"/>
                </a:moveTo>
                <a:lnTo>
                  <a:pt x="283692" y="11353"/>
                </a:lnTo>
                <a:lnTo>
                  <a:pt x="280149" y="7835"/>
                </a:lnTo>
                <a:lnTo>
                  <a:pt x="275793" y="7835"/>
                </a:lnTo>
              </a:path>
              <a:path w="385445" h="821055">
                <a:moveTo>
                  <a:pt x="313715" y="820813"/>
                </a:moveTo>
                <a:lnTo>
                  <a:pt x="313715" y="27851"/>
                </a:lnTo>
              </a:path>
              <a:path w="385445" h="821055">
                <a:moveTo>
                  <a:pt x="385216" y="820204"/>
                </a:moveTo>
                <a:lnTo>
                  <a:pt x="385216" y="27851"/>
                </a:lnTo>
              </a:path>
            </a:pathLst>
          </a:custGeom>
          <a:ln w="10185">
            <a:solidFill>
              <a:srgbClr val="000000"/>
            </a:solidFill>
          </a:ln>
        </xdr:spPr>
      </xdr:sp>
      <xdr:pic>
        <xdr:nvPicPr>
          <xdr:cNvPr id="182" name="image74.png">
            <a:extLst>
              <a:ext uri="{FF2B5EF4-FFF2-40B4-BE49-F238E27FC236}">
                <a16:creationId xmlns:a16="http://schemas.microsoft.com/office/drawing/2014/main" id="{F5896A91-00D2-B328-50FB-01189CEC7A14}"/>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1643264" y="1157921"/>
            <a:ext cx="181806" cy="201244"/>
          </a:xfrm>
          <a:prstGeom prst="rect">
            <a:avLst/>
          </a:prstGeom>
        </xdr:spPr>
      </xdr:pic>
      <xdr:pic>
        <xdr:nvPicPr>
          <xdr:cNvPr id="183" name="image75.png">
            <a:extLst>
              <a:ext uri="{FF2B5EF4-FFF2-40B4-BE49-F238E27FC236}">
                <a16:creationId xmlns:a16="http://schemas.microsoft.com/office/drawing/2014/main" id="{3D590B5B-9F79-B36F-87E2-92C190D5FFAE}"/>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1643264" y="485126"/>
            <a:ext cx="181806" cy="201244"/>
          </a:xfrm>
          <a:prstGeom prst="rect">
            <a:avLst/>
          </a:prstGeom>
        </xdr:spPr>
      </xdr:pic>
      <xdr:sp macro="" textlink="">
        <xdr:nvSpPr>
          <xdr:cNvPr id="184" name="Shape 683">
            <a:extLst>
              <a:ext uri="{FF2B5EF4-FFF2-40B4-BE49-F238E27FC236}">
                <a16:creationId xmlns:a16="http://schemas.microsoft.com/office/drawing/2014/main" id="{D93D4CEF-3059-0823-3E95-67D508A238E7}"/>
              </a:ext>
            </a:extLst>
          </xdr:cNvPr>
          <xdr:cNvSpPr/>
        </xdr:nvSpPr>
        <xdr:spPr>
          <a:xfrm>
            <a:off x="42360" y="42943"/>
            <a:ext cx="2007870" cy="1581785"/>
          </a:xfrm>
          <a:custGeom>
            <a:avLst/>
            <a:gdLst/>
            <a:ahLst/>
            <a:cxnLst/>
            <a:rect l="0" t="0" r="0" b="0"/>
            <a:pathLst>
              <a:path w="2007870" h="1581785">
                <a:moveTo>
                  <a:pt x="490423" y="412051"/>
                </a:moveTo>
                <a:lnTo>
                  <a:pt x="490423" y="173253"/>
                </a:lnTo>
              </a:path>
              <a:path w="2007870" h="1581785">
                <a:moveTo>
                  <a:pt x="450380" y="429564"/>
                </a:moveTo>
                <a:lnTo>
                  <a:pt x="450380" y="0"/>
                </a:lnTo>
              </a:path>
              <a:path w="2007870" h="1581785">
                <a:moveTo>
                  <a:pt x="547623" y="230466"/>
                </a:moveTo>
                <a:lnTo>
                  <a:pt x="633691" y="230466"/>
                </a:lnTo>
              </a:path>
              <a:path w="2007870" h="1581785">
                <a:moveTo>
                  <a:pt x="393166" y="230466"/>
                </a:moveTo>
                <a:lnTo>
                  <a:pt x="217703" y="230466"/>
                </a:lnTo>
              </a:path>
              <a:path w="2007870" h="1581785">
                <a:moveTo>
                  <a:pt x="1737740" y="412051"/>
                </a:moveTo>
                <a:lnTo>
                  <a:pt x="1737740" y="173253"/>
                </a:lnTo>
              </a:path>
              <a:path w="2007870" h="1581785">
                <a:moveTo>
                  <a:pt x="1777771" y="429564"/>
                </a:moveTo>
                <a:lnTo>
                  <a:pt x="1777771" y="0"/>
                </a:lnTo>
              </a:path>
              <a:path w="2007870" h="1581785">
                <a:moveTo>
                  <a:pt x="1680540" y="230466"/>
                </a:moveTo>
                <a:lnTo>
                  <a:pt x="1594459" y="230466"/>
                </a:lnTo>
              </a:path>
              <a:path w="2007870" h="1581785">
                <a:moveTo>
                  <a:pt x="1834972" y="230466"/>
                </a:moveTo>
                <a:lnTo>
                  <a:pt x="2007311" y="230466"/>
                </a:lnTo>
              </a:path>
              <a:path w="2007870" h="1581785">
                <a:moveTo>
                  <a:pt x="450380" y="230466"/>
                </a:moveTo>
                <a:lnTo>
                  <a:pt x="490423" y="230466"/>
                </a:lnTo>
              </a:path>
              <a:path w="2007870" h="1581785">
                <a:moveTo>
                  <a:pt x="1737740" y="230466"/>
                </a:moveTo>
                <a:lnTo>
                  <a:pt x="1777771" y="230466"/>
                </a:lnTo>
              </a:path>
              <a:path w="2007870" h="1581785">
                <a:moveTo>
                  <a:pt x="499008" y="447446"/>
                </a:moveTo>
                <a:lnTo>
                  <a:pt x="0" y="447446"/>
                </a:lnTo>
              </a:path>
              <a:path w="2007870" h="1581785">
                <a:moveTo>
                  <a:pt x="499008" y="1311287"/>
                </a:moveTo>
                <a:lnTo>
                  <a:pt x="0" y="1311287"/>
                </a:lnTo>
              </a:path>
              <a:path w="2007870" h="1581785">
                <a:moveTo>
                  <a:pt x="57213" y="504647"/>
                </a:moveTo>
                <a:lnTo>
                  <a:pt x="57213" y="1254061"/>
                </a:lnTo>
              </a:path>
              <a:path w="2007870" h="1581785">
                <a:moveTo>
                  <a:pt x="490423" y="412051"/>
                </a:moveTo>
                <a:lnTo>
                  <a:pt x="490423" y="173253"/>
                </a:lnTo>
              </a:path>
              <a:path w="2007870" h="1581785">
                <a:moveTo>
                  <a:pt x="1737740" y="412051"/>
                </a:moveTo>
                <a:lnTo>
                  <a:pt x="1737740" y="173253"/>
                </a:lnTo>
              </a:path>
              <a:path w="2007870" h="1581785">
                <a:moveTo>
                  <a:pt x="547623" y="57213"/>
                </a:moveTo>
                <a:lnTo>
                  <a:pt x="1680540" y="57213"/>
                </a:lnTo>
              </a:path>
              <a:path w="2007870" h="1581785">
                <a:moveTo>
                  <a:pt x="393166" y="1215745"/>
                </a:moveTo>
                <a:lnTo>
                  <a:pt x="171627" y="1215745"/>
                </a:lnTo>
              </a:path>
              <a:path w="2007870" h="1581785">
                <a:moveTo>
                  <a:pt x="393166" y="540677"/>
                </a:moveTo>
                <a:lnTo>
                  <a:pt x="171627" y="540677"/>
                </a:lnTo>
              </a:path>
              <a:path w="2007870" h="1581785">
                <a:moveTo>
                  <a:pt x="228841" y="1158544"/>
                </a:moveTo>
                <a:lnTo>
                  <a:pt x="228841" y="597903"/>
                </a:lnTo>
              </a:path>
              <a:path w="2007870" h="1581785">
                <a:moveTo>
                  <a:pt x="621982" y="1344726"/>
                </a:moveTo>
                <a:lnTo>
                  <a:pt x="621982" y="1581391"/>
                </a:lnTo>
              </a:path>
              <a:path w="2007870" h="1581785">
                <a:moveTo>
                  <a:pt x="807935" y="1344726"/>
                </a:moveTo>
                <a:lnTo>
                  <a:pt x="807935" y="1581391"/>
                </a:lnTo>
              </a:path>
              <a:path w="2007870" h="1581785">
                <a:moveTo>
                  <a:pt x="622287" y="1524190"/>
                </a:moveTo>
                <a:lnTo>
                  <a:pt x="806996" y="1524190"/>
                </a:lnTo>
              </a:path>
              <a:path w="2007870" h="1581785">
                <a:moveTo>
                  <a:pt x="478942" y="1524190"/>
                </a:moveTo>
                <a:lnTo>
                  <a:pt x="550481" y="1524190"/>
                </a:lnTo>
              </a:path>
              <a:path w="2007870" h="1581785">
                <a:moveTo>
                  <a:pt x="881684" y="1524190"/>
                </a:moveTo>
                <a:lnTo>
                  <a:pt x="953236" y="1524190"/>
                </a:lnTo>
              </a:path>
              <a:path w="2007870" h="1581785">
                <a:moveTo>
                  <a:pt x="1179766" y="1344726"/>
                </a:moveTo>
                <a:lnTo>
                  <a:pt x="1179766" y="1581391"/>
                </a:lnTo>
              </a:path>
              <a:path w="2007870" h="1581785">
                <a:moveTo>
                  <a:pt x="1234147" y="1344726"/>
                </a:moveTo>
                <a:lnTo>
                  <a:pt x="1234147" y="1581391"/>
                </a:lnTo>
              </a:path>
              <a:path w="2007870" h="1581785">
                <a:moveTo>
                  <a:pt x="1099642" y="1524190"/>
                </a:moveTo>
                <a:lnTo>
                  <a:pt x="1042428" y="1524190"/>
                </a:lnTo>
              </a:path>
              <a:path w="2007870" h="1581785">
                <a:moveTo>
                  <a:pt x="1291323" y="1524190"/>
                </a:moveTo>
                <a:lnTo>
                  <a:pt x="1492910" y="1524190"/>
                </a:lnTo>
              </a:path>
              <a:path w="2007870" h="1581785">
                <a:moveTo>
                  <a:pt x="1179766" y="1524190"/>
                </a:moveTo>
                <a:lnTo>
                  <a:pt x="1234147" y="1524190"/>
                </a:lnTo>
              </a:path>
            </a:pathLst>
          </a:custGeom>
          <a:ln w="6108">
            <a:solidFill>
              <a:srgbClr val="000000"/>
            </a:solidFill>
          </a:ln>
        </xdr:spPr>
      </xdr:sp>
      <xdr:sp macro="" textlink="">
        <xdr:nvSpPr>
          <xdr:cNvPr id="185" name="Shape 684">
            <a:extLst>
              <a:ext uri="{FF2B5EF4-FFF2-40B4-BE49-F238E27FC236}">
                <a16:creationId xmlns:a16="http://schemas.microsoft.com/office/drawing/2014/main" id="{5B56D264-54B5-B45C-A40E-4EBE245F7ED8}"/>
              </a:ext>
            </a:extLst>
          </xdr:cNvPr>
          <xdr:cNvSpPr/>
        </xdr:nvSpPr>
        <xdr:spPr>
          <a:xfrm>
            <a:off x="-3" y="9"/>
            <a:ext cx="2030095" cy="1587500"/>
          </a:xfrm>
          <a:custGeom>
            <a:avLst/>
            <a:gdLst/>
            <a:ahLst/>
            <a:cxnLst/>
            <a:rect l="0" t="0" r="0" b="0"/>
            <a:pathLst>
              <a:path w="2030095" h="1587500">
                <a:moveTo>
                  <a:pt x="72732" y="891946"/>
                </a:moveTo>
                <a:lnTo>
                  <a:pt x="0" y="891946"/>
                </a:lnTo>
                <a:lnTo>
                  <a:pt x="0" y="901611"/>
                </a:lnTo>
                <a:lnTo>
                  <a:pt x="31267" y="901611"/>
                </a:lnTo>
                <a:lnTo>
                  <a:pt x="31267" y="939914"/>
                </a:lnTo>
                <a:lnTo>
                  <a:pt x="0" y="939914"/>
                </a:lnTo>
                <a:lnTo>
                  <a:pt x="0" y="949604"/>
                </a:lnTo>
                <a:lnTo>
                  <a:pt x="72732" y="949604"/>
                </a:lnTo>
                <a:lnTo>
                  <a:pt x="72732" y="939914"/>
                </a:lnTo>
                <a:lnTo>
                  <a:pt x="39420" y="939914"/>
                </a:lnTo>
                <a:lnTo>
                  <a:pt x="39420" y="901611"/>
                </a:lnTo>
                <a:lnTo>
                  <a:pt x="72732" y="901611"/>
                </a:lnTo>
                <a:lnTo>
                  <a:pt x="72732" y="891946"/>
                </a:lnTo>
                <a:close/>
              </a:path>
              <a:path w="2030095" h="1587500">
                <a:moveTo>
                  <a:pt x="119786" y="1253147"/>
                </a:moveTo>
                <a:lnTo>
                  <a:pt x="79362" y="1253147"/>
                </a:lnTo>
                <a:lnTo>
                  <a:pt x="99555" y="1354213"/>
                </a:lnTo>
                <a:lnTo>
                  <a:pt x="119786" y="1253147"/>
                </a:lnTo>
                <a:close/>
              </a:path>
              <a:path w="2030095" h="1587500">
                <a:moveTo>
                  <a:pt x="119786" y="591439"/>
                </a:moveTo>
                <a:lnTo>
                  <a:pt x="99555" y="490372"/>
                </a:lnTo>
                <a:lnTo>
                  <a:pt x="79362" y="591439"/>
                </a:lnTo>
                <a:lnTo>
                  <a:pt x="119786" y="591439"/>
                </a:lnTo>
                <a:close/>
              </a:path>
              <a:path w="2030095" h="1587500">
                <a:moveTo>
                  <a:pt x="244348" y="892048"/>
                </a:moveTo>
                <a:lnTo>
                  <a:pt x="171615" y="892048"/>
                </a:lnTo>
                <a:lnTo>
                  <a:pt x="171615" y="901217"/>
                </a:lnTo>
                <a:lnTo>
                  <a:pt x="230593" y="901217"/>
                </a:lnTo>
                <a:lnTo>
                  <a:pt x="230593" y="901433"/>
                </a:lnTo>
                <a:lnTo>
                  <a:pt x="171615" y="939736"/>
                </a:lnTo>
                <a:lnTo>
                  <a:pt x="171615" y="950023"/>
                </a:lnTo>
                <a:lnTo>
                  <a:pt x="244348" y="950023"/>
                </a:lnTo>
                <a:lnTo>
                  <a:pt x="244348" y="940854"/>
                </a:lnTo>
                <a:lnTo>
                  <a:pt x="185966" y="940854"/>
                </a:lnTo>
                <a:lnTo>
                  <a:pt x="185966" y="940650"/>
                </a:lnTo>
                <a:lnTo>
                  <a:pt x="244348" y="902652"/>
                </a:lnTo>
                <a:lnTo>
                  <a:pt x="244348" y="892048"/>
                </a:lnTo>
                <a:close/>
              </a:path>
              <a:path w="2030095" h="1587500">
                <a:moveTo>
                  <a:pt x="291401" y="1157617"/>
                </a:moveTo>
                <a:lnTo>
                  <a:pt x="250977" y="1157617"/>
                </a:lnTo>
                <a:lnTo>
                  <a:pt x="271195" y="1258684"/>
                </a:lnTo>
                <a:lnTo>
                  <a:pt x="291401" y="1157617"/>
                </a:lnTo>
                <a:close/>
              </a:path>
              <a:path w="2030095" h="1587500">
                <a:moveTo>
                  <a:pt x="291401" y="684695"/>
                </a:moveTo>
                <a:lnTo>
                  <a:pt x="271195" y="583628"/>
                </a:lnTo>
                <a:lnTo>
                  <a:pt x="250977" y="684695"/>
                </a:lnTo>
                <a:lnTo>
                  <a:pt x="291401" y="684695"/>
                </a:lnTo>
                <a:close/>
              </a:path>
              <a:path w="2030095" h="1587500">
                <a:moveTo>
                  <a:pt x="308406" y="173685"/>
                </a:moveTo>
                <a:lnTo>
                  <a:pt x="301777" y="173685"/>
                </a:lnTo>
                <a:lnTo>
                  <a:pt x="299847" y="184581"/>
                </a:lnTo>
                <a:lnTo>
                  <a:pt x="290868" y="187236"/>
                </a:lnTo>
                <a:lnTo>
                  <a:pt x="280974" y="187236"/>
                </a:lnTo>
                <a:lnTo>
                  <a:pt x="280974" y="194170"/>
                </a:lnTo>
                <a:lnTo>
                  <a:pt x="299745" y="194170"/>
                </a:lnTo>
                <a:lnTo>
                  <a:pt x="299745" y="245973"/>
                </a:lnTo>
                <a:lnTo>
                  <a:pt x="308406" y="245973"/>
                </a:lnTo>
                <a:lnTo>
                  <a:pt x="308406" y="173685"/>
                </a:lnTo>
                <a:close/>
              </a:path>
              <a:path w="2030095" h="1587500">
                <a:moveTo>
                  <a:pt x="375005" y="216496"/>
                </a:moveTo>
                <a:lnTo>
                  <a:pt x="370725" y="209562"/>
                </a:lnTo>
                <a:lnTo>
                  <a:pt x="361950" y="207632"/>
                </a:lnTo>
                <a:lnTo>
                  <a:pt x="361950" y="207416"/>
                </a:lnTo>
                <a:lnTo>
                  <a:pt x="367461" y="204876"/>
                </a:lnTo>
                <a:lnTo>
                  <a:pt x="371944" y="199364"/>
                </a:lnTo>
                <a:lnTo>
                  <a:pt x="371944" y="193040"/>
                </a:lnTo>
                <a:lnTo>
                  <a:pt x="370268" y="184378"/>
                </a:lnTo>
                <a:lnTo>
                  <a:pt x="365633" y="178346"/>
                </a:lnTo>
                <a:lnTo>
                  <a:pt x="358660" y="174815"/>
                </a:lnTo>
                <a:lnTo>
                  <a:pt x="349923" y="173672"/>
                </a:lnTo>
                <a:lnTo>
                  <a:pt x="340398" y="175387"/>
                </a:lnTo>
                <a:lnTo>
                  <a:pt x="333514" y="180187"/>
                </a:lnTo>
                <a:lnTo>
                  <a:pt x="329260" y="187566"/>
                </a:lnTo>
                <a:lnTo>
                  <a:pt x="327596" y="197027"/>
                </a:lnTo>
                <a:lnTo>
                  <a:pt x="336245" y="197027"/>
                </a:lnTo>
                <a:lnTo>
                  <a:pt x="336346" y="188556"/>
                </a:lnTo>
                <a:lnTo>
                  <a:pt x="340423" y="181317"/>
                </a:lnTo>
                <a:lnTo>
                  <a:pt x="357263" y="181317"/>
                </a:lnTo>
                <a:lnTo>
                  <a:pt x="362775" y="185394"/>
                </a:lnTo>
                <a:lnTo>
                  <a:pt x="362775" y="200787"/>
                </a:lnTo>
                <a:lnTo>
                  <a:pt x="356336" y="204774"/>
                </a:lnTo>
                <a:lnTo>
                  <a:pt x="345224" y="204673"/>
                </a:lnTo>
                <a:lnTo>
                  <a:pt x="345224" y="212013"/>
                </a:lnTo>
                <a:lnTo>
                  <a:pt x="348691" y="211709"/>
                </a:lnTo>
                <a:lnTo>
                  <a:pt x="358990" y="211709"/>
                </a:lnTo>
                <a:lnTo>
                  <a:pt x="365836" y="216496"/>
                </a:lnTo>
                <a:lnTo>
                  <a:pt x="365836" y="234340"/>
                </a:lnTo>
                <a:lnTo>
                  <a:pt x="358597" y="239534"/>
                </a:lnTo>
                <a:lnTo>
                  <a:pt x="340233" y="239534"/>
                </a:lnTo>
                <a:lnTo>
                  <a:pt x="335038" y="233019"/>
                </a:lnTo>
                <a:lnTo>
                  <a:pt x="334721" y="223634"/>
                </a:lnTo>
                <a:lnTo>
                  <a:pt x="326059" y="223634"/>
                </a:lnTo>
                <a:lnTo>
                  <a:pt x="327621" y="233591"/>
                </a:lnTo>
                <a:lnTo>
                  <a:pt x="332460" y="240995"/>
                </a:lnTo>
                <a:lnTo>
                  <a:pt x="340118" y="245605"/>
                </a:lnTo>
                <a:lnTo>
                  <a:pt x="350113" y="247192"/>
                </a:lnTo>
                <a:lnTo>
                  <a:pt x="359740" y="245783"/>
                </a:lnTo>
                <a:lnTo>
                  <a:pt x="367652" y="241604"/>
                </a:lnTo>
                <a:lnTo>
                  <a:pt x="373024" y="234708"/>
                </a:lnTo>
                <a:lnTo>
                  <a:pt x="375005" y="225158"/>
                </a:lnTo>
                <a:lnTo>
                  <a:pt x="375005" y="216496"/>
                </a:lnTo>
                <a:close/>
              </a:path>
              <a:path w="2030095" h="1587500">
                <a:moveTo>
                  <a:pt x="492747" y="273405"/>
                </a:moveTo>
                <a:lnTo>
                  <a:pt x="391680" y="253187"/>
                </a:lnTo>
                <a:lnTo>
                  <a:pt x="391680" y="293611"/>
                </a:lnTo>
                <a:lnTo>
                  <a:pt x="492747" y="273405"/>
                </a:lnTo>
                <a:close/>
              </a:path>
              <a:path w="2030095" h="1587500">
                <a:moveTo>
                  <a:pt x="590537" y="79933"/>
                </a:moveTo>
                <a:lnTo>
                  <a:pt x="489470" y="100152"/>
                </a:lnTo>
                <a:lnTo>
                  <a:pt x="590537" y="120357"/>
                </a:lnTo>
                <a:lnTo>
                  <a:pt x="590537" y="79933"/>
                </a:lnTo>
                <a:close/>
              </a:path>
              <a:path w="2030095" h="1587500">
                <a:moveTo>
                  <a:pt x="633844" y="253187"/>
                </a:moveTo>
                <a:lnTo>
                  <a:pt x="532777" y="273405"/>
                </a:lnTo>
                <a:lnTo>
                  <a:pt x="633844" y="293611"/>
                </a:lnTo>
                <a:lnTo>
                  <a:pt x="633844" y="253187"/>
                </a:lnTo>
                <a:close/>
              </a:path>
              <a:path w="2030095" h="1587500">
                <a:moveTo>
                  <a:pt x="660019" y="1567141"/>
                </a:moveTo>
                <a:lnTo>
                  <a:pt x="558952" y="1546910"/>
                </a:lnTo>
                <a:lnTo>
                  <a:pt x="558952" y="1587322"/>
                </a:lnTo>
                <a:lnTo>
                  <a:pt x="660019" y="1567141"/>
                </a:lnTo>
                <a:close/>
              </a:path>
              <a:path w="2030095" h="1587500">
                <a:moveTo>
                  <a:pt x="755891" y="1517180"/>
                </a:moveTo>
                <a:lnTo>
                  <a:pt x="754532" y="1508823"/>
                </a:lnTo>
                <a:lnTo>
                  <a:pt x="754507" y="1508620"/>
                </a:lnTo>
                <a:lnTo>
                  <a:pt x="754380" y="1507883"/>
                </a:lnTo>
                <a:lnTo>
                  <a:pt x="750570" y="1501381"/>
                </a:lnTo>
                <a:lnTo>
                  <a:pt x="750036" y="1500441"/>
                </a:lnTo>
                <a:lnTo>
                  <a:pt x="746721" y="1498104"/>
                </a:lnTo>
                <a:lnTo>
                  <a:pt x="746721" y="1508823"/>
                </a:lnTo>
                <a:lnTo>
                  <a:pt x="746721" y="1526349"/>
                </a:lnTo>
                <a:lnTo>
                  <a:pt x="741527" y="1533766"/>
                </a:lnTo>
                <a:lnTo>
                  <a:pt x="722680" y="1533766"/>
                </a:lnTo>
                <a:lnTo>
                  <a:pt x="717194" y="1526641"/>
                </a:lnTo>
                <a:lnTo>
                  <a:pt x="717194" y="1508620"/>
                </a:lnTo>
                <a:lnTo>
                  <a:pt x="721144" y="1503210"/>
                </a:lnTo>
                <a:lnTo>
                  <a:pt x="722490" y="1501381"/>
                </a:lnTo>
                <a:lnTo>
                  <a:pt x="742048" y="1501381"/>
                </a:lnTo>
                <a:lnTo>
                  <a:pt x="746721" y="1508823"/>
                </a:lnTo>
                <a:lnTo>
                  <a:pt x="746721" y="1498104"/>
                </a:lnTo>
                <a:lnTo>
                  <a:pt x="743077" y="1495513"/>
                </a:lnTo>
                <a:lnTo>
                  <a:pt x="733780" y="1493735"/>
                </a:lnTo>
                <a:lnTo>
                  <a:pt x="725944" y="1493735"/>
                </a:lnTo>
                <a:lnTo>
                  <a:pt x="719836" y="1496606"/>
                </a:lnTo>
                <a:lnTo>
                  <a:pt x="715886" y="1503006"/>
                </a:lnTo>
                <a:lnTo>
                  <a:pt x="715759" y="1503210"/>
                </a:lnTo>
                <a:lnTo>
                  <a:pt x="733069" y="1475613"/>
                </a:lnTo>
                <a:lnTo>
                  <a:pt x="739889" y="1475613"/>
                </a:lnTo>
                <a:lnTo>
                  <a:pt x="744385" y="1479892"/>
                </a:lnTo>
                <a:lnTo>
                  <a:pt x="745210" y="1486420"/>
                </a:lnTo>
                <a:lnTo>
                  <a:pt x="753859" y="1486420"/>
                </a:lnTo>
                <a:lnTo>
                  <a:pt x="751916" y="1478584"/>
                </a:lnTo>
                <a:lnTo>
                  <a:pt x="749769" y="1475613"/>
                </a:lnTo>
                <a:lnTo>
                  <a:pt x="747750" y="1472793"/>
                </a:lnTo>
                <a:lnTo>
                  <a:pt x="741553" y="1469212"/>
                </a:lnTo>
                <a:lnTo>
                  <a:pt x="733488" y="1467980"/>
                </a:lnTo>
                <a:lnTo>
                  <a:pt x="720648" y="1471231"/>
                </a:lnTo>
                <a:lnTo>
                  <a:pt x="712470" y="1479892"/>
                </a:lnTo>
                <a:lnTo>
                  <a:pt x="708164" y="1492250"/>
                </a:lnTo>
                <a:lnTo>
                  <a:pt x="706907" y="1506689"/>
                </a:lnTo>
                <a:lnTo>
                  <a:pt x="707682" y="1517180"/>
                </a:lnTo>
                <a:lnTo>
                  <a:pt x="707783" y="1518513"/>
                </a:lnTo>
                <a:lnTo>
                  <a:pt x="711314" y="1529727"/>
                </a:lnTo>
                <a:lnTo>
                  <a:pt x="718845" y="1538109"/>
                </a:lnTo>
                <a:lnTo>
                  <a:pt x="731761" y="1541411"/>
                </a:lnTo>
                <a:lnTo>
                  <a:pt x="743216" y="1539087"/>
                </a:lnTo>
                <a:lnTo>
                  <a:pt x="749973" y="1533766"/>
                </a:lnTo>
                <a:lnTo>
                  <a:pt x="750658" y="1533220"/>
                </a:lnTo>
                <a:lnTo>
                  <a:pt x="754684" y="1525384"/>
                </a:lnTo>
                <a:lnTo>
                  <a:pt x="755891" y="1517180"/>
                </a:lnTo>
                <a:close/>
              </a:path>
              <a:path w="2030095" h="1587500">
                <a:moveTo>
                  <a:pt x="811517" y="1517370"/>
                </a:moveTo>
                <a:lnTo>
                  <a:pt x="809675" y="1506550"/>
                </a:lnTo>
                <a:lnTo>
                  <a:pt x="804659" y="1498815"/>
                </a:lnTo>
                <a:lnTo>
                  <a:pt x="797242" y="1494167"/>
                </a:lnTo>
                <a:lnTo>
                  <a:pt x="788187" y="1492618"/>
                </a:lnTo>
                <a:lnTo>
                  <a:pt x="783310" y="1492618"/>
                </a:lnTo>
                <a:lnTo>
                  <a:pt x="777900" y="1494243"/>
                </a:lnTo>
                <a:lnTo>
                  <a:pt x="774738" y="1497812"/>
                </a:lnTo>
                <a:lnTo>
                  <a:pt x="774534" y="1497609"/>
                </a:lnTo>
                <a:lnTo>
                  <a:pt x="778408" y="1476819"/>
                </a:lnTo>
                <a:lnTo>
                  <a:pt x="807542" y="1476819"/>
                </a:lnTo>
                <a:lnTo>
                  <a:pt x="807542" y="1469174"/>
                </a:lnTo>
                <a:lnTo>
                  <a:pt x="771893" y="1469174"/>
                </a:lnTo>
                <a:lnTo>
                  <a:pt x="765162" y="1506677"/>
                </a:lnTo>
                <a:lnTo>
                  <a:pt x="772604" y="1507083"/>
                </a:lnTo>
                <a:lnTo>
                  <a:pt x="775970" y="1502994"/>
                </a:lnTo>
                <a:lnTo>
                  <a:pt x="780542" y="1500251"/>
                </a:lnTo>
                <a:lnTo>
                  <a:pt x="795718" y="1500251"/>
                </a:lnTo>
                <a:lnTo>
                  <a:pt x="802347" y="1507083"/>
                </a:lnTo>
                <a:lnTo>
                  <a:pt x="802347" y="1528165"/>
                </a:lnTo>
                <a:lnTo>
                  <a:pt x="795324" y="1533766"/>
                </a:lnTo>
                <a:lnTo>
                  <a:pt x="778408" y="1533766"/>
                </a:lnTo>
                <a:lnTo>
                  <a:pt x="772401" y="1528165"/>
                </a:lnTo>
                <a:lnTo>
                  <a:pt x="771893" y="1520723"/>
                </a:lnTo>
                <a:lnTo>
                  <a:pt x="763231" y="1520723"/>
                </a:lnTo>
                <a:lnTo>
                  <a:pt x="765187" y="1529461"/>
                </a:lnTo>
                <a:lnTo>
                  <a:pt x="770153" y="1535950"/>
                </a:lnTo>
                <a:lnTo>
                  <a:pt x="777405" y="1540002"/>
                </a:lnTo>
                <a:lnTo>
                  <a:pt x="786257" y="1541399"/>
                </a:lnTo>
                <a:lnTo>
                  <a:pt x="797293" y="1539367"/>
                </a:lnTo>
                <a:lnTo>
                  <a:pt x="805192" y="1533969"/>
                </a:lnTo>
                <a:lnTo>
                  <a:pt x="809929" y="1526286"/>
                </a:lnTo>
                <a:lnTo>
                  <a:pt x="811517" y="1517370"/>
                </a:lnTo>
                <a:close/>
              </a:path>
              <a:path w="2030095" h="1587500">
                <a:moveTo>
                  <a:pt x="953312" y="1546910"/>
                </a:moveTo>
                <a:lnTo>
                  <a:pt x="852246" y="1567141"/>
                </a:lnTo>
                <a:lnTo>
                  <a:pt x="953312" y="1587322"/>
                </a:lnTo>
                <a:lnTo>
                  <a:pt x="953312" y="1546910"/>
                </a:lnTo>
                <a:close/>
              </a:path>
              <a:path w="2030095" h="1587500">
                <a:moveTo>
                  <a:pt x="1185316" y="64579"/>
                </a:moveTo>
                <a:lnTo>
                  <a:pt x="1146822" y="64579"/>
                </a:lnTo>
                <a:lnTo>
                  <a:pt x="1146822" y="0"/>
                </a:lnTo>
                <a:lnTo>
                  <a:pt x="1137132" y="0"/>
                </a:lnTo>
                <a:lnTo>
                  <a:pt x="1137132" y="72732"/>
                </a:lnTo>
                <a:lnTo>
                  <a:pt x="1185316" y="72732"/>
                </a:lnTo>
                <a:lnTo>
                  <a:pt x="1185316" y="64579"/>
                </a:lnTo>
                <a:close/>
              </a:path>
              <a:path w="2030095" h="1587500">
                <a:moveTo>
                  <a:pt x="1222121" y="1567141"/>
                </a:moveTo>
                <a:lnTo>
                  <a:pt x="1121054" y="1546910"/>
                </a:lnTo>
                <a:lnTo>
                  <a:pt x="1121054" y="1587322"/>
                </a:lnTo>
                <a:lnTo>
                  <a:pt x="1222121" y="1567141"/>
                </a:lnTo>
                <a:close/>
              </a:path>
              <a:path w="2030095" h="1587500">
                <a:moveTo>
                  <a:pt x="1377569" y="1546910"/>
                </a:moveTo>
                <a:lnTo>
                  <a:pt x="1276502" y="1567141"/>
                </a:lnTo>
                <a:lnTo>
                  <a:pt x="1377569" y="1587322"/>
                </a:lnTo>
                <a:lnTo>
                  <a:pt x="1377569" y="1546910"/>
                </a:lnTo>
                <a:close/>
              </a:path>
              <a:path w="2030095" h="1587500">
                <a:moveTo>
                  <a:pt x="1427226" y="1467967"/>
                </a:moveTo>
                <a:lnTo>
                  <a:pt x="1420596" y="1467967"/>
                </a:lnTo>
                <a:lnTo>
                  <a:pt x="1418666" y="1478876"/>
                </a:lnTo>
                <a:lnTo>
                  <a:pt x="1409700" y="1481518"/>
                </a:lnTo>
                <a:lnTo>
                  <a:pt x="1399806" y="1481518"/>
                </a:lnTo>
                <a:lnTo>
                  <a:pt x="1399806" y="1488440"/>
                </a:lnTo>
                <a:lnTo>
                  <a:pt x="1418577" y="1488440"/>
                </a:lnTo>
                <a:lnTo>
                  <a:pt x="1418577" y="1540192"/>
                </a:lnTo>
                <a:lnTo>
                  <a:pt x="1427226" y="1540192"/>
                </a:lnTo>
                <a:lnTo>
                  <a:pt x="1427226" y="1467967"/>
                </a:lnTo>
                <a:close/>
              </a:path>
              <a:path w="2030095" h="1587500">
                <a:moveTo>
                  <a:pt x="1499552" y="1502511"/>
                </a:moveTo>
                <a:lnTo>
                  <a:pt x="1497571" y="1485582"/>
                </a:lnTo>
                <a:lnTo>
                  <a:pt x="1492529" y="1475613"/>
                </a:lnTo>
                <a:lnTo>
                  <a:pt x="1492211" y="1474990"/>
                </a:lnTo>
                <a:lnTo>
                  <a:pt x="1489265" y="1472946"/>
                </a:lnTo>
                <a:lnTo>
                  <a:pt x="1489265" y="1483258"/>
                </a:lnTo>
                <a:lnTo>
                  <a:pt x="1489265" y="1500657"/>
                </a:lnTo>
                <a:lnTo>
                  <a:pt x="1483563" y="1507998"/>
                </a:lnTo>
                <a:lnTo>
                  <a:pt x="1466151" y="1507998"/>
                </a:lnTo>
                <a:lnTo>
                  <a:pt x="1460246" y="1500657"/>
                </a:lnTo>
                <a:lnTo>
                  <a:pt x="1460246" y="1483868"/>
                </a:lnTo>
                <a:lnTo>
                  <a:pt x="1464106" y="1475613"/>
                </a:lnTo>
                <a:lnTo>
                  <a:pt x="1484071" y="1475613"/>
                </a:lnTo>
                <a:lnTo>
                  <a:pt x="1489265" y="1483258"/>
                </a:lnTo>
                <a:lnTo>
                  <a:pt x="1489265" y="1472946"/>
                </a:lnTo>
                <a:lnTo>
                  <a:pt x="1484337" y="1469517"/>
                </a:lnTo>
                <a:lnTo>
                  <a:pt x="1474800" y="1467967"/>
                </a:lnTo>
                <a:lnTo>
                  <a:pt x="1465199" y="1469682"/>
                </a:lnTo>
                <a:lnTo>
                  <a:pt x="1457693" y="1474495"/>
                </a:lnTo>
                <a:lnTo>
                  <a:pt x="1452803" y="1481937"/>
                </a:lnTo>
                <a:lnTo>
                  <a:pt x="1451063" y="1491513"/>
                </a:lnTo>
                <a:lnTo>
                  <a:pt x="1452460" y="1500657"/>
                </a:lnTo>
                <a:lnTo>
                  <a:pt x="1452562" y="1501292"/>
                </a:lnTo>
                <a:lnTo>
                  <a:pt x="1456969" y="1508912"/>
                </a:lnTo>
                <a:lnTo>
                  <a:pt x="1464119" y="1513878"/>
                </a:lnTo>
                <a:lnTo>
                  <a:pt x="1473885" y="1515643"/>
                </a:lnTo>
                <a:lnTo>
                  <a:pt x="1480908" y="1515643"/>
                </a:lnTo>
                <a:lnTo>
                  <a:pt x="1487335" y="1511782"/>
                </a:lnTo>
                <a:lnTo>
                  <a:pt x="1489341" y="1507998"/>
                </a:lnTo>
                <a:lnTo>
                  <a:pt x="1490472" y="1505877"/>
                </a:lnTo>
                <a:lnTo>
                  <a:pt x="1490586" y="1505661"/>
                </a:lnTo>
                <a:lnTo>
                  <a:pt x="1490802" y="1505877"/>
                </a:lnTo>
                <a:lnTo>
                  <a:pt x="1489519" y="1518094"/>
                </a:lnTo>
                <a:lnTo>
                  <a:pt x="1486420" y="1526806"/>
                </a:lnTo>
                <a:lnTo>
                  <a:pt x="1481429" y="1532026"/>
                </a:lnTo>
                <a:lnTo>
                  <a:pt x="1474482" y="1533766"/>
                </a:lnTo>
                <a:lnTo>
                  <a:pt x="1467561" y="1533766"/>
                </a:lnTo>
                <a:lnTo>
                  <a:pt x="1461871" y="1529816"/>
                </a:lnTo>
                <a:lnTo>
                  <a:pt x="1461249" y="1522768"/>
                </a:lnTo>
                <a:lnTo>
                  <a:pt x="1452600" y="1522768"/>
                </a:lnTo>
                <a:lnTo>
                  <a:pt x="1454785" y="1530921"/>
                </a:lnTo>
                <a:lnTo>
                  <a:pt x="1459407" y="1536750"/>
                </a:lnTo>
                <a:lnTo>
                  <a:pt x="1466100" y="1540243"/>
                </a:lnTo>
                <a:lnTo>
                  <a:pt x="1474482" y="1541411"/>
                </a:lnTo>
                <a:lnTo>
                  <a:pt x="1485785" y="1538833"/>
                </a:lnTo>
                <a:lnTo>
                  <a:pt x="1499273" y="1505661"/>
                </a:lnTo>
                <a:lnTo>
                  <a:pt x="1499552" y="1502511"/>
                </a:lnTo>
                <a:close/>
              </a:path>
              <a:path w="2030095" h="1587500">
                <a:moveTo>
                  <a:pt x="1780095" y="273405"/>
                </a:moveTo>
                <a:lnTo>
                  <a:pt x="1679028" y="253187"/>
                </a:lnTo>
                <a:lnTo>
                  <a:pt x="1679028" y="293611"/>
                </a:lnTo>
                <a:lnTo>
                  <a:pt x="1780095" y="273405"/>
                </a:lnTo>
                <a:close/>
              </a:path>
              <a:path w="2030095" h="1587500">
                <a:moveTo>
                  <a:pt x="1823415" y="100152"/>
                </a:moveTo>
                <a:lnTo>
                  <a:pt x="1722348" y="79933"/>
                </a:lnTo>
                <a:lnTo>
                  <a:pt x="1722348" y="120357"/>
                </a:lnTo>
                <a:lnTo>
                  <a:pt x="1823415" y="100152"/>
                </a:lnTo>
                <a:close/>
              </a:path>
              <a:path w="2030095" h="1587500">
                <a:moveTo>
                  <a:pt x="1921217" y="253187"/>
                </a:moveTo>
                <a:lnTo>
                  <a:pt x="1820125" y="273405"/>
                </a:lnTo>
                <a:lnTo>
                  <a:pt x="1921217" y="293611"/>
                </a:lnTo>
                <a:lnTo>
                  <a:pt x="1921217" y="253187"/>
                </a:lnTo>
                <a:close/>
              </a:path>
              <a:path w="2030095" h="1587500">
                <a:moveTo>
                  <a:pt x="1963204" y="173685"/>
                </a:moveTo>
                <a:lnTo>
                  <a:pt x="1956574" y="173685"/>
                </a:lnTo>
                <a:lnTo>
                  <a:pt x="1954631" y="184581"/>
                </a:lnTo>
                <a:lnTo>
                  <a:pt x="1945652" y="187236"/>
                </a:lnTo>
                <a:lnTo>
                  <a:pt x="1935772" y="187236"/>
                </a:lnTo>
                <a:lnTo>
                  <a:pt x="1935772" y="194170"/>
                </a:lnTo>
                <a:lnTo>
                  <a:pt x="1954530" y="194170"/>
                </a:lnTo>
                <a:lnTo>
                  <a:pt x="1954530" y="245973"/>
                </a:lnTo>
                <a:lnTo>
                  <a:pt x="1963204" y="245973"/>
                </a:lnTo>
                <a:lnTo>
                  <a:pt x="1963204" y="173685"/>
                </a:lnTo>
                <a:close/>
              </a:path>
              <a:path w="2030095" h="1587500">
                <a:moveTo>
                  <a:pt x="2029802" y="216496"/>
                </a:moveTo>
                <a:lnTo>
                  <a:pt x="2025523" y="209562"/>
                </a:lnTo>
                <a:lnTo>
                  <a:pt x="2016747" y="207632"/>
                </a:lnTo>
                <a:lnTo>
                  <a:pt x="2016747" y="207416"/>
                </a:lnTo>
                <a:lnTo>
                  <a:pt x="2022271" y="204876"/>
                </a:lnTo>
                <a:lnTo>
                  <a:pt x="2026754" y="199364"/>
                </a:lnTo>
                <a:lnTo>
                  <a:pt x="2026754" y="193040"/>
                </a:lnTo>
                <a:lnTo>
                  <a:pt x="2025078" y="184378"/>
                </a:lnTo>
                <a:lnTo>
                  <a:pt x="2020443" y="178346"/>
                </a:lnTo>
                <a:lnTo>
                  <a:pt x="2013458" y="174815"/>
                </a:lnTo>
                <a:lnTo>
                  <a:pt x="2004733" y="173672"/>
                </a:lnTo>
                <a:lnTo>
                  <a:pt x="1995208" y="175387"/>
                </a:lnTo>
                <a:lnTo>
                  <a:pt x="1988324" y="180187"/>
                </a:lnTo>
                <a:lnTo>
                  <a:pt x="1984057" y="187566"/>
                </a:lnTo>
                <a:lnTo>
                  <a:pt x="1982393" y="197027"/>
                </a:lnTo>
                <a:lnTo>
                  <a:pt x="1991055" y="197027"/>
                </a:lnTo>
                <a:lnTo>
                  <a:pt x="1991156" y="188556"/>
                </a:lnTo>
                <a:lnTo>
                  <a:pt x="1995233" y="181317"/>
                </a:lnTo>
                <a:lnTo>
                  <a:pt x="2012061" y="181317"/>
                </a:lnTo>
                <a:lnTo>
                  <a:pt x="2017560" y="185394"/>
                </a:lnTo>
                <a:lnTo>
                  <a:pt x="2017560" y="200787"/>
                </a:lnTo>
                <a:lnTo>
                  <a:pt x="2011146" y="204774"/>
                </a:lnTo>
                <a:lnTo>
                  <a:pt x="2000021" y="204673"/>
                </a:lnTo>
                <a:lnTo>
                  <a:pt x="2000021" y="212013"/>
                </a:lnTo>
                <a:lnTo>
                  <a:pt x="2003488" y="211709"/>
                </a:lnTo>
                <a:lnTo>
                  <a:pt x="2013788" y="211709"/>
                </a:lnTo>
                <a:lnTo>
                  <a:pt x="2020633" y="216496"/>
                </a:lnTo>
                <a:lnTo>
                  <a:pt x="2020633" y="234340"/>
                </a:lnTo>
                <a:lnTo>
                  <a:pt x="2013381" y="239534"/>
                </a:lnTo>
                <a:lnTo>
                  <a:pt x="1995030" y="239534"/>
                </a:lnTo>
                <a:lnTo>
                  <a:pt x="1989836" y="233019"/>
                </a:lnTo>
                <a:lnTo>
                  <a:pt x="1989531" y="223634"/>
                </a:lnTo>
                <a:lnTo>
                  <a:pt x="1980869" y="223634"/>
                </a:lnTo>
                <a:lnTo>
                  <a:pt x="1982431" y="233591"/>
                </a:lnTo>
                <a:lnTo>
                  <a:pt x="1987270" y="240995"/>
                </a:lnTo>
                <a:lnTo>
                  <a:pt x="1994928" y="245605"/>
                </a:lnTo>
                <a:lnTo>
                  <a:pt x="2004910" y="247192"/>
                </a:lnTo>
                <a:lnTo>
                  <a:pt x="2014524" y="245783"/>
                </a:lnTo>
                <a:lnTo>
                  <a:pt x="2022449" y="241604"/>
                </a:lnTo>
                <a:lnTo>
                  <a:pt x="2027821" y="234708"/>
                </a:lnTo>
                <a:lnTo>
                  <a:pt x="2029802" y="225158"/>
                </a:lnTo>
                <a:lnTo>
                  <a:pt x="2029802" y="216496"/>
                </a:lnTo>
                <a:close/>
              </a:path>
            </a:pathLst>
          </a:custGeom>
          <a:solidFill>
            <a:srgbClr val="000000"/>
          </a:solidFill>
        </xdr:spPr>
      </xdr:sp>
    </xdr:grpSp>
    <xdr:clientData/>
  </xdr:oneCellAnchor>
  <xdr:oneCellAnchor>
    <xdr:from>
      <xdr:col>0</xdr:col>
      <xdr:colOff>61426</xdr:colOff>
      <xdr:row>165</xdr:row>
      <xdr:rowOff>2215192</xdr:rowOff>
    </xdr:from>
    <xdr:ext cx="1826895" cy="554355"/>
    <xdr:grpSp>
      <xdr:nvGrpSpPr>
        <xdr:cNvPr id="186" name="Group 685">
          <a:extLst>
            <a:ext uri="{FF2B5EF4-FFF2-40B4-BE49-F238E27FC236}">
              <a16:creationId xmlns:a16="http://schemas.microsoft.com/office/drawing/2014/main" id="{086AE2B2-66D8-46E2-AA00-5D8CD8C17203}"/>
            </a:ext>
          </a:extLst>
        </xdr:cNvPr>
        <xdr:cNvGrpSpPr/>
      </xdr:nvGrpSpPr>
      <xdr:grpSpPr>
        <a:xfrm>
          <a:off x="61426" y="41448667"/>
          <a:ext cx="1826895" cy="554355"/>
          <a:chOff x="0" y="0"/>
          <a:chExt cx="1826895" cy="554355"/>
        </a:xfrm>
      </xdr:grpSpPr>
      <xdr:sp macro="" textlink="">
        <xdr:nvSpPr>
          <xdr:cNvPr id="187" name="Shape 686">
            <a:extLst>
              <a:ext uri="{FF2B5EF4-FFF2-40B4-BE49-F238E27FC236}">
                <a16:creationId xmlns:a16="http://schemas.microsoft.com/office/drawing/2014/main" id="{14CB229B-6C13-DC24-400C-87B62CA2B664}"/>
              </a:ext>
            </a:extLst>
          </xdr:cNvPr>
          <xdr:cNvSpPr/>
        </xdr:nvSpPr>
        <xdr:spPr>
          <a:xfrm>
            <a:off x="494012" y="131646"/>
            <a:ext cx="1327785" cy="281940"/>
          </a:xfrm>
          <a:custGeom>
            <a:avLst/>
            <a:gdLst/>
            <a:ahLst/>
            <a:cxnLst/>
            <a:rect l="0" t="0" r="0" b="0"/>
            <a:pathLst>
              <a:path w="1327785" h="281940">
                <a:moveTo>
                  <a:pt x="171615" y="214630"/>
                </a:moveTo>
                <a:lnTo>
                  <a:pt x="40055" y="214630"/>
                </a:lnTo>
                <a:lnTo>
                  <a:pt x="40055" y="218440"/>
                </a:lnTo>
                <a:lnTo>
                  <a:pt x="43611" y="222250"/>
                </a:lnTo>
                <a:lnTo>
                  <a:pt x="64122" y="223520"/>
                </a:lnTo>
                <a:lnTo>
                  <a:pt x="70065" y="229870"/>
                </a:lnTo>
                <a:lnTo>
                  <a:pt x="70065" y="246380"/>
                </a:lnTo>
                <a:lnTo>
                  <a:pt x="72880" y="260350"/>
                </a:lnTo>
                <a:lnTo>
                  <a:pt x="80549" y="271780"/>
                </a:lnTo>
                <a:lnTo>
                  <a:pt x="91915" y="279400"/>
                </a:lnTo>
                <a:lnTo>
                  <a:pt x="105816" y="281940"/>
                </a:lnTo>
                <a:lnTo>
                  <a:pt x="119743" y="279400"/>
                </a:lnTo>
                <a:lnTo>
                  <a:pt x="131114" y="271780"/>
                </a:lnTo>
                <a:lnTo>
                  <a:pt x="138781" y="260350"/>
                </a:lnTo>
                <a:lnTo>
                  <a:pt x="141592" y="246380"/>
                </a:lnTo>
                <a:lnTo>
                  <a:pt x="141592" y="229870"/>
                </a:lnTo>
                <a:lnTo>
                  <a:pt x="147561" y="223520"/>
                </a:lnTo>
                <a:lnTo>
                  <a:pt x="168033" y="222250"/>
                </a:lnTo>
                <a:lnTo>
                  <a:pt x="171615" y="218440"/>
                </a:lnTo>
                <a:lnTo>
                  <a:pt x="171615" y="214630"/>
                </a:lnTo>
                <a:close/>
              </a:path>
              <a:path w="1327785" h="281940">
                <a:moveTo>
                  <a:pt x="357555" y="212090"/>
                </a:moveTo>
                <a:lnTo>
                  <a:pt x="225983" y="212090"/>
                </a:lnTo>
                <a:lnTo>
                  <a:pt x="225983" y="218440"/>
                </a:lnTo>
                <a:lnTo>
                  <a:pt x="229552" y="222250"/>
                </a:lnTo>
                <a:lnTo>
                  <a:pt x="250037" y="223520"/>
                </a:lnTo>
                <a:lnTo>
                  <a:pt x="256006" y="229870"/>
                </a:lnTo>
                <a:lnTo>
                  <a:pt x="256006" y="246380"/>
                </a:lnTo>
                <a:lnTo>
                  <a:pt x="258815" y="260350"/>
                </a:lnTo>
                <a:lnTo>
                  <a:pt x="266477" y="271780"/>
                </a:lnTo>
                <a:lnTo>
                  <a:pt x="277845" y="279400"/>
                </a:lnTo>
                <a:lnTo>
                  <a:pt x="291769" y="281940"/>
                </a:lnTo>
                <a:lnTo>
                  <a:pt x="305681" y="279400"/>
                </a:lnTo>
                <a:lnTo>
                  <a:pt x="317045" y="271780"/>
                </a:lnTo>
                <a:lnTo>
                  <a:pt x="324709" y="260350"/>
                </a:lnTo>
                <a:lnTo>
                  <a:pt x="327520" y="246380"/>
                </a:lnTo>
                <a:lnTo>
                  <a:pt x="327520" y="229870"/>
                </a:lnTo>
                <a:lnTo>
                  <a:pt x="333463" y="223520"/>
                </a:lnTo>
                <a:lnTo>
                  <a:pt x="353974" y="222250"/>
                </a:lnTo>
                <a:lnTo>
                  <a:pt x="357555" y="218440"/>
                </a:lnTo>
                <a:lnTo>
                  <a:pt x="357555" y="212090"/>
                </a:lnTo>
                <a:close/>
              </a:path>
              <a:path w="1327785" h="281940">
                <a:moveTo>
                  <a:pt x="543483" y="212090"/>
                </a:moveTo>
                <a:lnTo>
                  <a:pt x="411899" y="212090"/>
                </a:lnTo>
                <a:lnTo>
                  <a:pt x="411899" y="218440"/>
                </a:lnTo>
                <a:lnTo>
                  <a:pt x="415455" y="222250"/>
                </a:lnTo>
                <a:lnTo>
                  <a:pt x="435991" y="223520"/>
                </a:lnTo>
                <a:lnTo>
                  <a:pt x="441934" y="229870"/>
                </a:lnTo>
                <a:lnTo>
                  <a:pt x="441934" y="246380"/>
                </a:lnTo>
                <a:lnTo>
                  <a:pt x="444743" y="260350"/>
                </a:lnTo>
                <a:lnTo>
                  <a:pt x="452404" y="271780"/>
                </a:lnTo>
                <a:lnTo>
                  <a:pt x="463767" y="279400"/>
                </a:lnTo>
                <a:lnTo>
                  <a:pt x="477685" y="281940"/>
                </a:lnTo>
                <a:lnTo>
                  <a:pt x="491605" y="279400"/>
                </a:lnTo>
                <a:lnTo>
                  <a:pt x="502964" y="271780"/>
                </a:lnTo>
                <a:lnTo>
                  <a:pt x="510617" y="260350"/>
                </a:lnTo>
                <a:lnTo>
                  <a:pt x="513422" y="246380"/>
                </a:lnTo>
                <a:lnTo>
                  <a:pt x="513422" y="229870"/>
                </a:lnTo>
                <a:lnTo>
                  <a:pt x="519391" y="223520"/>
                </a:lnTo>
                <a:lnTo>
                  <a:pt x="527011" y="223520"/>
                </a:lnTo>
                <a:lnTo>
                  <a:pt x="539902" y="222250"/>
                </a:lnTo>
                <a:lnTo>
                  <a:pt x="543483" y="218440"/>
                </a:lnTo>
                <a:lnTo>
                  <a:pt x="543483" y="212090"/>
                </a:lnTo>
                <a:close/>
              </a:path>
              <a:path w="1327785" h="281940">
                <a:moveTo>
                  <a:pt x="729386" y="212090"/>
                </a:moveTo>
                <a:lnTo>
                  <a:pt x="597814" y="212090"/>
                </a:lnTo>
                <a:lnTo>
                  <a:pt x="597814" y="218440"/>
                </a:lnTo>
                <a:lnTo>
                  <a:pt x="601383" y="222250"/>
                </a:lnTo>
                <a:lnTo>
                  <a:pt x="621919" y="223520"/>
                </a:lnTo>
                <a:lnTo>
                  <a:pt x="627862" y="229870"/>
                </a:lnTo>
                <a:lnTo>
                  <a:pt x="627862" y="246380"/>
                </a:lnTo>
                <a:lnTo>
                  <a:pt x="630673" y="260350"/>
                </a:lnTo>
                <a:lnTo>
                  <a:pt x="638335" y="271780"/>
                </a:lnTo>
                <a:lnTo>
                  <a:pt x="649695" y="279400"/>
                </a:lnTo>
                <a:lnTo>
                  <a:pt x="663600" y="281940"/>
                </a:lnTo>
                <a:lnTo>
                  <a:pt x="677528" y="279400"/>
                </a:lnTo>
                <a:lnTo>
                  <a:pt x="688890" y="271780"/>
                </a:lnTo>
                <a:lnTo>
                  <a:pt x="696545" y="260350"/>
                </a:lnTo>
                <a:lnTo>
                  <a:pt x="699350" y="246380"/>
                </a:lnTo>
                <a:lnTo>
                  <a:pt x="699350" y="229870"/>
                </a:lnTo>
                <a:lnTo>
                  <a:pt x="705332" y="223520"/>
                </a:lnTo>
                <a:lnTo>
                  <a:pt x="725805" y="222250"/>
                </a:lnTo>
                <a:lnTo>
                  <a:pt x="729386" y="218440"/>
                </a:lnTo>
                <a:lnTo>
                  <a:pt x="729386" y="212090"/>
                </a:lnTo>
                <a:close/>
              </a:path>
              <a:path w="1327785" h="281940">
                <a:moveTo>
                  <a:pt x="915314" y="212090"/>
                </a:moveTo>
                <a:lnTo>
                  <a:pt x="783767" y="212090"/>
                </a:lnTo>
                <a:lnTo>
                  <a:pt x="783767" y="218440"/>
                </a:lnTo>
                <a:lnTo>
                  <a:pt x="787311" y="222250"/>
                </a:lnTo>
                <a:lnTo>
                  <a:pt x="807821" y="223520"/>
                </a:lnTo>
                <a:lnTo>
                  <a:pt x="813765" y="229870"/>
                </a:lnTo>
                <a:lnTo>
                  <a:pt x="813765" y="246380"/>
                </a:lnTo>
                <a:lnTo>
                  <a:pt x="816579" y="260350"/>
                </a:lnTo>
                <a:lnTo>
                  <a:pt x="824250" y="271780"/>
                </a:lnTo>
                <a:lnTo>
                  <a:pt x="835619" y="279400"/>
                </a:lnTo>
                <a:lnTo>
                  <a:pt x="849528" y="281940"/>
                </a:lnTo>
                <a:lnTo>
                  <a:pt x="863447" y="279400"/>
                </a:lnTo>
                <a:lnTo>
                  <a:pt x="874815" y="271780"/>
                </a:lnTo>
                <a:lnTo>
                  <a:pt x="882480" y="260350"/>
                </a:lnTo>
                <a:lnTo>
                  <a:pt x="885291" y="246380"/>
                </a:lnTo>
                <a:lnTo>
                  <a:pt x="885291" y="229870"/>
                </a:lnTo>
                <a:lnTo>
                  <a:pt x="891260" y="223520"/>
                </a:lnTo>
                <a:lnTo>
                  <a:pt x="911732" y="222250"/>
                </a:lnTo>
                <a:lnTo>
                  <a:pt x="915314" y="218440"/>
                </a:lnTo>
                <a:lnTo>
                  <a:pt x="915314" y="212090"/>
                </a:lnTo>
                <a:close/>
              </a:path>
              <a:path w="1327785" h="281940">
                <a:moveTo>
                  <a:pt x="1101267" y="212090"/>
                </a:moveTo>
                <a:lnTo>
                  <a:pt x="969695" y="212090"/>
                </a:lnTo>
                <a:lnTo>
                  <a:pt x="969695" y="218440"/>
                </a:lnTo>
                <a:lnTo>
                  <a:pt x="973251" y="222250"/>
                </a:lnTo>
                <a:lnTo>
                  <a:pt x="993749" y="223520"/>
                </a:lnTo>
                <a:lnTo>
                  <a:pt x="999693" y="229870"/>
                </a:lnTo>
                <a:lnTo>
                  <a:pt x="999693" y="246380"/>
                </a:lnTo>
                <a:lnTo>
                  <a:pt x="1002504" y="260350"/>
                </a:lnTo>
                <a:lnTo>
                  <a:pt x="1010170" y="271780"/>
                </a:lnTo>
                <a:lnTo>
                  <a:pt x="1021542" y="279400"/>
                </a:lnTo>
                <a:lnTo>
                  <a:pt x="1035469" y="281940"/>
                </a:lnTo>
                <a:lnTo>
                  <a:pt x="1049381" y="279400"/>
                </a:lnTo>
                <a:lnTo>
                  <a:pt x="1060745" y="271780"/>
                </a:lnTo>
                <a:lnTo>
                  <a:pt x="1068408" y="260350"/>
                </a:lnTo>
                <a:lnTo>
                  <a:pt x="1071219" y="246380"/>
                </a:lnTo>
                <a:lnTo>
                  <a:pt x="1071219" y="229870"/>
                </a:lnTo>
                <a:lnTo>
                  <a:pt x="1077163" y="223520"/>
                </a:lnTo>
                <a:lnTo>
                  <a:pt x="1097686" y="222250"/>
                </a:lnTo>
                <a:lnTo>
                  <a:pt x="1101267" y="218440"/>
                </a:lnTo>
                <a:lnTo>
                  <a:pt x="1101267" y="212090"/>
                </a:lnTo>
                <a:close/>
              </a:path>
              <a:path w="1327785" h="281940">
                <a:moveTo>
                  <a:pt x="1295488" y="212090"/>
                </a:moveTo>
                <a:lnTo>
                  <a:pt x="1155623" y="212090"/>
                </a:lnTo>
                <a:lnTo>
                  <a:pt x="1155623" y="218440"/>
                </a:lnTo>
                <a:lnTo>
                  <a:pt x="1159179" y="222250"/>
                </a:lnTo>
                <a:lnTo>
                  <a:pt x="1179690" y="223520"/>
                </a:lnTo>
                <a:lnTo>
                  <a:pt x="1185646" y="229870"/>
                </a:lnTo>
                <a:lnTo>
                  <a:pt x="1185646" y="246380"/>
                </a:lnTo>
                <a:lnTo>
                  <a:pt x="1188453" y="260350"/>
                </a:lnTo>
                <a:lnTo>
                  <a:pt x="1196111" y="271780"/>
                </a:lnTo>
                <a:lnTo>
                  <a:pt x="1207474" y="279400"/>
                </a:lnTo>
                <a:lnTo>
                  <a:pt x="1221397" y="281940"/>
                </a:lnTo>
                <a:lnTo>
                  <a:pt x="1235314" y="279400"/>
                </a:lnTo>
                <a:lnTo>
                  <a:pt x="1246678" y="271780"/>
                </a:lnTo>
                <a:lnTo>
                  <a:pt x="1254338" y="260350"/>
                </a:lnTo>
                <a:lnTo>
                  <a:pt x="1257147" y="246380"/>
                </a:lnTo>
                <a:lnTo>
                  <a:pt x="1257147" y="229870"/>
                </a:lnTo>
                <a:lnTo>
                  <a:pt x="1263091" y="223520"/>
                </a:lnTo>
                <a:lnTo>
                  <a:pt x="1283614" y="222250"/>
                </a:lnTo>
                <a:lnTo>
                  <a:pt x="1287183" y="218440"/>
                </a:lnTo>
                <a:lnTo>
                  <a:pt x="1287183" y="214630"/>
                </a:lnTo>
                <a:lnTo>
                  <a:pt x="1295488" y="214630"/>
                </a:lnTo>
                <a:lnTo>
                  <a:pt x="1295488" y="212090"/>
                </a:lnTo>
                <a:close/>
              </a:path>
              <a:path w="1327785" h="281940">
                <a:moveTo>
                  <a:pt x="1298663" y="199390"/>
                </a:moveTo>
                <a:lnTo>
                  <a:pt x="28549" y="199390"/>
                </a:lnTo>
                <a:lnTo>
                  <a:pt x="31762" y="203200"/>
                </a:lnTo>
                <a:lnTo>
                  <a:pt x="31762" y="219710"/>
                </a:lnTo>
                <a:lnTo>
                  <a:pt x="33667" y="220980"/>
                </a:lnTo>
                <a:lnTo>
                  <a:pt x="40055" y="220980"/>
                </a:lnTo>
                <a:lnTo>
                  <a:pt x="40055" y="214630"/>
                </a:lnTo>
                <a:lnTo>
                  <a:pt x="171615" y="214630"/>
                </a:lnTo>
                <a:lnTo>
                  <a:pt x="171615" y="212090"/>
                </a:lnTo>
                <a:lnTo>
                  <a:pt x="1295488" y="212090"/>
                </a:lnTo>
                <a:lnTo>
                  <a:pt x="1295488" y="203200"/>
                </a:lnTo>
                <a:lnTo>
                  <a:pt x="1298663" y="199390"/>
                </a:lnTo>
                <a:close/>
              </a:path>
              <a:path w="1327785" h="281940">
                <a:moveTo>
                  <a:pt x="225983" y="212090"/>
                </a:moveTo>
                <a:lnTo>
                  <a:pt x="171615" y="212090"/>
                </a:lnTo>
                <a:lnTo>
                  <a:pt x="171615" y="217170"/>
                </a:lnTo>
                <a:lnTo>
                  <a:pt x="175158" y="220980"/>
                </a:lnTo>
                <a:lnTo>
                  <a:pt x="222453" y="220980"/>
                </a:lnTo>
                <a:lnTo>
                  <a:pt x="225983" y="217170"/>
                </a:lnTo>
                <a:lnTo>
                  <a:pt x="225983" y="212090"/>
                </a:lnTo>
                <a:close/>
              </a:path>
              <a:path w="1327785" h="281940">
                <a:moveTo>
                  <a:pt x="411899" y="212090"/>
                </a:moveTo>
                <a:lnTo>
                  <a:pt x="357555" y="212090"/>
                </a:lnTo>
                <a:lnTo>
                  <a:pt x="357555" y="217170"/>
                </a:lnTo>
                <a:lnTo>
                  <a:pt x="361061" y="220980"/>
                </a:lnTo>
                <a:lnTo>
                  <a:pt x="408393" y="220980"/>
                </a:lnTo>
                <a:lnTo>
                  <a:pt x="411899" y="217170"/>
                </a:lnTo>
                <a:lnTo>
                  <a:pt x="411899" y="212090"/>
                </a:lnTo>
                <a:close/>
              </a:path>
              <a:path w="1327785" h="281940">
                <a:moveTo>
                  <a:pt x="597814" y="212090"/>
                </a:moveTo>
                <a:lnTo>
                  <a:pt x="543483" y="212090"/>
                </a:lnTo>
                <a:lnTo>
                  <a:pt x="543483" y="217170"/>
                </a:lnTo>
                <a:lnTo>
                  <a:pt x="546989" y="220980"/>
                </a:lnTo>
                <a:lnTo>
                  <a:pt x="594321" y="220980"/>
                </a:lnTo>
                <a:lnTo>
                  <a:pt x="597814" y="217170"/>
                </a:lnTo>
                <a:lnTo>
                  <a:pt x="597814" y="212090"/>
                </a:lnTo>
                <a:close/>
              </a:path>
              <a:path w="1327785" h="281940">
                <a:moveTo>
                  <a:pt x="783767" y="212090"/>
                </a:moveTo>
                <a:lnTo>
                  <a:pt x="729386" y="212090"/>
                </a:lnTo>
                <a:lnTo>
                  <a:pt x="729386" y="217170"/>
                </a:lnTo>
                <a:lnTo>
                  <a:pt x="732929" y="220980"/>
                </a:lnTo>
                <a:lnTo>
                  <a:pt x="780224" y="220980"/>
                </a:lnTo>
                <a:lnTo>
                  <a:pt x="783767" y="217170"/>
                </a:lnTo>
                <a:lnTo>
                  <a:pt x="783767" y="212090"/>
                </a:lnTo>
                <a:close/>
              </a:path>
              <a:path w="1327785" h="281940">
                <a:moveTo>
                  <a:pt x="969695" y="212090"/>
                </a:moveTo>
                <a:lnTo>
                  <a:pt x="915314" y="212090"/>
                </a:lnTo>
                <a:lnTo>
                  <a:pt x="915314" y="217170"/>
                </a:lnTo>
                <a:lnTo>
                  <a:pt x="918857" y="220980"/>
                </a:lnTo>
                <a:lnTo>
                  <a:pt x="966152" y="220980"/>
                </a:lnTo>
                <a:lnTo>
                  <a:pt x="969695" y="217170"/>
                </a:lnTo>
                <a:lnTo>
                  <a:pt x="969695" y="212090"/>
                </a:lnTo>
                <a:close/>
              </a:path>
              <a:path w="1327785" h="281940">
                <a:moveTo>
                  <a:pt x="1155623" y="212090"/>
                </a:moveTo>
                <a:lnTo>
                  <a:pt x="1101267" y="212090"/>
                </a:lnTo>
                <a:lnTo>
                  <a:pt x="1101267" y="217170"/>
                </a:lnTo>
                <a:lnTo>
                  <a:pt x="1104760" y="220980"/>
                </a:lnTo>
                <a:lnTo>
                  <a:pt x="1152080" y="220980"/>
                </a:lnTo>
                <a:lnTo>
                  <a:pt x="1155623" y="217170"/>
                </a:lnTo>
                <a:lnTo>
                  <a:pt x="1155623" y="212090"/>
                </a:lnTo>
                <a:close/>
              </a:path>
              <a:path w="1327785" h="281940">
                <a:moveTo>
                  <a:pt x="1295488" y="214630"/>
                </a:moveTo>
                <a:lnTo>
                  <a:pt x="1287183" y="214630"/>
                </a:lnTo>
                <a:lnTo>
                  <a:pt x="1287183" y="220980"/>
                </a:lnTo>
                <a:lnTo>
                  <a:pt x="1293558" y="220980"/>
                </a:lnTo>
                <a:lnTo>
                  <a:pt x="1295488" y="219710"/>
                </a:lnTo>
                <a:lnTo>
                  <a:pt x="1295488" y="214630"/>
                </a:lnTo>
                <a:close/>
              </a:path>
              <a:path w="1327785" h="281940">
                <a:moveTo>
                  <a:pt x="1325067" y="82550"/>
                </a:moveTo>
                <a:lnTo>
                  <a:pt x="2133" y="82550"/>
                </a:lnTo>
                <a:lnTo>
                  <a:pt x="342" y="83820"/>
                </a:lnTo>
                <a:lnTo>
                  <a:pt x="0" y="86360"/>
                </a:lnTo>
                <a:lnTo>
                  <a:pt x="0" y="195580"/>
                </a:lnTo>
                <a:lnTo>
                  <a:pt x="342" y="198120"/>
                </a:lnTo>
                <a:lnTo>
                  <a:pt x="2133" y="199390"/>
                </a:lnTo>
                <a:lnTo>
                  <a:pt x="1325067" y="199390"/>
                </a:lnTo>
                <a:lnTo>
                  <a:pt x="1326883" y="198120"/>
                </a:lnTo>
                <a:lnTo>
                  <a:pt x="1327238" y="195580"/>
                </a:lnTo>
                <a:lnTo>
                  <a:pt x="1327238" y="86360"/>
                </a:lnTo>
                <a:lnTo>
                  <a:pt x="1326883" y="83820"/>
                </a:lnTo>
                <a:lnTo>
                  <a:pt x="1325067" y="82550"/>
                </a:lnTo>
                <a:close/>
              </a:path>
              <a:path w="1327785" h="281940">
                <a:moveTo>
                  <a:pt x="40055" y="60960"/>
                </a:moveTo>
                <a:lnTo>
                  <a:pt x="33667" y="60960"/>
                </a:lnTo>
                <a:lnTo>
                  <a:pt x="31762" y="62230"/>
                </a:lnTo>
                <a:lnTo>
                  <a:pt x="31762" y="78740"/>
                </a:lnTo>
                <a:lnTo>
                  <a:pt x="28549" y="82550"/>
                </a:lnTo>
                <a:lnTo>
                  <a:pt x="1298663" y="82550"/>
                </a:lnTo>
                <a:lnTo>
                  <a:pt x="1295488" y="78740"/>
                </a:lnTo>
                <a:lnTo>
                  <a:pt x="1295488" y="71120"/>
                </a:lnTo>
                <a:lnTo>
                  <a:pt x="171615" y="71120"/>
                </a:lnTo>
                <a:lnTo>
                  <a:pt x="171615" y="67310"/>
                </a:lnTo>
                <a:lnTo>
                  <a:pt x="40055" y="67310"/>
                </a:lnTo>
                <a:lnTo>
                  <a:pt x="40055" y="60960"/>
                </a:lnTo>
                <a:close/>
              </a:path>
              <a:path w="1327785" h="281940">
                <a:moveTo>
                  <a:pt x="222453" y="63500"/>
                </a:moveTo>
                <a:lnTo>
                  <a:pt x="175158" y="63500"/>
                </a:lnTo>
                <a:lnTo>
                  <a:pt x="171615" y="66040"/>
                </a:lnTo>
                <a:lnTo>
                  <a:pt x="171615" y="71120"/>
                </a:lnTo>
                <a:lnTo>
                  <a:pt x="225983" y="71120"/>
                </a:lnTo>
                <a:lnTo>
                  <a:pt x="225983" y="66040"/>
                </a:lnTo>
                <a:lnTo>
                  <a:pt x="222453" y="63500"/>
                </a:lnTo>
                <a:close/>
              </a:path>
              <a:path w="1327785" h="281940">
                <a:moveTo>
                  <a:pt x="291769" y="0"/>
                </a:moveTo>
                <a:lnTo>
                  <a:pt x="277845" y="2540"/>
                </a:lnTo>
                <a:lnTo>
                  <a:pt x="266477" y="10160"/>
                </a:lnTo>
                <a:lnTo>
                  <a:pt x="258815" y="21590"/>
                </a:lnTo>
                <a:lnTo>
                  <a:pt x="256006" y="35560"/>
                </a:lnTo>
                <a:lnTo>
                  <a:pt x="256006" y="52070"/>
                </a:lnTo>
                <a:lnTo>
                  <a:pt x="250037" y="58420"/>
                </a:lnTo>
                <a:lnTo>
                  <a:pt x="229552" y="59690"/>
                </a:lnTo>
                <a:lnTo>
                  <a:pt x="225983" y="63500"/>
                </a:lnTo>
                <a:lnTo>
                  <a:pt x="225983" y="71120"/>
                </a:lnTo>
                <a:lnTo>
                  <a:pt x="357555" y="71120"/>
                </a:lnTo>
                <a:lnTo>
                  <a:pt x="357555" y="63500"/>
                </a:lnTo>
                <a:lnTo>
                  <a:pt x="353974" y="59690"/>
                </a:lnTo>
                <a:lnTo>
                  <a:pt x="333463" y="58420"/>
                </a:lnTo>
                <a:lnTo>
                  <a:pt x="327520" y="52070"/>
                </a:lnTo>
                <a:lnTo>
                  <a:pt x="327520" y="35560"/>
                </a:lnTo>
                <a:lnTo>
                  <a:pt x="324709" y="21590"/>
                </a:lnTo>
                <a:lnTo>
                  <a:pt x="317045" y="10160"/>
                </a:lnTo>
                <a:lnTo>
                  <a:pt x="305681" y="2540"/>
                </a:lnTo>
                <a:lnTo>
                  <a:pt x="291769" y="0"/>
                </a:lnTo>
                <a:close/>
              </a:path>
              <a:path w="1327785" h="281940">
                <a:moveTo>
                  <a:pt x="408393" y="63500"/>
                </a:moveTo>
                <a:lnTo>
                  <a:pt x="361061" y="63500"/>
                </a:lnTo>
                <a:lnTo>
                  <a:pt x="357555" y="66040"/>
                </a:lnTo>
                <a:lnTo>
                  <a:pt x="357555" y="71120"/>
                </a:lnTo>
                <a:lnTo>
                  <a:pt x="411899" y="71120"/>
                </a:lnTo>
                <a:lnTo>
                  <a:pt x="411899" y="66040"/>
                </a:lnTo>
                <a:lnTo>
                  <a:pt x="408393" y="63500"/>
                </a:lnTo>
                <a:close/>
              </a:path>
              <a:path w="1327785" h="281940">
                <a:moveTo>
                  <a:pt x="477685" y="0"/>
                </a:moveTo>
                <a:lnTo>
                  <a:pt x="463767" y="2540"/>
                </a:lnTo>
                <a:lnTo>
                  <a:pt x="452404" y="10160"/>
                </a:lnTo>
                <a:lnTo>
                  <a:pt x="444743" y="21590"/>
                </a:lnTo>
                <a:lnTo>
                  <a:pt x="441934" y="35560"/>
                </a:lnTo>
                <a:lnTo>
                  <a:pt x="441934" y="52070"/>
                </a:lnTo>
                <a:lnTo>
                  <a:pt x="435991" y="58420"/>
                </a:lnTo>
                <a:lnTo>
                  <a:pt x="415455" y="59690"/>
                </a:lnTo>
                <a:lnTo>
                  <a:pt x="411899" y="63500"/>
                </a:lnTo>
                <a:lnTo>
                  <a:pt x="411899" y="71120"/>
                </a:lnTo>
                <a:lnTo>
                  <a:pt x="543483" y="71120"/>
                </a:lnTo>
                <a:lnTo>
                  <a:pt x="543483" y="63500"/>
                </a:lnTo>
                <a:lnTo>
                  <a:pt x="539902" y="59690"/>
                </a:lnTo>
                <a:lnTo>
                  <a:pt x="519391" y="58420"/>
                </a:lnTo>
                <a:lnTo>
                  <a:pt x="513422" y="52070"/>
                </a:lnTo>
                <a:lnTo>
                  <a:pt x="513422" y="35560"/>
                </a:lnTo>
                <a:lnTo>
                  <a:pt x="510617" y="21590"/>
                </a:lnTo>
                <a:lnTo>
                  <a:pt x="502964" y="10160"/>
                </a:lnTo>
                <a:lnTo>
                  <a:pt x="491605" y="2540"/>
                </a:lnTo>
                <a:lnTo>
                  <a:pt x="477685" y="0"/>
                </a:lnTo>
                <a:close/>
              </a:path>
              <a:path w="1327785" h="281940">
                <a:moveTo>
                  <a:pt x="594321" y="63500"/>
                </a:moveTo>
                <a:lnTo>
                  <a:pt x="546989" y="63500"/>
                </a:lnTo>
                <a:lnTo>
                  <a:pt x="543483" y="66040"/>
                </a:lnTo>
                <a:lnTo>
                  <a:pt x="543483" y="71120"/>
                </a:lnTo>
                <a:lnTo>
                  <a:pt x="597814" y="71120"/>
                </a:lnTo>
                <a:lnTo>
                  <a:pt x="597814" y="66040"/>
                </a:lnTo>
                <a:lnTo>
                  <a:pt x="594321" y="63500"/>
                </a:lnTo>
                <a:close/>
              </a:path>
              <a:path w="1327785" h="281940">
                <a:moveTo>
                  <a:pt x="663600" y="0"/>
                </a:moveTo>
                <a:lnTo>
                  <a:pt x="649695" y="2540"/>
                </a:lnTo>
                <a:lnTo>
                  <a:pt x="638335" y="10160"/>
                </a:lnTo>
                <a:lnTo>
                  <a:pt x="630673" y="21590"/>
                </a:lnTo>
                <a:lnTo>
                  <a:pt x="627862" y="35560"/>
                </a:lnTo>
                <a:lnTo>
                  <a:pt x="627862" y="52070"/>
                </a:lnTo>
                <a:lnTo>
                  <a:pt x="621919" y="58420"/>
                </a:lnTo>
                <a:lnTo>
                  <a:pt x="601383" y="59690"/>
                </a:lnTo>
                <a:lnTo>
                  <a:pt x="597814" y="63500"/>
                </a:lnTo>
                <a:lnTo>
                  <a:pt x="597814" y="71120"/>
                </a:lnTo>
                <a:lnTo>
                  <a:pt x="729386" y="71120"/>
                </a:lnTo>
                <a:lnTo>
                  <a:pt x="729386" y="63500"/>
                </a:lnTo>
                <a:lnTo>
                  <a:pt x="725805" y="59690"/>
                </a:lnTo>
                <a:lnTo>
                  <a:pt x="705332" y="58420"/>
                </a:lnTo>
                <a:lnTo>
                  <a:pt x="699350" y="52070"/>
                </a:lnTo>
                <a:lnTo>
                  <a:pt x="699350" y="35560"/>
                </a:lnTo>
                <a:lnTo>
                  <a:pt x="696545" y="21590"/>
                </a:lnTo>
                <a:lnTo>
                  <a:pt x="688890" y="10160"/>
                </a:lnTo>
                <a:lnTo>
                  <a:pt x="677528" y="2540"/>
                </a:lnTo>
                <a:lnTo>
                  <a:pt x="663600" y="0"/>
                </a:lnTo>
                <a:close/>
              </a:path>
              <a:path w="1327785" h="281940">
                <a:moveTo>
                  <a:pt x="780224" y="63500"/>
                </a:moveTo>
                <a:lnTo>
                  <a:pt x="732929" y="63500"/>
                </a:lnTo>
                <a:lnTo>
                  <a:pt x="729386" y="66040"/>
                </a:lnTo>
                <a:lnTo>
                  <a:pt x="729386" y="71120"/>
                </a:lnTo>
                <a:lnTo>
                  <a:pt x="783767" y="71120"/>
                </a:lnTo>
                <a:lnTo>
                  <a:pt x="783767" y="66040"/>
                </a:lnTo>
                <a:lnTo>
                  <a:pt x="780224" y="63500"/>
                </a:lnTo>
                <a:close/>
              </a:path>
              <a:path w="1327785" h="281940">
                <a:moveTo>
                  <a:pt x="849528" y="0"/>
                </a:moveTo>
                <a:lnTo>
                  <a:pt x="835619" y="2540"/>
                </a:lnTo>
                <a:lnTo>
                  <a:pt x="824250" y="10160"/>
                </a:lnTo>
                <a:lnTo>
                  <a:pt x="816579" y="21590"/>
                </a:lnTo>
                <a:lnTo>
                  <a:pt x="813765" y="35560"/>
                </a:lnTo>
                <a:lnTo>
                  <a:pt x="813765" y="52070"/>
                </a:lnTo>
                <a:lnTo>
                  <a:pt x="807821" y="58420"/>
                </a:lnTo>
                <a:lnTo>
                  <a:pt x="787311" y="59690"/>
                </a:lnTo>
                <a:lnTo>
                  <a:pt x="783767" y="63500"/>
                </a:lnTo>
                <a:lnTo>
                  <a:pt x="783767" y="71120"/>
                </a:lnTo>
                <a:lnTo>
                  <a:pt x="915314" y="71120"/>
                </a:lnTo>
                <a:lnTo>
                  <a:pt x="915314" y="63500"/>
                </a:lnTo>
                <a:lnTo>
                  <a:pt x="911732" y="59690"/>
                </a:lnTo>
                <a:lnTo>
                  <a:pt x="891260" y="58420"/>
                </a:lnTo>
                <a:lnTo>
                  <a:pt x="885291" y="52070"/>
                </a:lnTo>
                <a:lnTo>
                  <a:pt x="885291" y="35560"/>
                </a:lnTo>
                <a:lnTo>
                  <a:pt x="882480" y="21590"/>
                </a:lnTo>
                <a:lnTo>
                  <a:pt x="874815" y="10160"/>
                </a:lnTo>
                <a:lnTo>
                  <a:pt x="863447" y="2540"/>
                </a:lnTo>
                <a:lnTo>
                  <a:pt x="849528" y="0"/>
                </a:lnTo>
                <a:close/>
              </a:path>
              <a:path w="1327785" h="281940">
                <a:moveTo>
                  <a:pt x="966152" y="63500"/>
                </a:moveTo>
                <a:lnTo>
                  <a:pt x="918857" y="63500"/>
                </a:lnTo>
                <a:lnTo>
                  <a:pt x="915314" y="66040"/>
                </a:lnTo>
                <a:lnTo>
                  <a:pt x="915314" y="71120"/>
                </a:lnTo>
                <a:lnTo>
                  <a:pt x="969695" y="71120"/>
                </a:lnTo>
                <a:lnTo>
                  <a:pt x="969695" y="66040"/>
                </a:lnTo>
                <a:lnTo>
                  <a:pt x="966152" y="63500"/>
                </a:lnTo>
                <a:close/>
              </a:path>
              <a:path w="1327785" h="281940">
                <a:moveTo>
                  <a:pt x="1035469" y="0"/>
                </a:moveTo>
                <a:lnTo>
                  <a:pt x="1021542" y="2540"/>
                </a:lnTo>
                <a:lnTo>
                  <a:pt x="1010170" y="10160"/>
                </a:lnTo>
                <a:lnTo>
                  <a:pt x="1002504" y="21590"/>
                </a:lnTo>
                <a:lnTo>
                  <a:pt x="999693" y="35560"/>
                </a:lnTo>
                <a:lnTo>
                  <a:pt x="999693" y="52070"/>
                </a:lnTo>
                <a:lnTo>
                  <a:pt x="993749" y="58420"/>
                </a:lnTo>
                <a:lnTo>
                  <a:pt x="973251" y="59690"/>
                </a:lnTo>
                <a:lnTo>
                  <a:pt x="969695" y="63500"/>
                </a:lnTo>
                <a:lnTo>
                  <a:pt x="969695" y="71120"/>
                </a:lnTo>
                <a:lnTo>
                  <a:pt x="1101267" y="71120"/>
                </a:lnTo>
                <a:lnTo>
                  <a:pt x="1101267" y="63500"/>
                </a:lnTo>
                <a:lnTo>
                  <a:pt x="1097686" y="59690"/>
                </a:lnTo>
                <a:lnTo>
                  <a:pt x="1077163" y="58420"/>
                </a:lnTo>
                <a:lnTo>
                  <a:pt x="1071219" y="52070"/>
                </a:lnTo>
                <a:lnTo>
                  <a:pt x="1071219" y="35560"/>
                </a:lnTo>
                <a:lnTo>
                  <a:pt x="1068408" y="21590"/>
                </a:lnTo>
                <a:lnTo>
                  <a:pt x="1060745" y="10160"/>
                </a:lnTo>
                <a:lnTo>
                  <a:pt x="1049381" y="2540"/>
                </a:lnTo>
                <a:lnTo>
                  <a:pt x="1035469" y="0"/>
                </a:lnTo>
                <a:close/>
              </a:path>
              <a:path w="1327785" h="281940">
                <a:moveTo>
                  <a:pt x="1152080" y="63500"/>
                </a:moveTo>
                <a:lnTo>
                  <a:pt x="1104760" y="63500"/>
                </a:lnTo>
                <a:lnTo>
                  <a:pt x="1101267" y="66040"/>
                </a:lnTo>
                <a:lnTo>
                  <a:pt x="1101267" y="71120"/>
                </a:lnTo>
                <a:lnTo>
                  <a:pt x="1155623" y="71120"/>
                </a:lnTo>
                <a:lnTo>
                  <a:pt x="1155623" y="66040"/>
                </a:lnTo>
                <a:lnTo>
                  <a:pt x="1152080" y="63500"/>
                </a:lnTo>
                <a:close/>
              </a:path>
              <a:path w="1327785" h="281940">
                <a:moveTo>
                  <a:pt x="1221397" y="0"/>
                </a:moveTo>
                <a:lnTo>
                  <a:pt x="1207474" y="2540"/>
                </a:lnTo>
                <a:lnTo>
                  <a:pt x="1196111" y="10160"/>
                </a:lnTo>
                <a:lnTo>
                  <a:pt x="1188453" y="21590"/>
                </a:lnTo>
                <a:lnTo>
                  <a:pt x="1185646" y="35560"/>
                </a:lnTo>
                <a:lnTo>
                  <a:pt x="1185646" y="52070"/>
                </a:lnTo>
                <a:lnTo>
                  <a:pt x="1179690" y="58420"/>
                </a:lnTo>
                <a:lnTo>
                  <a:pt x="1159179" y="59690"/>
                </a:lnTo>
                <a:lnTo>
                  <a:pt x="1155623" y="63500"/>
                </a:lnTo>
                <a:lnTo>
                  <a:pt x="1155623" y="71120"/>
                </a:lnTo>
                <a:lnTo>
                  <a:pt x="1295488" y="71120"/>
                </a:lnTo>
                <a:lnTo>
                  <a:pt x="1295488" y="67310"/>
                </a:lnTo>
                <a:lnTo>
                  <a:pt x="1287183" y="67310"/>
                </a:lnTo>
                <a:lnTo>
                  <a:pt x="1287183" y="63500"/>
                </a:lnTo>
                <a:lnTo>
                  <a:pt x="1283614" y="59690"/>
                </a:lnTo>
                <a:lnTo>
                  <a:pt x="1263091" y="58420"/>
                </a:lnTo>
                <a:lnTo>
                  <a:pt x="1257147" y="52070"/>
                </a:lnTo>
                <a:lnTo>
                  <a:pt x="1257147" y="35560"/>
                </a:lnTo>
                <a:lnTo>
                  <a:pt x="1254338" y="21590"/>
                </a:lnTo>
                <a:lnTo>
                  <a:pt x="1246678" y="10160"/>
                </a:lnTo>
                <a:lnTo>
                  <a:pt x="1235314" y="2540"/>
                </a:lnTo>
                <a:lnTo>
                  <a:pt x="1221397" y="0"/>
                </a:lnTo>
                <a:close/>
              </a:path>
              <a:path w="1327785" h="281940">
                <a:moveTo>
                  <a:pt x="105816" y="0"/>
                </a:moveTo>
                <a:lnTo>
                  <a:pt x="91915" y="2540"/>
                </a:lnTo>
                <a:lnTo>
                  <a:pt x="80549" y="10160"/>
                </a:lnTo>
                <a:lnTo>
                  <a:pt x="72880" y="21590"/>
                </a:lnTo>
                <a:lnTo>
                  <a:pt x="70065" y="35560"/>
                </a:lnTo>
                <a:lnTo>
                  <a:pt x="70065" y="52070"/>
                </a:lnTo>
                <a:lnTo>
                  <a:pt x="64122" y="58420"/>
                </a:lnTo>
                <a:lnTo>
                  <a:pt x="43611" y="59690"/>
                </a:lnTo>
                <a:lnTo>
                  <a:pt x="40055" y="63500"/>
                </a:lnTo>
                <a:lnTo>
                  <a:pt x="40055" y="67310"/>
                </a:lnTo>
                <a:lnTo>
                  <a:pt x="171615" y="67310"/>
                </a:lnTo>
                <a:lnTo>
                  <a:pt x="171615" y="63500"/>
                </a:lnTo>
                <a:lnTo>
                  <a:pt x="168033" y="59690"/>
                </a:lnTo>
                <a:lnTo>
                  <a:pt x="147561" y="58420"/>
                </a:lnTo>
                <a:lnTo>
                  <a:pt x="141592" y="52070"/>
                </a:lnTo>
                <a:lnTo>
                  <a:pt x="141592" y="35560"/>
                </a:lnTo>
                <a:lnTo>
                  <a:pt x="138781" y="21590"/>
                </a:lnTo>
                <a:lnTo>
                  <a:pt x="131114" y="10160"/>
                </a:lnTo>
                <a:lnTo>
                  <a:pt x="119743" y="2540"/>
                </a:lnTo>
                <a:lnTo>
                  <a:pt x="105816" y="0"/>
                </a:lnTo>
                <a:close/>
              </a:path>
              <a:path w="1327785" h="281940">
                <a:moveTo>
                  <a:pt x="1293558" y="60960"/>
                </a:moveTo>
                <a:lnTo>
                  <a:pt x="1287183" y="60960"/>
                </a:lnTo>
                <a:lnTo>
                  <a:pt x="1287183" y="67310"/>
                </a:lnTo>
                <a:lnTo>
                  <a:pt x="1295488" y="67310"/>
                </a:lnTo>
                <a:lnTo>
                  <a:pt x="1295488" y="62230"/>
                </a:lnTo>
                <a:lnTo>
                  <a:pt x="1293558" y="60960"/>
                </a:lnTo>
                <a:close/>
              </a:path>
            </a:pathLst>
          </a:custGeom>
          <a:solidFill>
            <a:srgbClr val="E3E3E3"/>
          </a:solidFill>
        </xdr:spPr>
      </xdr:sp>
      <xdr:sp macro="" textlink="">
        <xdr:nvSpPr>
          <xdr:cNvPr id="188" name="Shape 687">
            <a:extLst>
              <a:ext uri="{FF2B5EF4-FFF2-40B4-BE49-F238E27FC236}">
                <a16:creationId xmlns:a16="http://schemas.microsoft.com/office/drawing/2014/main" id="{CE92EB83-609D-BB36-FA74-D155FF2AD6F5}"/>
              </a:ext>
            </a:extLst>
          </xdr:cNvPr>
          <xdr:cNvSpPr/>
        </xdr:nvSpPr>
        <xdr:spPr>
          <a:xfrm>
            <a:off x="494014" y="191921"/>
            <a:ext cx="40640" cy="160655"/>
          </a:xfrm>
          <a:custGeom>
            <a:avLst/>
            <a:gdLst/>
            <a:ahLst/>
            <a:cxnLst/>
            <a:rect l="0" t="0" r="0" b="0"/>
            <a:pathLst>
              <a:path w="40640" h="160655">
                <a:moveTo>
                  <a:pt x="40055" y="0"/>
                </a:moveTo>
                <a:lnTo>
                  <a:pt x="40055" y="160172"/>
                </a:lnTo>
              </a:path>
              <a:path w="40640" h="160655">
                <a:moveTo>
                  <a:pt x="31750" y="155879"/>
                </a:moveTo>
                <a:lnTo>
                  <a:pt x="31750" y="158241"/>
                </a:lnTo>
                <a:lnTo>
                  <a:pt x="33667" y="160172"/>
                </a:lnTo>
                <a:lnTo>
                  <a:pt x="36029" y="160172"/>
                </a:lnTo>
              </a:path>
              <a:path w="40640" h="160655">
                <a:moveTo>
                  <a:pt x="36029" y="160172"/>
                </a:moveTo>
                <a:lnTo>
                  <a:pt x="40055" y="160172"/>
                </a:lnTo>
              </a:path>
              <a:path w="40640" h="160655">
                <a:moveTo>
                  <a:pt x="31750" y="145872"/>
                </a:moveTo>
                <a:lnTo>
                  <a:pt x="31750" y="155879"/>
                </a:lnTo>
              </a:path>
              <a:path w="40640" h="160655">
                <a:moveTo>
                  <a:pt x="31750" y="14300"/>
                </a:moveTo>
                <a:lnTo>
                  <a:pt x="31750" y="145872"/>
                </a:lnTo>
              </a:path>
              <a:path w="40640" h="160655">
                <a:moveTo>
                  <a:pt x="0" y="25018"/>
                </a:moveTo>
                <a:lnTo>
                  <a:pt x="0" y="135140"/>
                </a:lnTo>
              </a:path>
              <a:path w="40640" h="160655">
                <a:moveTo>
                  <a:pt x="6667" y="21437"/>
                </a:moveTo>
                <a:lnTo>
                  <a:pt x="1666" y="35810"/>
                </a:lnTo>
                <a:lnTo>
                  <a:pt x="0" y="50755"/>
                </a:lnTo>
                <a:lnTo>
                  <a:pt x="1666" y="65700"/>
                </a:lnTo>
                <a:lnTo>
                  <a:pt x="6667" y="80073"/>
                </a:lnTo>
              </a:path>
              <a:path w="40640" h="160655">
                <a:moveTo>
                  <a:pt x="6667" y="80073"/>
                </a:moveTo>
                <a:lnTo>
                  <a:pt x="1666" y="94452"/>
                </a:lnTo>
                <a:lnTo>
                  <a:pt x="0" y="109396"/>
                </a:lnTo>
                <a:lnTo>
                  <a:pt x="1666" y="124337"/>
                </a:lnTo>
                <a:lnTo>
                  <a:pt x="6667" y="138709"/>
                </a:lnTo>
              </a:path>
              <a:path w="40640" h="160655">
                <a:moveTo>
                  <a:pt x="31750" y="145872"/>
                </a:moveTo>
                <a:lnTo>
                  <a:pt x="31750" y="141897"/>
                </a:lnTo>
                <a:lnTo>
                  <a:pt x="28549" y="138709"/>
                </a:lnTo>
                <a:lnTo>
                  <a:pt x="24587" y="138709"/>
                </a:lnTo>
              </a:path>
              <a:path w="40640" h="160655">
                <a:moveTo>
                  <a:pt x="0" y="135140"/>
                </a:moveTo>
                <a:lnTo>
                  <a:pt x="342" y="137210"/>
                </a:lnTo>
                <a:lnTo>
                  <a:pt x="2133" y="138709"/>
                </a:lnTo>
                <a:lnTo>
                  <a:pt x="4216" y="138709"/>
                </a:lnTo>
              </a:path>
              <a:path w="40640" h="160655">
                <a:moveTo>
                  <a:pt x="4216" y="138709"/>
                </a:moveTo>
                <a:lnTo>
                  <a:pt x="24587" y="138709"/>
                </a:lnTo>
              </a:path>
              <a:path w="40640" h="160655">
                <a:moveTo>
                  <a:pt x="6667" y="80073"/>
                </a:moveTo>
                <a:lnTo>
                  <a:pt x="31750" y="80073"/>
                </a:lnTo>
              </a:path>
              <a:path w="40640" h="160655">
                <a:moveTo>
                  <a:pt x="24587" y="21437"/>
                </a:moveTo>
                <a:lnTo>
                  <a:pt x="28549" y="21437"/>
                </a:lnTo>
                <a:lnTo>
                  <a:pt x="31750" y="18237"/>
                </a:lnTo>
                <a:lnTo>
                  <a:pt x="31750" y="14300"/>
                </a:lnTo>
              </a:path>
              <a:path w="40640" h="160655">
                <a:moveTo>
                  <a:pt x="36029" y="0"/>
                </a:moveTo>
                <a:lnTo>
                  <a:pt x="33667" y="0"/>
                </a:lnTo>
                <a:lnTo>
                  <a:pt x="31750" y="1904"/>
                </a:lnTo>
                <a:lnTo>
                  <a:pt x="31750" y="4267"/>
                </a:lnTo>
              </a:path>
              <a:path w="40640" h="160655">
                <a:moveTo>
                  <a:pt x="36029" y="0"/>
                </a:moveTo>
                <a:lnTo>
                  <a:pt x="40055" y="0"/>
                </a:lnTo>
              </a:path>
              <a:path w="40640" h="160655">
                <a:moveTo>
                  <a:pt x="31750" y="4267"/>
                </a:moveTo>
                <a:lnTo>
                  <a:pt x="31750" y="14300"/>
                </a:lnTo>
              </a:path>
              <a:path w="40640" h="160655">
                <a:moveTo>
                  <a:pt x="4216" y="21437"/>
                </a:moveTo>
                <a:lnTo>
                  <a:pt x="2133" y="21437"/>
                </a:lnTo>
                <a:lnTo>
                  <a:pt x="342" y="22961"/>
                </a:lnTo>
                <a:lnTo>
                  <a:pt x="0" y="25018"/>
                </a:lnTo>
              </a:path>
              <a:path w="40640" h="160655">
                <a:moveTo>
                  <a:pt x="4216" y="21437"/>
                </a:moveTo>
                <a:lnTo>
                  <a:pt x="24587" y="21437"/>
                </a:lnTo>
              </a:path>
            </a:pathLst>
          </a:custGeom>
          <a:ln w="10185">
            <a:solidFill>
              <a:srgbClr val="000000"/>
            </a:solidFill>
          </a:ln>
        </xdr:spPr>
      </xdr:sp>
      <xdr:sp macro="" textlink="">
        <xdr:nvSpPr>
          <xdr:cNvPr id="189" name="Shape 688">
            <a:extLst>
              <a:ext uri="{FF2B5EF4-FFF2-40B4-BE49-F238E27FC236}">
                <a16:creationId xmlns:a16="http://schemas.microsoft.com/office/drawing/2014/main" id="{589BAFF7-D2DD-A940-20FC-AD3927EBE508}"/>
              </a:ext>
            </a:extLst>
          </xdr:cNvPr>
          <xdr:cNvSpPr/>
        </xdr:nvSpPr>
        <xdr:spPr>
          <a:xfrm>
            <a:off x="534066" y="130422"/>
            <a:ext cx="1287780" cy="283210"/>
          </a:xfrm>
          <a:custGeom>
            <a:avLst/>
            <a:gdLst/>
            <a:ahLst/>
            <a:cxnLst/>
            <a:rect l="0" t="0" r="0" b="0"/>
            <a:pathLst>
              <a:path w="1287780" h="283210">
                <a:moveTo>
                  <a:pt x="139420" y="63715"/>
                </a:moveTo>
                <a:lnTo>
                  <a:pt x="135102" y="63715"/>
                </a:lnTo>
                <a:lnTo>
                  <a:pt x="131559" y="67246"/>
                </a:lnTo>
                <a:lnTo>
                  <a:pt x="131559" y="71602"/>
                </a:lnTo>
              </a:path>
              <a:path w="1287780" h="283210">
                <a:moveTo>
                  <a:pt x="139420" y="63715"/>
                </a:moveTo>
                <a:lnTo>
                  <a:pt x="178041" y="63715"/>
                </a:lnTo>
              </a:path>
              <a:path w="1287780" h="283210">
                <a:moveTo>
                  <a:pt x="185940" y="71602"/>
                </a:moveTo>
                <a:lnTo>
                  <a:pt x="185940" y="67246"/>
                </a:lnTo>
                <a:lnTo>
                  <a:pt x="182397" y="63715"/>
                </a:lnTo>
                <a:lnTo>
                  <a:pt x="178041" y="63715"/>
                </a:lnTo>
              </a:path>
              <a:path w="1287780" h="283210">
                <a:moveTo>
                  <a:pt x="185940" y="214947"/>
                </a:moveTo>
                <a:lnTo>
                  <a:pt x="185940" y="69824"/>
                </a:lnTo>
              </a:path>
              <a:path w="1287780" h="283210">
                <a:moveTo>
                  <a:pt x="178041" y="221068"/>
                </a:moveTo>
                <a:lnTo>
                  <a:pt x="182397" y="221068"/>
                </a:lnTo>
                <a:lnTo>
                  <a:pt x="185940" y="217538"/>
                </a:lnTo>
                <a:lnTo>
                  <a:pt x="185940" y="213182"/>
                </a:lnTo>
              </a:path>
              <a:path w="1287780" h="283210">
                <a:moveTo>
                  <a:pt x="139420" y="221068"/>
                </a:moveTo>
                <a:lnTo>
                  <a:pt x="178041" y="221068"/>
                </a:lnTo>
              </a:path>
              <a:path w="1287780" h="283210">
                <a:moveTo>
                  <a:pt x="131559" y="213182"/>
                </a:moveTo>
                <a:lnTo>
                  <a:pt x="131559" y="217538"/>
                </a:lnTo>
                <a:lnTo>
                  <a:pt x="135102" y="221068"/>
                </a:lnTo>
                <a:lnTo>
                  <a:pt x="139420" y="221068"/>
                </a:lnTo>
              </a:path>
              <a:path w="1287780" h="283210">
                <a:moveTo>
                  <a:pt x="371843" y="214947"/>
                </a:moveTo>
                <a:lnTo>
                  <a:pt x="371843" y="69824"/>
                </a:lnTo>
              </a:path>
              <a:path w="1287780" h="283210">
                <a:moveTo>
                  <a:pt x="325348" y="221068"/>
                </a:moveTo>
                <a:lnTo>
                  <a:pt x="363956" y="221068"/>
                </a:lnTo>
              </a:path>
              <a:path w="1287780" h="283210">
                <a:moveTo>
                  <a:pt x="317512" y="213182"/>
                </a:moveTo>
                <a:lnTo>
                  <a:pt x="317512" y="217538"/>
                </a:lnTo>
                <a:lnTo>
                  <a:pt x="321005" y="221068"/>
                </a:lnTo>
                <a:lnTo>
                  <a:pt x="325348" y="221068"/>
                </a:lnTo>
              </a:path>
              <a:path w="1287780" h="283210">
                <a:moveTo>
                  <a:pt x="363956" y="221068"/>
                </a:moveTo>
                <a:lnTo>
                  <a:pt x="368338" y="221068"/>
                </a:lnTo>
                <a:lnTo>
                  <a:pt x="371843" y="217538"/>
                </a:lnTo>
                <a:lnTo>
                  <a:pt x="371843" y="213182"/>
                </a:lnTo>
              </a:path>
              <a:path w="1287780" h="283210">
                <a:moveTo>
                  <a:pt x="325348" y="63715"/>
                </a:moveTo>
                <a:lnTo>
                  <a:pt x="363956" y="63715"/>
                </a:lnTo>
              </a:path>
              <a:path w="1287780" h="283210">
                <a:moveTo>
                  <a:pt x="325348" y="63715"/>
                </a:moveTo>
                <a:lnTo>
                  <a:pt x="321005" y="63715"/>
                </a:lnTo>
                <a:lnTo>
                  <a:pt x="317512" y="67246"/>
                </a:lnTo>
                <a:lnTo>
                  <a:pt x="317512" y="71602"/>
                </a:lnTo>
              </a:path>
              <a:path w="1287780" h="283210">
                <a:moveTo>
                  <a:pt x="371843" y="71602"/>
                </a:moveTo>
                <a:lnTo>
                  <a:pt x="371843" y="67246"/>
                </a:lnTo>
                <a:lnTo>
                  <a:pt x="368338" y="63715"/>
                </a:lnTo>
                <a:lnTo>
                  <a:pt x="363956" y="63715"/>
                </a:lnTo>
              </a:path>
              <a:path w="1287780" h="283210">
                <a:moveTo>
                  <a:pt x="557771" y="214947"/>
                </a:moveTo>
                <a:lnTo>
                  <a:pt x="557771" y="69824"/>
                </a:lnTo>
              </a:path>
              <a:path w="1287780" h="283210">
                <a:moveTo>
                  <a:pt x="511289" y="221068"/>
                </a:moveTo>
                <a:lnTo>
                  <a:pt x="549884" y="221068"/>
                </a:lnTo>
              </a:path>
              <a:path w="1287780" h="283210">
                <a:moveTo>
                  <a:pt x="503428" y="213182"/>
                </a:moveTo>
                <a:lnTo>
                  <a:pt x="503428" y="217538"/>
                </a:lnTo>
                <a:lnTo>
                  <a:pt x="506933" y="221068"/>
                </a:lnTo>
                <a:lnTo>
                  <a:pt x="511289" y="221068"/>
                </a:lnTo>
              </a:path>
              <a:path w="1287780" h="283210">
                <a:moveTo>
                  <a:pt x="549884" y="221068"/>
                </a:moveTo>
                <a:lnTo>
                  <a:pt x="554266" y="221068"/>
                </a:lnTo>
                <a:lnTo>
                  <a:pt x="557771" y="217538"/>
                </a:lnTo>
                <a:lnTo>
                  <a:pt x="557771" y="213182"/>
                </a:lnTo>
              </a:path>
              <a:path w="1287780" h="283210">
                <a:moveTo>
                  <a:pt x="511289" y="63715"/>
                </a:moveTo>
                <a:lnTo>
                  <a:pt x="549884" y="63715"/>
                </a:lnTo>
              </a:path>
              <a:path w="1287780" h="283210">
                <a:moveTo>
                  <a:pt x="511289" y="63715"/>
                </a:moveTo>
                <a:lnTo>
                  <a:pt x="506933" y="63715"/>
                </a:lnTo>
                <a:lnTo>
                  <a:pt x="503428" y="67246"/>
                </a:lnTo>
                <a:lnTo>
                  <a:pt x="503428" y="71602"/>
                </a:lnTo>
              </a:path>
              <a:path w="1287780" h="283210">
                <a:moveTo>
                  <a:pt x="557771" y="71602"/>
                </a:moveTo>
                <a:lnTo>
                  <a:pt x="557771" y="67246"/>
                </a:lnTo>
                <a:lnTo>
                  <a:pt x="554266" y="63715"/>
                </a:lnTo>
                <a:lnTo>
                  <a:pt x="549884" y="63715"/>
                </a:lnTo>
              </a:path>
              <a:path w="1287780" h="283210">
                <a:moveTo>
                  <a:pt x="743712" y="214947"/>
                </a:moveTo>
                <a:lnTo>
                  <a:pt x="743712" y="69824"/>
                </a:lnTo>
              </a:path>
              <a:path w="1287780" h="283210">
                <a:moveTo>
                  <a:pt x="697217" y="221068"/>
                </a:moveTo>
                <a:lnTo>
                  <a:pt x="735838" y="221068"/>
                </a:lnTo>
              </a:path>
              <a:path w="1287780" h="283210">
                <a:moveTo>
                  <a:pt x="689343" y="213182"/>
                </a:moveTo>
                <a:lnTo>
                  <a:pt x="689343" y="217538"/>
                </a:lnTo>
                <a:lnTo>
                  <a:pt x="692886" y="221068"/>
                </a:lnTo>
                <a:lnTo>
                  <a:pt x="697217" y="221068"/>
                </a:lnTo>
              </a:path>
              <a:path w="1287780" h="283210">
                <a:moveTo>
                  <a:pt x="735838" y="221068"/>
                </a:moveTo>
                <a:lnTo>
                  <a:pt x="740168" y="221068"/>
                </a:lnTo>
                <a:lnTo>
                  <a:pt x="743712" y="217538"/>
                </a:lnTo>
                <a:lnTo>
                  <a:pt x="743712" y="213182"/>
                </a:lnTo>
              </a:path>
              <a:path w="1287780" h="283210">
                <a:moveTo>
                  <a:pt x="697217" y="63715"/>
                </a:moveTo>
                <a:lnTo>
                  <a:pt x="735838" y="63715"/>
                </a:lnTo>
              </a:path>
              <a:path w="1287780" h="283210">
                <a:moveTo>
                  <a:pt x="697217" y="63715"/>
                </a:moveTo>
                <a:lnTo>
                  <a:pt x="692886" y="63715"/>
                </a:lnTo>
                <a:lnTo>
                  <a:pt x="689343" y="67246"/>
                </a:lnTo>
                <a:lnTo>
                  <a:pt x="689343" y="71602"/>
                </a:lnTo>
              </a:path>
              <a:path w="1287780" h="283210">
                <a:moveTo>
                  <a:pt x="743712" y="71602"/>
                </a:moveTo>
                <a:lnTo>
                  <a:pt x="743712" y="67246"/>
                </a:lnTo>
                <a:lnTo>
                  <a:pt x="740168" y="63715"/>
                </a:lnTo>
                <a:lnTo>
                  <a:pt x="735838" y="63715"/>
                </a:lnTo>
              </a:path>
              <a:path w="1287780" h="283210">
                <a:moveTo>
                  <a:pt x="929640" y="214947"/>
                </a:moveTo>
                <a:lnTo>
                  <a:pt x="929640" y="69824"/>
                </a:lnTo>
              </a:path>
              <a:path w="1287780" h="283210">
                <a:moveTo>
                  <a:pt x="883119" y="221068"/>
                </a:moveTo>
                <a:lnTo>
                  <a:pt x="921766" y="221068"/>
                </a:lnTo>
              </a:path>
              <a:path w="1287780" h="283210">
                <a:moveTo>
                  <a:pt x="875258" y="213182"/>
                </a:moveTo>
                <a:lnTo>
                  <a:pt x="875258" y="217538"/>
                </a:lnTo>
                <a:lnTo>
                  <a:pt x="878801" y="221068"/>
                </a:lnTo>
                <a:lnTo>
                  <a:pt x="883119" y="221068"/>
                </a:lnTo>
              </a:path>
              <a:path w="1287780" h="283210">
                <a:moveTo>
                  <a:pt x="921766" y="221068"/>
                </a:moveTo>
                <a:lnTo>
                  <a:pt x="926096" y="221068"/>
                </a:lnTo>
                <a:lnTo>
                  <a:pt x="929640" y="217538"/>
                </a:lnTo>
                <a:lnTo>
                  <a:pt x="929640" y="213182"/>
                </a:lnTo>
              </a:path>
              <a:path w="1287780" h="283210">
                <a:moveTo>
                  <a:pt x="883119" y="63715"/>
                </a:moveTo>
                <a:lnTo>
                  <a:pt x="921766" y="63715"/>
                </a:lnTo>
              </a:path>
              <a:path w="1287780" h="283210">
                <a:moveTo>
                  <a:pt x="883119" y="63715"/>
                </a:moveTo>
                <a:lnTo>
                  <a:pt x="878801" y="63715"/>
                </a:lnTo>
                <a:lnTo>
                  <a:pt x="875258" y="67246"/>
                </a:lnTo>
                <a:lnTo>
                  <a:pt x="875258" y="71602"/>
                </a:lnTo>
              </a:path>
              <a:path w="1287780" h="283210">
                <a:moveTo>
                  <a:pt x="929640" y="71602"/>
                </a:moveTo>
                <a:lnTo>
                  <a:pt x="929640" y="67246"/>
                </a:lnTo>
                <a:lnTo>
                  <a:pt x="926096" y="63715"/>
                </a:lnTo>
                <a:lnTo>
                  <a:pt x="921766" y="63715"/>
                </a:lnTo>
              </a:path>
              <a:path w="1287780" h="283210">
                <a:moveTo>
                  <a:pt x="1115568" y="214947"/>
                </a:moveTo>
                <a:lnTo>
                  <a:pt x="1115568" y="69824"/>
                </a:lnTo>
              </a:path>
              <a:path w="1287780" h="283210">
                <a:moveTo>
                  <a:pt x="1069047" y="221068"/>
                </a:moveTo>
                <a:lnTo>
                  <a:pt x="1107668" y="221068"/>
                </a:lnTo>
              </a:path>
              <a:path w="1287780" h="283210">
                <a:moveTo>
                  <a:pt x="1061212" y="213182"/>
                </a:moveTo>
                <a:lnTo>
                  <a:pt x="1061212" y="217538"/>
                </a:lnTo>
                <a:lnTo>
                  <a:pt x="1064717" y="221068"/>
                </a:lnTo>
                <a:lnTo>
                  <a:pt x="1069047" y="221068"/>
                </a:lnTo>
              </a:path>
              <a:path w="1287780" h="283210">
                <a:moveTo>
                  <a:pt x="1107668" y="221068"/>
                </a:moveTo>
                <a:lnTo>
                  <a:pt x="1112024" y="221068"/>
                </a:lnTo>
                <a:lnTo>
                  <a:pt x="1115568" y="217538"/>
                </a:lnTo>
                <a:lnTo>
                  <a:pt x="1115568" y="213182"/>
                </a:lnTo>
              </a:path>
              <a:path w="1287780" h="283210">
                <a:moveTo>
                  <a:pt x="1069047" y="63715"/>
                </a:moveTo>
                <a:lnTo>
                  <a:pt x="1107668" y="63715"/>
                </a:lnTo>
              </a:path>
              <a:path w="1287780" h="283210">
                <a:moveTo>
                  <a:pt x="1069047" y="63715"/>
                </a:moveTo>
                <a:lnTo>
                  <a:pt x="1064717" y="63715"/>
                </a:lnTo>
                <a:lnTo>
                  <a:pt x="1061212" y="67246"/>
                </a:lnTo>
                <a:lnTo>
                  <a:pt x="1061212" y="71602"/>
                </a:lnTo>
              </a:path>
              <a:path w="1287780" h="283210">
                <a:moveTo>
                  <a:pt x="1115568" y="71602"/>
                </a:moveTo>
                <a:lnTo>
                  <a:pt x="1115568" y="67246"/>
                </a:lnTo>
                <a:lnTo>
                  <a:pt x="1112024" y="63715"/>
                </a:lnTo>
                <a:lnTo>
                  <a:pt x="1107668" y="63715"/>
                </a:lnTo>
              </a:path>
              <a:path w="1287780" h="283210">
                <a:moveTo>
                  <a:pt x="1115568" y="214947"/>
                </a:moveTo>
                <a:lnTo>
                  <a:pt x="1115568" y="69824"/>
                </a:lnTo>
              </a:path>
              <a:path w="1287780" h="283210">
                <a:moveTo>
                  <a:pt x="1280502" y="141566"/>
                </a:moveTo>
                <a:lnTo>
                  <a:pt x="1285517" y="127199"/>
                </a:lnTo>
                <a:lnTo>
                  <a:pt x="1287189" y="112255"/>
                </a:lnTo>
                <a:lnTo>
                  <a:pt x="1285517" y="97311"/>
                </a:lnTo>
                <a:lnTo>
                  <a:pt x="1280502" y="82943"/>
                </a:lnTo>
              </a:path>
              <a:path w="1287780" h="283210">
                <a:moveTo>
                  <a:pt x="1287183" y="86525"/>
                </a:moveTo>
                <a:lnTo>
                  <a:pt x="1287183" y="196634"/>
                </a:lnTo>
              </a:path>
              <a:path w="1287780" h="283210">
                <a:moveTo>
                  <a:pt x="1255433" y="75793"/>
                </a:moveTo>
                <a:lnTo>
                  <a:pt x="1255433" y="207378"/>
                </a:lnTo>
              </a:path>
              <a:path w="1287780" h="283210">
                <a:moveTo>
                  <a:pt x="1247140" y="61493"/>
                </a:moveTo>
                <a:lnTo>
                  <a:pt x="1247140" y="221678"/>
                </a:lnTo>
              </a:path>
              <a:path w="1287780" h="283210">
                <a:moveTo>
                  <a:pt x="1251115" y="221678"/>
                </a:moveTo>
                <a:lnTo>
                  <a:pt x="1253502" y="221678"/>
                </a:lnTo>
                <a:lnTo>
                  <a:pt x="1255433" y="219735"/>
                </a:lnTo>
                <a:lnTo>
                  <a:pt x="1255433" y="217373"/>
                </a:lnTo>
              </a:path>
              <a:path w="1287780" h="283210">
                <a:moveTo>
                  <a:pt x="1280502" y="200202"/>
                </a:moveTo>
                <a:lnTo>
                  <a:pt x="1285517" y="185836"/>
                </a:lnTo>
                <a:lnTo>
                  <a:pt x="1287189" y="170894"/>
                </a:lnTo>
                <a:lnTo>
                  <a:pt x="1285517" y="155947"/>
                </a:lnTo>
                <a:lnTo>
                  <a:pt x="1280502" y="141566"/>
                </a:lnTo>
              </a:path>
              <a:path w="1287780" h="283210">
                <a:moveTo>
                  <a:pt x="1282941" y="200202"/>
                </a:moveTo>
                <a:lnTo>
                  <a:pt x="1262570" y="200202"/>
                </a:lnTo>
              </a:path>
              <a:path w="1287780" h="283210">
                <a:moveTo>
                  <a:pt x="1282941" y="200202"/>
                </a:moveTo>
                <a:lnTo>
                  <a:pt x="1285011" y="200202"/>
                </a:lnTo>
                <a:lnTo>
                  <a:pt x="1286827" y="198716"/>
                </a:lnTo>
                <a:lnTo>
                  <a:pt x="1287183" y="196634"/>
                </a:lnTo>
              </a:path>
              <a:path w="1287780" h="283210">
                <a:moveTo>
                  <a:pt x="1262570" y="200202"/>
                </a:moveTo>
                <a:lnTo>
                  <a:pt x="1258620" y="200202"/>
                </a:lnTo>
                <a:lnTo>
                  <a:pt x="1255433" y="203403"/>
                </a:lnTo>
                <a:lnTo>
                  <a:pt x="1255433" y="207378"/>
                </a:lnTo>
              </a:path>
              <a:path w="1287780" h="283210">
                <a:moveTo>
                  <a:pt x="1255433" y="207378"/>
                </a:moveTo>
                <a:lnTo>
                  <a:pt x="1255433" y="217373"/>
                </a:lnTo>
              </a:path>
              <a:path w="1287780" h="283210">
                <a:moveTo>
                  <a:pt x="1280502" y="141566"/>
                </a:moveTo>
                <a:lnTo>
                  <a:pt x="1255433" y="141566"/>
                </a:lnTo>
              </a:path>
              <a:path w="1287780" h="283210">
                <a:moveTo>
                  <a:pt x="1251115" y="221678"/>
                </a:moveTo>
                <a:lnTo>
                  <a:pt x="1247140" y="221678"/>
                </a:lnTo>
              </a:path>
              <a:path w="1287780" h="283210">
                <a:moveTo>
                  <a:pt x="1255433" y="65773"/>
                </a:moveTo>
                <a:lnTo>
                  <a:pt x="1255433" y="63398"/>
                </a:lnTo>
                <a:lnTo>
                  <a:pt x="1253502" y="61493"/>
                </a:lnTo>
                <a:lnTo>
                  <a:pt x="1251115" y="61493"/>
                </a:lnTo>
              </a:path>
              <a:path w="1287780" h="283210">
                <a:moveTo>
                  <a:pt x="1282941" y="82943"/>
                </a:moveTo>
                <a:lnTo>
                  <a:pt x="1262570" y="82943"/>
                </a:lnTo>
              </a:path>
              <a:path w="1287780" h="283210">
                <a:moveTo>
                  <a:pt x="1287183" y="86525"/>
                </a:moveTo>
                <a:lnTo>
                  <a:pt x="1286827" y="84454"/>
                </a:lnTo>
                <a:lnTo>
                  <a:pt x="1285011" y="82943"/>
                </a:lnTo>
                <a:lnTo>
                  <a:pt x="1282941" y="82943"/>
                </a:lnTo>
              </a:path>
              <a:path w="1287780" h="283210">
                <a:moveTo>
                  <a:pt x="1255433" y="65773"/>
                </a:moveTo>
                <a:lnTo>
                  <a:pt x="1255433" y="75793"/>
                </a:lnTo>
              </a:path>
              <a:path w="1287780" h="283210">
                <a:moveTo>
                  <a:pt x="1255433" y="75793"/>
                </a:moveTo>
                <a:lnTo>
                  <a:pt x="1255433" y="79743"/>
                </a:lnTo>
                <a:lnTo>
                  <a:pt x="1258620" y="82943"/>
                </a:lnTo>
                <a:lnTo>
                  <a:pt x="1262570" y="82943"/>
                </a:lnTo>
              </a:path>
              <a:path w="1287780" h="283210">
                <a:moveTo>
                  <a:pt x="1251115" y="61493"/>
                </a:moveTo>
                <a:lnTo>
                  <a:pt x="1247140" y="61493"/>
                </a:lnTo>
              </a:path>
              <a:path w="1287780" h="283210">
                <a:moveTo>
                  <a:pt x="131559" y="68198"/>
                </a:moveTo>
                <a:lnTo>
                  <a:pt x="131559" y="214947"/>
                </a:lnTo>
              </a:path>
              <a:path w="1287780" h="283210">
                <a:moveTo>
                  <a:pt x="101536" y="247421"/>
                </a:moveTo>
                <a:lnTo>
                  <a:pt x="101536" y="35750"/>
                </a:lnTo>
              </a:path>
              <a:path w="1287780" h="283210">
                <a:moveTo>
                  <a:pt x="30010" y="247421"/>
                </a:moveTo>
                <a:lnTo>
                  <a:pt x="30010" y="35750"/>
                </a:lnTo>
              </a:path>
              <a:path w="1287780" h="283210">
                <a:moveTo>
                  <a:pt x="0" y="68198"/>
                </a:moveTo>
                <a:lnTo>
                  <a:pt x="0" y="214947"/>
                </a:lnTo>
              </a:path>
              <a:path w="1287780" h="283210">
                <a:moveTo>
                  <a:pt x="65760" y="0"/>
                </a:moveTo>
                <a:lnTo>
                  <a:pt x="51859" y="2807"/>
                </a:lnTo>
                <a:lnTo>
                  <a:pt x="40493" y="10464"/>
                </a:lnTo>
                <a:lnTo>
                  <a:pt x="32824" y="21827"/>
                </a:lnTo>
                <a:lnTo>
                  <a:pt x="30010" y="35750"/>
                </a:lnTo>
              </a:path>
              <a:path w="1287780" h="283210">
                <a:moveTo>
                  <a:pt x="30010" y="44894"/>
                </a:moveTo>
                <a:lnTo>
                  <a:pt x="30010" y="35750"/>
                </a:lnTo>
              </a:path>
              <a:path w="1287780" h="283210">
                <a:moveTo>
                  <a:pt x="101536" y="35750"/>
                </a:moveTo>
                <a:lnTo>
                  <a:pt x="98725" y="21827"/>
                </a:lnTo>
                <a:lnTo>
                  <a:pt x="91059" y="10464"/>
                </a:lnTo>
                <a:lnTo>
                  <a:pt x="79687" y="2807"/>
                </a:lnTo>
                <a:lnTo>
                  <a:pt x="65760" y="0"/>
                </a:lnTo>
              </a:path>
              <a:path w="1287780" h="283210">
                <a:moveTo>
                  <a:pt x="101536" y="44894"/>
                </a:moveTo>
                <a:lnTo>
                  <a:pt x="101536" y="35750"/>
                </a:lnTo>
              </a:path>
              <a:path w="1287780" h="283210">
                <a:moveTo>
                  <a:pt x="16471" y="59181"/>
                </a:moveTo>
                <a:lnTo>
                  <a:pt x="24066" y="58788"/>
                </a:lnTo>
                <a:lnTo>
                  <a:pt x="30010" y="52514"/>
                </a:lnTo>
                <a:lnTo>
                  <a:pt x="30010" y="44894"/>
                </a:lnTo>
              </a:path>
              <a:path w="1287780" h="283210">
                <a:moveTo>
                  <a:pt x="8115" y="59626"/>
                </a:moveTo>
                <a:lnTo>
                  <a:pt x="3556" y="59855"/>
                </a:lnTo>
                <a:lnTo>
                  <a:pt x="0" y="63639"/>
                </a:lnTo>
                <a:lnTo>
                  <a:pt x="0" y="68198"/>
                </a:lnTo>
              </a:path>
              <a:path w="1287780" h="283210">
                <a:moveTo>
                  <a:pt x="8115" y="59626"/>
                </a:moveTo>
                <a:lnTo>
                  <a:pt x="16471" y="59181"/>
                </a:lnTo>
              </a:path>
              <a:path w="1287780" h="283210">
                <a:moveTo>
                  <a:pt x="123443" y="59626"/>
                </a:moveTo>
                <a:lnTo>
                  <a:pt x="115087" y="59181"/>
                </a:lnTo>
              </a:path>
              <a:path w="1287780" h="283210">
                <a:moveTo>
                  <a:pt x="131559" y="68198"/>
                </a:moveTo>
                <a:lnTo>
                  <a:pt x="131559" y="63639"/>
                </a:lnTo>
                <a:lnTo>
                  <a:pt x="127977" y="59855"/>
                </a:lnTo>
                <a:lnTo>
                  <a:pt x="123443" y="59626"/>
                </a:lnTo>
              </a:path>
              <a:path w="1287780" h="283210">
                <a:moveTo>
                  <a:pt x="101536" y="44894"/>
                </a:moveTo>
                <a:lnTo>
                  <a:pt x="101536" y="52514"/>
                </a:lnTo>
                <a:lnTo>
                  <a:pt x="107505" y="58788"/>
                </a:lnTo>
                <a:lnTo>
                  <a:pt x="115087" y="59181"/>
                </a:lnTo>
              </a:path>
              <a:path w="1287780" h="283210">
                <a:moveTo>
                  <a:pt x="30010" y="247421"/>
                </a:moveTo>
                <a:lnTo>
                  <a:pt x="32824" y="261326"/>
                </a:lnTo>
                <a:lnTo>
                  <a:pt x="40493" y="272686"/>
                </a:lnTo>
                <a:lnTo>
                  <a:pt x="51859" y="280348"/>
                </a:lnTo>
                <a:lnTo>
                  <a:pt x="65760" y="283159"/>
                </a:lnTo>
              </a:path>
              <a:path w="1287780" h="283210">
                <a:moveTo>
                  <a:pt x="65760" y="283159"/>
                </a:moveTo>
                <a:lnTo>
                  <a:pt x="79687" y="280348"/>
                </a:lnTo>
                <a:lnTo>
                  <a:pt x="91059" y="272686"/>
                </a:lnTo>
                <a:lnTo>
                  <a:pt x="98725" y="261326"/>
                </a:lnTo>
                <a:lnTo>
                  <a:pt x="101536" y="247421"/>
                </a:lnTo>
              </a:path>
              <a:path w="1287780" h="283210">
                <a:moveTo>
                  <a:pt x="30010" y="238239"/>
                </a:moveTo>
                <a:lnTo>
                  <a:pt x="30010" y="230644"/>
                </a:lnTo>
                <a:lnTo>
                  <a:pt x="24066" y="224370"/>
                </a:lnTo>
                <a:lnTo>
                  <a:pt x="16471" y="223951"/>
                </a:lnTo>
              </a:path>
              <a:path w="1287780" h="283210">
                <a:moveTo>
                  <a:pt x="0" y="214947"/>
                </a:moveTo>
                <a:lnTo>
                  <a:pt x="0" y="219519"/>
                </a:lnTo>
                <a:lnTo>
                  <a:pt x="3556" y="223291"/>
                </a:lnTo>
                <a:lnTo>
                  <a:pt x="8115" y="223532"/>
                </a:lnTo>
              </a:path>
              <a:path w="1287780" h="283210">
                <a:moveTo>
                  <a:pt x="8115" y="223532"/>
                </a:moveTo>
                <a:lnTo>
                  <a:pt x="16471" y="223951"/>
                </a:lnTo>
              </a:path>
              <a:path w="1287780" h="283210">
                <a:moveTo>
                  <a:pt x="30010" y="247421"/>
                </a:moveTo>
                <a:lnTo>
                  <a:pt x="30010" y="238239"/>
                </a:lnTo>
              </a:path>
              <a:path w="1287780" h="283210">
                <a:moveTo>
                  <a:pt x="101536" y="247421"/>
                </a:moveTo>
                <a:lnTo>
                  <a:pt x="101536" y="238239"/>
                </a:lnTo>
              </a:path>
              <a:path w="1287780" h="283210">
                <a:moveTo>
                  <a:pt x="123443" y="223532"/>
                </a:moveTo>
                <a:lnTo>
                  <a:pt x="115087" y="223951"/>
                </a:lnTo>
              </a:path>
              <a:path w="1287780" h="283210">
                <a:moveTo>
                  <a:pt x="123443" y="223532"/>
                </a:moveTo>
                <a:lnTo>
                  <a:pt x="127977" y="223291"/>
                </a:lnTo>
                <a:lnTo>
                  <a:pt x="131559" y="219519"/>
                </a:lnTo>
                <a:lnTo>
                  <a:pt x="131559" y="214947"/>
                </a:lnTo>
              </a:path>
              <a:path w="1287780" h="283210">
                <a:moveTo>
                  <a:pt x="115087" y="223951"/>
                </a:moveTo>
                <a:lnTo>
                  <a:pt x="107505" y="224370"/>
                </a:lnTo>
                <a:lnTo>
                  <a:pt x="101536" y="230644"/>
                </a:lnTo>
                <a:lnTo>
                  <a:pt x="101536" y="238239"/>
                </a:lnTo>
              </a:path>
              <a:path w="1287780" h="283210">
                <a:moveTo>
                  <a:pt x="317512" y="68198"/>
                </a:moveTo>
                <a:lnTo>
                  <a:pt x="317512" y="214947"/>
                </a:lnTo>
              </a:path>
              <a:path w="1287780" h="283210">
                <a:moveTo>
                  <a:pt x="215963" y="247421"/>
                </a:moveTo>
                <a:lnTo>
                  <a:pt x="215963" y="35750"/>
                </a:lnTo>
              </a:path>
              <a:path w="1287780" h="283210">
                <a:moveTo>
                  <a:pt x="287464" y="247421"/>
                </a:moveTo>
                <a:lnTo>
                  <a:pt x="287464" y="35750"/>
                </a:lnTo>
              </a:path>
              <a:path w="1287780" h="283210">
                <a:moveTo>
                  <a:pt x="301028" y="223951"/>
                </a:moveTo>
                <a:lnTo>
                  <a:pt x="293408" y="224370"/>
                </a:lnTo>
                <a:lnTo>
                  <a:pt x="287464" y="230644"/>
                </a:lnTo>
                <a:lnTo>
                  <a:pt x="287464" y="238239"/>
                </a:lnTo>
              </a:path>
              <a:path w="1287780" h="283210">
                <a:moveTo>
                  <a:pt x="215963" y="238239"/>
                </a:moveTo>
                <a:lnTo>
                  <a:pt x="215963" y="230644"/>
                </a:lnTo>
                <a:lnTo>
                  <a:pt x="209994" y="224370"/>
                </a:lnTo>
                <a:lnTo>
                  <a:pt x="202412" y="223951"/>
                </a:lnTo>
              </a:path>
              <a:path w="1287780" h="283210">
                <a:moveTo>
                  <a:pt x="215963" y="247421"/>
                </a:moveTo>
                <a:lnTo>
                  <a:pt x="215963" y="238239"/>
                </a:lnTo>
              </a:path>
              <a:path w="1287780" h="283210">
                <a:moveTo>
                  <a:pt x="287464" y="247421"/>
                </a:moveTo>
                <a:lnTo>
                  <a:pt x="287464" y="238239"/>
                </a:lnTo>
              </a:path>
              <a:path w="1287780" h="283210">
                <a:moveTo>
                  <a:pt x="194030" y="223532"/>
                </a:moveTo>
                <a:lnTo>
                  <a:pt x="202412" y="223951"/>
                </a:lnTo>
              </a:path>
              <a:path w="1287780" h="283210">
                <a:moveTo>
                  <a:pt x="309372" y="223532"/>
                </a:moveTo>
                <a:lnTo>
                  <a:pt x="313931" y="223291"/>
                </a:lnTo>
                <a:lnTo>
                  <a:pt x="317512" y="219519"/>
                </a:lnTo>
                <a:lnTo>
                  <a:pt x="317512" y="214947"/>
                </a:lnTo>
              </a:path>
              <a:path w="1287780" h="283210">
                <a:moveTo>
                  <a:pt x="309372" y="223532"/>
                </a:moveTo>
                <a:lnTo>
                  <a:pt x="301028" y="223951"/>
                </a:lnTo>
              </a:path>
              <a:path w="1287780" h="283210">
                <a:moveTo>
                  <a:pt x="287464" y="44894"/>
                </a:moveTo>
                <a:lnTo>
                  <a:pt x="287464" y="52514"/>
                </a:lnTo>
                <a:lnTo>
                  <a:pt x="293408" y="58788"/>
                </a:lnTo>
                <a:lnTo>
                  <a:pt x="301028" y="59181"/>
                </a:lnTo>
              </a:path>
              <a:path w="1287780" h="283210">
                <a:moveTo>
                  <a:pt x="287464" y="44894"/>
                </a:moveTo>
                <a:lnTo>
                  <a:pt x="287464" y="35750"/>
                </a:lnTo>
              </a:path>
              <a:path w="1287780" h="283210">
                <a:moveTo>
                  <a:pt x="215963" y="44894"/>
                </a:moveTo>
                <a:lnTo>
                  <a:pt x="215963" y="35750"/>
                </a:lnTo>
              </a:path>
              <a:path w="1287780" h="283210">
                <a:moveTo>
                  <a:pt x="194030" y="59626"/>
                </a:moveTo>
                <a:lnTo>
                  <a:pt x="202412" y="59181"/>
                </a:lnTo>
              </a:path>
              <a:path w="1287780" h="283210">
                <a:moveTo>
                  <a:pt x="202412" y="59181"/>
                </a:moveTo>
                <a:lnTo>
                  <a:pt x="209994" y="58788"/>
                </a:lnTo>
                <a:lnTo>
                  <a:pt x="215963" y="52514"/>
                </a:lnTo>
                <a:lnTo>
                  <a:pt x="215963" y="44894"/>
                </a:lnTo>
              </a:path>
              <a:path w="1287780" h="283210">
                <a:moveTo>
                  <a:pt x="317512" y="68198"/>
                </a:moveTo>
                <a:lnTo>
                  <a:pt x="317512" y="63639"/>
                </a:lnTo>
                <a:lnTo>
                  <a:pt x="313931" y="59855"/>
                </a:lnTo>
                <a:lnTo>
                  <a:pt x="309372" y="59626"/>
                </a:lnTo>
              </a:path>
            </a:pathLst>
          </a:custGeom>
          <a:ln w="10185">
            <a:solidFill>
              <a:srgbClr val="000000"/>
            </a:solidFill>
          </a:ln>
        </xdr:spPr>
      </xdr:sp>
      <xdr:sp macro="" textlink="">
        <xdr:nvSpPr>
          <xdr:cNvPr id="190" name="Shape 689">
            <a:extLst>
              <a:ext uri="{FF2B5EF4-FFF2-40B4-BE49-F238E27FC236}">
                <a16:creationId xmlns:a16="http://schemas.microsoft.com/office/drawing/2014/main" id="{E5545C00-BF3D-25CD-38C1-9CF41DCD754A}"/>
              </a:ext>
            </a:extLst>
          </xdr:cNvPr>
          <xdr:cNvSpPr/>
        </xdr:nvSpPr>
        <xdr:spPr>
          <a:xfrm>
            <a:off x="720003" y="130418"/>
            <a:ext cx="1061720" cy="283210"/>
          </a:xfrm>
          <a:custGeom>
            <a:avLst/>
            <a:gdLst/>
            <a:ahLst/>
            <a:cxnLst/>
            <a:rect l="0" t="0" r="0" b="0"/>
            <a:pathLst>
              <a:path w="1061720" h="283210">
                <a:moveTo>
                  <a:pt x="123431" y="59626"/>
                </a:moveTo>
                <a:lnTo>
                  <a:pt x="115100" y="59194"/>
                </a:lnTo>
              </a:path>
              <a:path w="1061720" h="283210">
                <a:moveTo>
                  <a:pt x="65773" y="283171"/>
                </a:moveTo>
                <a:lnTo>
                  <a:pt x="79685" y="280361"/>
                </a:lnTo>
                <a:lnTo>
                  <a:pt x="91049" y="272699"/>
                </a:lnTo>
                <a:lnTo>
                  <a:pt x="98713" y="261338"/>
                </a:lnTo>
                <a:lnTo>
                  <a:pt x="101523" y="247434"/>
                </a:lnTo>
              </a:path>
              <a:path w="1061720" h="283210">
                <a:moveTo>
                  <a:pt x="30022" y="247434"/>
                </a:moveTo>
                <a:lnTo>
                  <a:pt x="32829" y="261338"/>
                </a:lnTo>
                <a:lnTo>
                  <a:pt x="40487" y="272699"/>
                </a:lnTo>
                <a:lnTo>
                  <a:pt x="51850" y="280361"/>
                </a:lnTo>
                <a:lnTo>
                  <a:pt x="65773" y="283171"/>
                </a:lnTo>
              </a:path>
              <a:path w="1061720" h="283210">
                <a:moveTo>
                  <a:pt x="65773" y="0"/>
                </a:moveTo>
                <a:lnTo>
                  <a:pt x="51850" y="2807"/>
                </a:lnTo>
                <a:lnTo>
                  <a:pt x="40487" y="10464"/>
                </a:lnTo>
                <a:lnTo>
                  <a:pt x="32829" y="21827"/>
                </a:lnTo>
                <a:lnTo>
                  <a:pt x="30022" y="35750"/>
                </a:lnTo>
              </a:path>
              <a:path w="1061720" h="283210">
                <a:moveTo>
                  <a:pt x="101523" y="35750"/>
                </a:moveTo>
                <a:lnTo>
                  <a:pt x="98713" y="21827"/>
                </a:lnTo>
                <a:lnTo>
                  <a:pt x="91049" y="10464"/>
                </a:lnTo>
                <a:lnTo>
                  <a:pt x="79685" y="2807"/>
                </a:lnTo>
                <a:lnTo>
                  <a:pt x="65773" y="0"/>
                </a:lnTo>
              </a:path>
              <a:path w="1061720" h="283210">
                <a:moveTo>
                  <a:pt x="8089" y="59626"/>
                </a:moveTo>
                <a:lnTo>
                  <a:pt x="3555" y="59867"/>
                </a:lnTo>
                <a:lnTo>
                  <a:pt x="0" y="63652"/>
                </a:lnTo>
                <a:lnTo>
                  <a:pt x="0" y="68199"/>
                </a:lnTo>
              </a:path>
              <a:path w="1061720" h="283210">
                <a:moveTo>
                  <a:pt x="0" y="214960"/>
                </a:moveTo>
                <a:lnTo>
                  <a:pt x="0" y="219519"/>
                </a:lnTo>
                <a:lnTo>
                  <a:pt x="3555" y="223291"/>
                </a:lnTo>
                <a:lnTo>
                  <a:pt x="8089" y="223532"/>
                </a:lnTo>
              </a:path>
              <a:path w="1061720" h="283210">
                <a:moveTo>
                  <a:pt x="317499" y="68199"/>
                </a:moveTo>
                <a:lnTo>
                  <a:pt x="317499" y="214960"/>
                </a:lnTo>
              </a:path>
              <a:path w="1061720" h="283210">
                <a:moveTo>
                  <a:pt x="215950" y="247434"/>
                </a:moveTo>
                <a:lnTo>
                  <a:pt x="215950" y="35750"/>
                </a:lnTo>
              </a:path>
              <a:path w="1061720" h="283210">
                <a:moveTo>
                  <a:pt x="287426" y="247434"/>
                </a:moveTo>
                <a:lnTo>
                  <a:pt x="287426" y="35750"/>
                </a:lnTo>
              </a:path>
              <a:path w="1061720" h="283210">
                <a:moveTo>
                  <a:pt x="301015" y="223964"/>
                </a:moveTo>
                <a:lnTo>
                  <a:pt x="293395" y="224370"/>
                </a:lnTo>
                <a:lnTo>
                  <a:pt x="287426" y="230644"/>
                </a:lnTo>
                <a:lnTo>
                  <a:pt x="287426" y="238239"/>
                </a:lnTo>
              </a:path>
              <a:path w="1061720" h="283210">
                <a:moveTo>
                  <a:pt x="215950" y="238239"/>
                </a:moveTo>
                <a:lnTo>
                  <a:pt x="215950" y="230644"/>
                </a:lnTo>
                <a:lnTo>
                  <a:pt x="209994" y="224370"/>
                </a:lnTo>
                <a:lnTo>
                  <a:pt x="202374" y="223964"/>
                </a:lnTo>
              </a:path>
              <a:path w="1061720" h="283210">
                <a:moveTo>
                  <a:pt x="215950" y="247434"/>
                </a:moveTo>
                <a:lnTo>
                  <a:pt x="215950" y="238239"/>
                </a:lnTo>
              </a:path>
              <a:path w="1061720" h="283210">
                <a:moveTo>
                  <a:pt x="287426" y="247434"/>
                </a:moveTo>
                <a:lnTo>
                  <a:pt x="287426" y="238239"/>
                </a:lnTo>
              </a:path>
              <a:path w="1061720" h="283210">
                <a:moveTo>
                  <a:pt x="194043" y="223532"/>
                </a:moveTo>
                <a:lnTo>
                  <a:pt x="202374" y="223964"/>
                </a:lnTo>
              </a:path>
              <a:path w="1061720" h="283210">
                <a:moveTo>
                  <a:pt x="309333" y="223532"/>
                </a:moveTo>
                <a:lnTo>
                  <a:pt x="313918" y="223291"/>
                </a:lnTo>
                <a:lnTo>
                  <a:pt x="317499" y="219519"/>
                </a:lnTo>
                <a:lnTo>
                  <a:pt x="317499" y="214960"/>
                </a:lnTo>
              </a:path>
              <a:path w="1061720" h="283210">
                <a:moveTo>
                  <a:pt x="309333" y="223532"/>
                </a:moveTo>
                <a:lnTo>
                  <a:pt x="301015" y="223964"/>
                </a:lnTo>
              </a:path>
              <a:path w="1061720" h="283210">
                <a:moveTo>
                  <a:pt x="287426" y="44907"/>
                </a:moveTo>
                <a:lnTo>
                  <a:pt x="287426" y="52527"/>
                </a:lnTo>
                <a:lnTo>
                  <a:pt x="293395" y="58788"/>
                </a:lnTo>
                <a:lnTo>
                  <a:pt x="301015" y="59194"/>
                </a:lnTo>
              </a:path>
              <a:path w="1061720" h="283210">
                <a:moveTo>
                  <a:pt x="287426" y="44907"/>
                </a:moveTo>
                <a:lnTo>
                  <a:pt x="287426" y="35750"/>
                </a:lnTo>
              </a:path>
              <a:path w="1061720" h="283210">
                <a:moveTo>
                  <a:pt x="215950" y="44907"/>
                </a:moveTo>
                <a:lnTo>
                  <a:pt x="215950" y="35750"/>
                </a:lnTo>
              </a:path>
              <a:path w="1061720" h="283210">
                <a:moveTo>
                  <a:pt x="194043" y="59626"/>
                </a:moveTo>
                <a:lnTo>
                  <a:pt x="202374" y="59194"/>
                </a:lnTo>
              </a:path>
              <a:path w="1061720" h="283210">
                <a:moveTo>
                  <a:pt x="202374" y="59194"/>
                </a:moveTo>
                <a:lnTo>
                  <a:pt x="209994" y="58788"/>
                </a:lnTo>
                <a:lnTo>
                  <a:pt x="215950" y="52527"/>
                </a:lnTo>
                <a:lnTo>
                  <a:pt x="215950" y="44907"/>
                </a:lnTo>
              </a:path>
              <a:path w="1061720" h="283210">
                <a:moveTo>
                  <a:pt x="317499" y="68199"/>
                </a:moveTo>
                <a:lnTo>
                  <a:pt x="317499" y="63652"/>
                </a:lnTo>
                <a:lnTo>
                  <a:pt x="313918" y="59867"/>
                </a:lnTo>
                <a:lnTo>
                  <a:pt x="309333" y="59626"/>
                </a:lnTo>
              </a:path>
              <a:path w="1061720" h="283210">
                <a:moveTo>
                  <a:pt x="309333" y="59626"/>
                </a:moveTo>
                <a:lnTo>
                  <a:pt x="301015" y="59194"/>
                </a:lnTo>
              </a:path>
              <a:path w="1061720" h="283210">
                <a:moveTo>
                  <a:pt x="251701" y="283171"/>
                </a:moveTo>
                <a:lnTo>
                  <a:pt x="265620" y="280361"/>
                </a:lnTo>
                <a:lnTo>
                  <a:pt x="276974" y="272699"/>
                </a:lnTo>
                <a:lnTo>
                  <a:pt x="284623" y="261338"/>
                </a:lnTo>
                <a:lnTo>
                  <a:pt x="287426" y="247434"/>
                </a:lnTo>
              </a:path>
              <a:path w="1061720" h="283210">
                <a:moveTo>
                  <a:pt x="215950" y="247434"/>
                </a:moveTo>
                <a:lnTo>
                  <a:pt x="218757" y="261338"/>
                </a:lnTo>
                <a:lnTo>
                  <a:pt x="226415" y="272699"/>
                </a:lnTo>
                <a:lnTo>
                  <a:pt x="237778" y="280361"/>
                </a:lnTo>
                <a:lnTo>
                  <a:pt x="251701" y="283171"/>
                </a:lnTo>
              </a:path>
              <a:path w="1061720" h="283210">
                <a:moveTo>
                  <a:pt x="251701" y="0"/>
                </a:moveTo>
                <a:lnTo>
                  <a:pt x="237778" y="2807"/>
                </a:lnTo>
                <a:lnTo>
                  <a:pt x="226415" y="10464"/>
                </a:lnTo>
                <a:lnTo>
                  <a:pt x="218757" y="21827"/>
                </a:lnTo>
                <a:lnTo>
                  <a:pt x="215950" y="35750"/>
                </a:lnTo>
              </a:path>
              <a:path w="1061720" h="283210">
                <a:moveTo>
                  <a:pt x="287426" y="35750"/>
                </a:moveTo>
                <a:lnTo>
                  <a:pt x="284623" y="21827"/>
                </a:lnTo>
                <a:lnTo>
                  <a:pt x="276974" y="10464"/>
                </a:lnTo>
                <a:lnTo>
                  <a:pt x="265620" y="2807"/>
                </a:lnTo>
                <a:lnTo>
                  <a:pt x="251701" y="0"/>
                </a:lnTo>
              </a:path>
              <a:path w="1061720" h="283210">
                <a:moveTo>
                  <a:pt x="194043" y="59626"/>
                </a:moveTo>
                <a:lnTo>
                  <a:pt x="189458" y="59867"/>
                </a:lnTo>
                <a:lnTo>
                  <a:pt x="185902" y="63652"/>
                </a:lnTo>
                <a:lnTo>
                  <a:pt x="185902" y="68199"/>
                </a:lnTo>
              </a:path>
              <a:path w="1061720" h="283210">
                <a:moveTo>
                  <a:pt x="185902" y="214960"/>
                </a:moveTo>
                <a:lnTo>
                  <a:pt x="185902" y="219519"/>
                </a:lnTo>
                <a:lnTo>
                  <a:pt x="189458" y="223291"/>
                </a:lnTo>
                <a:lnTo>
                  <a:pt x="194043" y="223532"/>
                </a:lnTo>
              </a:path>
              <a:path w="1061720" h="283210">
                <a:moveTo>
                  <a:pt x="503402" y="68199"/>
                </a:moveTo>
                <a:lnTo>
                  <a:pt x="503402" y="214960"/>
                </a:lnTo>
              </a:path>
              <a:path w="1061720" h="283210">
                <a:moveTo>
                  <a:pt x="401878" y="247434"/>
                </a:moveTo>
                <a:lnTo>
                  <a:pt x="401878" y="35750"/>
                </a:lnTo>
              </a:path>
              <a:path w="1061720" h="283210">
                <a:moveTo>
                  <a:pt x="473354" y="247434"/>
                </a:moveTo>
                <a:lnTo>
                  <a:pt x="473354" y="35750"/>
                </a:lnTo>
              </a:path>
              <a:path w="1061720" h="283210">
                <a:moveTo>
                  <a:pt x="486930" y="223964"/>
                </a:moveTo>
                <a:lnTo>
                  <a:pt x="479348" y="224370"/>
                </a:lnTo>
                <a:lnTo>
                  <a:pt x="473354" y="230644"/>
                </a:lnTo>
                <a:lnTo>
                  <a:pt x="473354" y="238239"/>
                </a:lnTo>
              </a:path>
              <a:path w="1061720" h="283210">
                <a:moveTo>
                  <a:pt x="401878" y="238239"/>
                </a:moveTo>
                <a:lnTo>
                  <a:pt x="401878" y="230644"/>
                </a:lnTo>
                <a:lnTo>
                  <a:pt x="395922" y="224370"/>
                </a:lnTo>
                <a:lnTo>
                  <a:pt x="388302" y="223964"/>
                </a:lnTo>
              </a:path>
              <a:path w="1061720" h="283210">
                <a:moveTo>
                  <a:pt x="401878" y="247434"/>
                </a:moveTo>
                <a:lnTo>
                  <a:pt x="401878" y="238239"/>
                </a:lnTo>
              </a:path>
              <a:path w="1061720" h="283210">
                <a:moveTo>
                  <a:pt x="473354" y="247434"/>
                </a:moveTo>
                <a:lnTo>
                  <a:pt x="473354" y="238239"/>
                </a:lnTo>
              </a:path>
              <a:path w="1061720" h="283210">
                <a:moveTo>
                  <a:pt x="379971" y="223532"/>
                </a:moveTo>
                <a:lnTo>
                  <a:pt x="388302" y="223964"/>
                </a:lnTo>
              </a:path>
              <a:path w="1061720" h="283210">
                <a:moveTo>
                  <a:pt x="495261" y="223532"/>
                </a:moveTo>
                <a:lnTo>
                  <a:pt x="499821" y="223291"/>
                </a:lnTo>
                <a:lnTo>
                  <a:pt x="503402" y="219519"/>
                </a:lnTo>
                <a:lnTo>
                  <a:pt x="503402" y="214960"/>
                </a:lnTo>
              </a:path>
              <a:path w="1061720" h="283210">
                <a:moveTo>
                  <a:pt x="495261" y="223532"/>
                </a:moveTo>
                <a:lnTo>
                  <a:pt x="486930" y="223964"/>
                </a:lnTo>
              </a:path>
              <a:path w="1061720" h="283210">
                <a:moveTo>
                  <a:pt x="473354" y="44907"/>
                </a:moveTo>
                <a:lnTo>
                  <a:pt x="473354" y="52527"/>
                </a:lnTo>
                <a:lnTo>
                  <a:pt x="479348" y="58788"/>
                </a:lnTo>
                <a:lnTo>
                  <a:pt x="486930" y="59194"/>
                </a:lnTo>
              </a:path>
              <a:path w="1061720" h="283210">
                <a:moveTo>
                  <a:pt x="473354" y="44907"/>
                </a:moveTo>
                <a:lnTo>
                  <a:pt x="473354" y="35750"/>
                </a:lnTo>
              </a:path>
              <a:path w="1061720" h="283210">
                <a:moveTo>
                  <a:pt x="401878" y="44907"/>
                </a:moveTo>
                <a:lnTo>
                  <a:pt x="401878" y="35750"/>
                </a:lnTo>
              </a:path>
              <a:path w="1061720" h="283210">
                <a:moveTo>
                  <a:pt x="379971" y="59626"/>
                </a:moveTo>
                <a:lnTo>
                  <a:pt x="388302" y="59194"/>
                </a:lnTo>
              </a:path>
              <a:path w="1061720" h="283210">
                <a:moveTo>
                  <a:pt x="388302" y="59194"/>
                </a:moveTo>
                <a:lnTo>
                  <a:pt x="395922" y="58788"/>
                </a:lnTo>
                <a:lnTo>
                  <a:pt x="401878" y="52527"/>
                </a:lnTo>
                <a:lnTo>
                  <a:pt x="401878" y="44907"/>
                </a:lnTo>
              </a:path>
              <a:path w="1061720" h="283210">
                <a:moveTo>
                  <a:pt x="503402" y="68199"/>
                </a:moveTo>
                <a:lnTo>
                  <a:pt x="503402" y="63652"/>
                </a:lnTo>
                <a:lnTo>
                  <a:pt x="499821" y="59867"/>
                </a:lnTo>
                <a:lnTo>
                  <a:pt x="495261" y="59626"/>
                </a:lnTo>
              </a:path>
              <a:path w="1061720" h="283210">
                <a:moveTo>
                  <a:pt x="495261" y="59626"/>
                </a:moveTo>
                <a:lnTo>
                  <a:pt x="486930" y="59194"/>
                </a:lnTo>
              </a:path>
              <a:path w="1061720" h="283210">
                <a:moveTo>
                  <a:pt x="437603" y="283171"/>
                </a:moveTo>
                <a:lnTo>
                  <a:pt x="451532" y="280361"/>
                </a:lnTo>
                <a:lnTo>
                  <a:pt x="462894" y="272699"/>
                </a:lnTo>
                <a:lnTo>
                  <a:pt x="470549" y="261338"/>
                </a:lnTo>
                <a:lnTo>
                  <a:pt x="473354" y="247434"/>
                </a:lnTo>
              </a:path>
              <a:path w="1061720" h="283210">
                <a:moveTo>
                  <a:pt x="401878" y="247434"/>
                </a:moveTo>
                <a:lnTo>
                  <a:pt x="404689" y="261338"/>
                </a:lnTo>
                <a:lnTo>
                  <a:pt x="412349" y="272699"/>
                </a:lnTo>
                <a:lnTo>
                  <a:pt x="423706" y="280361"/>
                </a:lnTo>
                <a:lnTo>
                  <a:pt x="437603" y="283171"/>
                </a:lnTo>
              </a:path>
              <a:path w="1061720" h="283210">
                <a:moveTo>
                  <a:pt x="437603" y="0"/>
                </a:moveTo>
                <a:lnTo>
                  <a:pt x="423706" y="2807"/>
                </a:lnTo>
                <a:lnTo>
                  <a:pt x="412349" y="10464"/>
                </a:lnTo>
                <a:lnTo>
                  <a:pt x="404689" y="21827"/>
                </a:lnTo>
                <a:lnTo>
                  <a:pt x="401878" y="35750"/>
                </a:lnTo>
              </a:path>
              <a:path w="1061720" h="283210">
                <a:moveTo>
                  <a:pt x="473354" y="35750"/>
                </a:moveTo>
                <a:lnTo>
                  <a:pt x="470549" y="21827"/>
                </a:lnTo>
                <a:lnTo>
                  <a:pt x="462894" y="10464"/>
                </a:lnTo>
                <a:lnTo>
                  <a:pt x="451532" y="2807"/>
                </a:lnTo>
                <a:lnTo>
                  <a:pt x="437603" y="0"/>
                </a:lnTo>
              </a:path>
              <a:path w="1061720" h="283210">
                <a:moveTo>
                  <a:pt x="379971" y="59626"/>
                </a:moveTo>
                <a:lnTo>
                  <a:pt x="375386" y="59867"/>
                </a:lnTo>
                <a:lnTo>
                  <a:pt x="371830" y="63652"/>
                </a:lnTo>
                <a:lnTo>
                  <a:pt x="371830" y="68199"/>
                </a:lnTo>
              </a:path>
              <a:path w="1061720" h="283210">
                <a:moveTo>
                  <a:pt x="371830" y="214960"/>
                </a:moveTo>
                <a:lnTo>
                  <a:pt x="371830" y="219519"/>
                </a:lnTo>
                <a:lnTo>
                  <a:pt x="375386" y="223291"/>
                </a:lnTo>
                <a:lnTo>
                  <a:pt x="379971" y="223532"/>
                </a:lnTo>
              </a:path>
              <a:path w="1061720" h="283210">
                <a:moveTo>
                  <a:pt x="689330" y="68199"/>
                </a:moveTo>
                <a:lnTo>
                  <a:pt x="689330" y="214960"/>
                </a:lnTo>
              </a:path>
              <a:path w="1061720" h="283210">
                <a:moveTo>
                  <a:pt x="587781" y="247434"/>
                </a:moveTo>
                <a:lnTo>
                  <a:pt x="587781" y="35750"/>
                </a:lnTo>
              </a:path>
              <a:path w="1061720" h="283210">
                <a:moveTo>
                  <a:pt x="659307" y="247434"/>
                </a:moveTo>
                <a:lnTo>
                  <a:pt x="659307" y="35750"/>
                </a:lnTo>
              </a:path>
              <a:path w="1061720" h="283210">
                <a:moveTo>
                  <a:pt x="672858" y="223964"/>
                </a:moveTo>
                <a:lnTo>
                  <a:pt x="665276" y="224370"/>
                </a:lnTo>
                <a:lnTo>
                  <a:pt x="659307" y="230644"/>
                </a:lnTo>
                <a:lnTo>
                  <a:pt x="659307" y="238239"/>
                </a:lnTo>
              </a:path>
              <a:path w="1061720" h="283210">
                <a:moveTo>
                  <a:pt x="587781" y="238239"/>
                </a:moveTo>
                <a:lnTo>
                  <a:pt x="587781" y="230644"/>
                </a:lnTo>
                <a:lnTo>
                  <a:pt x="581825" y="224370"/>
                </a:lnTo>
                <a:lnTo>
                  <a:pt x="574255" y="223964"/>
                </a:lnTo>
              </a:path>
              <a:path w="1061720" h="283210">
                <a:moveTo>
                  <a:pt x="587781" y="247434"/>
                </a:moveTo>
                <a:lnTo>
                  <a:pt x="587781" y="238239"/>
                </a:lnTo>
              </a:path>
              <a:path w="1061720" h="283210">
                <a:moveTo>
                  <a:pt x="659307" y="247434"/>
                </a:moveTo>
                <a:lnTo>
                  <a:pt x="659307" y="238239"/>
                </a:lnTo>
              </a:path>
              <a:path w="1061720" h="283210">
                <a:moveTo>
                  <a:pt x="565873" y="223532"/>
                </a:moveTo>
                <a:lnTo>
                  <a:pt x="574255" y="223964"/>
                </a:lnTo>
              </a:path>
              <a:path w="1061720" h="283210">
                <a:moveTo>
                  <a:pt x="681215" y="223532"/>
                </a:moveTo>
                <a:lnTo>
                  <a:pt x="685749" y="223291"/>
                </a:lnTo>
                <a:lnTo>
                  <a:pt x="689330" y="219519"/>
                </a:lnTo>
                <a:lnTo>
                  <a:pt x="689330" y="214960"/>
                </a:lnTo>
              </a:path>
              <a:path w="1061720" h="283210">
                <a:moveTo>
                  <a:pt x="681215" y="223532"/>
                </a:moveTo>
                <a:lnTo>
                  <a:pt x="672858" y="223964"/>
                </a:lnTo>
              </a:path>
              <a:path w="1061720" h="283210">
                <a:moveTo>
                  <a:pt x="659307" y="44907"/>
                </a:moveTo>
                <a:lnTo>
                  <a:pt x="659307" y="52527"/>
                </a:lnTo>
                <a:lnTo>
                  <a:pt x="665276" y="58788"/>
                </a:lnTo>
                <a:lnTo>
                  <a:pt x="672858" y="59194"/>
                </a:lnTo>
              </a:path>
              <a:path w="1061720" h="283210">
                <a:moveTo>
                  <a:pt x="659307" y="44907"/>
                </a:moveTo>
                <a:lnTo>
                  <a:pt x="659307" y="35750"/>
                </a:lnTo>
              </a:path>
              <a:path w="1061720" h="283210">
                <a:moveTo>
                  <a:pt x="587781" y="44907"/>
                </a:moveTo>
                <a:lnTo>
                  <a:pt x="587781" y="35750"/>
                </a:lnTo>
              </a:path>
              <a:path w="1061720" h="283210">
                <a:moveTo>
                  <a:pt x="565873" y="59626"/>
                </a:moveTo>
                <a:lnTo>
                  <a:pt x="574255" y="59194"/>
                </a:lnTo>
              </a:path>
              <a:path w="1061720" h="283210">
                <a:moveTo>
                  <a:pt x="574255" y="59194"/>
                </a:moveTo>
                <a:lnTo>
                  <a:pt x="581825" y="58788"/>
                </a:lnTo>
                <a:lnTo>
                  <a:pt x="587781" y="52527"/>
                </a:lnTo>
                <a:lnTo>
                  <a:pt x="587781" y="44907"/>
                </a:lnTo>
              </a:path>
              <a:path w="1061720" h="283210">
                <a:moveTo>
                  <a:pt x="689330" y="68199"/>
                </a:moveTo>
                <a:lnTo>
                  <a:pt x="689330" y="63652"/>
                </a:lnTo>
                <a:lnTo>
                  <a:pt x="685749" y="59867"/>
                </a:lnTo>
                <a:lnTo>
                  <a:pt x="681215" y="59626"/>
                </a:lnTo>
              </a:path>
              <a:path w="1061720" h="283210">
                <a:moveTo>
                  <a:pt x="681215" y="59626"/>
                </a:moveTo>
                <a:lnTo>
                  <a:pt x="672858" y="59194"/>
                </a:lnTo>
              </a:path>
              <a:path w="1061720" h="283210">
                <a:moveTo>
                  <a:pt x="623531" y="283171"/>
                </a:moveTo>
                <a:lnTo>
                  <a:pt x="637458" y="280361"/>
                </a:lnTo>
                <a:lnTo>
                  <a:pt x="648830" y="272699"/>
                </a:lnTo>
                <a:lnTo>
                  <a:pt x="656496" y="261338"/>
                </a:lnTo>
                <a:lnTo>
                  <a:pt x="659307" y="247434"/>
                </a:lnTo>
              </a:path>
              <a:path w="1061720" h="283210">
                <a:moveTo>
                  <a:pt x="587781" y="247434"/>
                </a:moveTo>
                <a:lnTo>
                  <a:pt x="590593" y="261338"/>
                </a:lnTo>
                <a:lnTo>
                  <a:pt x="598260" y="272699"/>
                </a:lnTo>
                <a:lnTo>
                  <a:pt x="609625" y="280361"/>
                </a:lnTo>
                <a:lnTo>
                  <a:pt x="623531" y="283171"/>
                </a:lnTo>
              </a:path>
              <a:path w="1061720" h="283210">
                <a:moveTo>
                  <a:pt x="623531" y="0"/>
                </a:moveTo>
                <a:lnTo>
                  <a:pt x="609625" y="2807"/>
                </a:lnTo>
                <a:lnTo>
                  <a:pt x="598260" y="10464"/>
                </a:lnTo>
                <a:lnTo>
                  <a:pt x="590593" y="21827"/>
                </a:lnTo>
                <a:lnTo>
                  <a:pt x="587781" y="35750"/>
                </a:lnTo>
              </a:path>
              <a:path w="1061720" h="283210">
                <a:moveTo>
                  <a:pt x="659307" y="35750"/>
                </a:moveTo>
                <a:lnTo>
                  <a:pt x="656496" y="21827"/>
                </a:lnTo>
                <a:lnTo>
                  <a:pt x="648830" y="10464"/>
                </a:lnTo>
                <a:lnTo>
                  <a:pt x="637458" y="2807"/>
                </a:lnTo>
                <a:lnTo>
                  <a:pt x="623531" y="0"/>
                </a:lnTo>
              </a:path>
              <a:path w="1061720" h="283210">
                <a:moveTo>
                  <a:pt x="565873" y="59626"/>
                </a:moveTo>
                <a:lnTo>
                  <a:pt x="561314" y="59867"/>
                </a:lnTo>
                <a:lnTo>
                  <a:pt x="557771" y="63652"/>
                </a:lnTo>
                <a:lnTo>
                  <a:pt x="557771" y="68199"/>
                </a:lnTo>
              </a:path>
              <a:path w="1061720" h="283210">
                <a:moveTo>
                  <a:pt x="557771" y="214960"/>
                </a:moveTo>
                <a:lnTo>
                  <a:pt x="557771" y="219519"/>
                </a:lnTo>
                <a:lnTo>
                  <a:pt x="561314" y="223291"/>
                </a:lnTo>
                <a:lnTo>
                  <a:pt x="565873" y="223532"/>
                </a:lnTo>
              </a:path>
              <a:path w="1061720" h="283210">
                <a:moveTo>
                  <a:pt x="875271" y="68199"/>
                </a:moveTo>
                <a:lnTo>
                  <a:pt x="875271" y="214960"/>
                </a:lnTo>
              </a:path>
              <a:path w="1061720" h="283210">
                <a:moveTo>
                  <a:pt x="773709" y="247434"/>
                </a:moveTo>
                <a:lnTo>
                  <a:pt x="773709" y="35750"/>
                </a:lnTo>
              </a:path>
              <a:path w="1061720" h="283210">
                <a:moveTo>
                  <a:pt x="845235" y="247434"/>
                </a:moveTo>
                <a:lnTo>
                  <a:pt x="845235" y="35750"/>
                </a:lnTo>
              </a:path>
              <a:path w="1061720" h="283210">
                <a:moveTo>
                  <a:pt x="858799" y="223964"/>
                </a:moveTo>
                <a:lnTo>
                  <a:pt x="851179" y="224370"/>
                </a:lnTo>
                <a:lnTo>
                  <a:pt x="845235" y="230644"/>
                </a:lnTo>
                <a:lnTo>
                  <a:pt x="845235" y="238239"/>
                </a:lnTo>
              </a:path>
              <a:path w="1061720" h="283210">
                <a:moveTo>
                  <a:pt x="773709" y="238239"/>
                </a:moveTo>
                <a:lnTo>
                  <a:pt x="773709" y="230644"/>
                </a:lnTo>
                <a:lnTo>
                  <a:pt x="767753" y="224370"/>
                </a:lnTo>
                <a:lnTo>
                  <a:pt x="760171" y="223964"/>
                </a:lnTo>
              </a:path>
              <a:path w="1061720" h="283210">
                <a:moveTo>
                  <a:pt x="773709" y="247434"/>
                </a:moveTo>
                <a:lnTo>
                  <a:pt x="773709" y="238239"/>
                </a:lnTo>
              </a:path>
              <a:path w="1061720" h="283210">
                <a:moveTo>
                  <a:pt x="845235" y="247434"/>
                </a:moveTo>
                <a:lnTo>
                  <a:pt x="845235" y="238239"/>
                </a:lnTo>
              </a:path>
              <a:path w="1061720" h="283210">
                <a:moveTo>
                  <a:pt x="751801" y="223532"/>
                </a:moveTo>
                <a:lnTo>
                  <a:pt x="760171" y="223964"/>
                </a:lnTo>
              </a:path>
              <a:path w="1061720" h="283210">
                <a:moveTo>
                  <a:pt x="867130" y="223532"/>
                </a:moveTo>
                <a:lnTo>
                  <a:pt x="871689" y="223291"/>
                </a:lnTo>
                <a:lnTo>
                  <a:pt x="875271" y="219519"/>
                </a:lnTo>
                <a:lnTo>
                  <a:pt x="875271" y="214960"/>
                </a:lnTo>
              </a:path>
              <a:path w="1061720" h="283210">
                <a:moveTo>
                  <a:pt x="867130" y="223532"/>
                </a:moveTo>
                <a:lnTo>
                  <a:pt x="858799" y="223964"/>
                </a:lnTo>
              </a:path>
              <a:path w="1061720" h="283210">
                <a:moveTo>
                  <a:pt x="845235" y="44907"/>
                </a:moveTo>
                <a:lnTo>
                  <a:pt x="845235" y="52527"/>
                </a:lnTo>
                <a:lnTo>
                  <a:pt x="851179" y="58788"/>
                </a:lnTo>
                <a:lnTo>
                  <a:pt x="858799" y="59194"/>
                </a:lnTo>
              </a:path>
              <a:path w="1061720" h="283210">
                <a:moveTo>
                  <a:pt x="845235" y="44907"/>
                </a:moveTo>
                <a:lnTo>
                  <a:pt x="845235" y="35750"/>
                </a:lnTo>
              </a:path>
              <a:path w="1061720" h="283210">
                <a:moveTo>
                  <a:pt x="773709" y="44907"/>
                </a:moveTo>
                <a:lnTo>
                  <a:pt x="773709" y="35750"/>
                </a:lnTo>
              </a:path>
              <a:path w="1061720" h="283210">
                <a:moveTo>
                  <a:pt x="751801" y="59626"/>
                </a:moveTo>
                <a:lnTo>
                  <a:pt x="760171" y="59194"/>
                </a:lnTo>
              </a:path>
              <a:path w="1061720" h="283210">
                <a:moveTo>
                  <a:pt x="760171" y="59194"/>
                </a:moveTo>
                <a:lnTo>
                  <a:pt x="767753" y="58788"/>
                </a:lnTo>
                <a:lnTo>
                  <a:pt x="773709" y="52527"/>
                </a:lnTo>
                <a:lnTo>
                  <a:pt x="773709" y="44907"/>
                </a:lnTo>
              </a:path>
              <a:path w="1061720" h="283210">
                <a:moveTo>
                  <a:pt x="875271" y="68199"/>
                </a:moveTo>
                <a:lnTo>
                  <a:pt x="875271" y="63652"/>
                </a:lnTo>
                <a:lnTo>
                  <a:pt x="871689" y="59867"/>
                </a:lnTo>
                <a:lnTo>
                  <a:pt x="867130" y="59626"/>
                </a:lnTo>
              </a:path>
              <a:path w="1061720" h="283210">
                <a:moveTo>
                  <a:pt x="867130" y="59626"/>
                </a:moveTo>
                <a:lnTo>
                  <a:pt x="858799" y="59194"/>
                </a:lnTo>
              </a:path>
              <a:path w="1061720" h="283210">
                <a:moveTo>
                  <a:pt x="809472" y="283171"/>
                </a:moveTo>
                <a:lnTo>
                  <a:pt x="823386" y="280361"/>
                </a:lnTo>
                <a:lnTo>
                  <a:pt x="834755" y="272699"/>
                </a:lnTo>
                <a:lnTo>
                  <a:pt x="842423" y="261338"/>
                </a:lnTo>
                <a:lnTo>
                  <a:pt x="845235" y="247434"/>
                </a:lnTo>
              </a:path>
              <a:path w="1061720" h="283210">
                <a:moveTo>
                  <a:pt x="773709" y="247434"/>
                </a:moveTo>
                <a:lnTo>
                  <a:pt x="776520" y="261338"/>
                </a:lnTo>
                <a:lnTo>
                  <a:pt x="784185" y="272699"/>
                </a:lnTo>
                <a:lnTo>
                  <a:pt x="795553" y="280361"/>
                </a:lnTo>
                <a:lnTo>
                  <a:pt x="809472" y="283171"/>
                </a:lnTo>
              </a:path>
              <a:path w="1061720" h="283210">
                <a:moveTo>
                  <a:pt x="809472" y="0"/>
                </a:moveTo>
                <a:lnTo>
                  <a:pt x="795553" y="2807"/>
                </a:lnTo>
                <a:lnTo>
                  <a:pt x="784185" y="10464"/>
                </a:lnTo>
                <a:lnTo>
                  <a:pt x="776520" y="21827"/>
                </a:lnTo>
                <a:lnTo>
                  <a:pt x="773709" y="35750"/>
                </a:lnTo>
              </a:path>
              <a:path w="1061720" h="283210">
                <a:moveTo>
                  <a:pt x="845235" y="35750"/>
                </a:moveTo>
                <a:lnTo>
                  <a:pt x="842423" y="21827"/>
                </a:lnTo>
                <a:lnTo>
                  <a:pt x="834755" y="10464"/>
                </a:lnTo>
                <a:lnTo>
                  <a:pt x="823386" y="2807"/>
                </a:lnTo>
                <a:lnTo>
                  <a:pt x="809472" y="0"/>
                </a:lnTo>
              </a:path>
              <a:path w="1061720" h="283210">
                <a:moveTo>
                  <a:pt x="751801" y="59626"/>
                </a:moveTo>
                <a:lnTo>
                  <a:pt x="747268" y="59867"/>
                </a:lnTo>
                <a:lnTo>
                  <a:pt x="743699" y="63652"/>
                </a:lnTo>
                <a:lnTo>
                  <a:pt x="743699" y="68199"/>
                </a:lnTo>
              </a:path>
              <a:path w="1061720" h="283210">
                <a:moveTo>
                  <a:pt x="743699" y="214960"/>
                </a:moveTo>
                <a:lnTo>
                  <a:pt x="743699" y="219519"/>
                </a:lnTo>
                <a:lnTo>
                  <a:pt x="747268" y="223291"/>
                </a:lnTo>
                <a:lnTo>
                  <a:pt x="751801" y="223532"/>
                </a:lnTo>
              </a:path>
              <a:path w="1061720" h="283210">
                <a:moveTo>
                  <a:pt x="1061199" y="68199"/>
                </a:moveTo>
                <a:lnTo>
                  <a:pt x="1061199" y="214960"/>
                </a:lnTo>
              </a:path>
              <a:path w="1061720" h="283210">
                <a:moveTo>
                  <a:pt x="1044727" y="223964"/>
                </a:moveTo>
                <a:lnTo>
                  <a:pt x="1037107" y="224370"/>
                </a:lnTo>
                <a:lnTo>
                  <a:pt x="1031151" y="230644"/>
                </a:lnTo>
                <a:lnTo>
                  <a:pt x="1031151" y="238239"/>
                </a:lnTo>
              </a:path>
              <a:path w="1061720" h="283210">
                <a:moveTo>
                  <a:pt x="1053045" y="223532"/>
                </a:moveTo>
                <a:lnTo>
                  <a:pt x="1044727" y="223964"/>
                </a:lnTo>
              </a:path>
              <a:path w="1061720" h="283210">
                <a:moveTo>
                  <a:pt x="1053045" y="223532"/>
                </a:moveTo>
                <a:lnTo>
                  <a:pt x="1057617" y="223291"/>
                </a:lnTo>
                <a:lnTo>
                  <a:pt x="1061199" y="219519"/>
                </a:lnTo>
                <a:lnTo>
                  <a:pt x="1061199" y="214960"/>
                </a:lnTo>
              </a:path>
              <a:path w="1061720" h="283210">
                <a:moveTo>
                  <a:pt x="1053045" y="59626"/>
                </a:moveTo>
                <a:lnTo>
                  <a:pt x="1044727" y="59194"/>
                </a:lnTo>
              </a:path>
              <a:path w="1061720" h="283210">
                <a:moveTo>
                  <a:pt x="1061199" y="68199"/>
                </a:moveTo>
                <a:lnTo>
                  <a:pt x="1061199" y="63652"/>
                </a:lnTo>
                <a:lnTo>
                  <a:pt x="1057617" y="59867"/>
                </a:lnTo>
                <a:lnTo>
                  <a:pt x="1053045" y="59626"/>
                </a:lnTo>
              </a:path>
              <a:path w="1061720" h="283210">
                <a:moveTo>
                  <a:pt x="1031151" y="44907"/>
                </a:moveTo>
                <a:lnTo>
                  <a:pt x="1031151" y="52527"/>
                </a:lnTo>
                <a:lnTo>
                  <a:pt x="1037107" y="58788"/>
                </a:lnTo>
                <a:lnTo>
                  <a:pt x="1044727" y="59194"/>
                </a:lnTo>
              </a:path>
              <a:path w="1061720" h="283210">
                <a:moveTo>
                  <a:pt x="1031151" y="247434"/>
                </a:moveTo>
                <a:lnTo>
                  <a:pt x="1031151" y="35750"/>
                </a:lnTo>
              </a:path>
              <a:path w="1061720" h="283210">
                <a:moveTo>
                  <a:pt x="959650" y="247434"/>
                </a:moveTo>
                <a:lnTo>
                  <a:pt x="959650" y="35750"/>
                </a:lnTo>
              </a:path>
              <a:path w="1061720" h="283210">
                <a:moveTo>
                  <a:pt x="959650" y="238239"/>
                </a:moveTo>
                <a:lnTo>
                  <a:pt x="959650" y="230644"/>
                </a:lnTo>
                <a:lnTo>
                  <a:pt x="953706" y="224370"/>
                </a:lnTo>
                <a:lnTo>
                  <a:pt x="946086" y="223964"/>
                </a:lnTo>
              </a:path>
              <a:path w="1061720" h="283210">
                <a:moveTo>
                  <a:pt x="959650" y="247434"/>
                </a:moveTo>
                <a:lnTo>
                  <a:pt x="962458" y="261338"/>
                </a:lnTo>
                <a:lnTo>
                  <a:pt x="970119" y="272699"/>
                </a:lnTo>
                <a:lnTo>
                  <a:pt x="981483" y="280361"/>
                </a:lnTo>
                <a:lnTo>
                  <a:pt x="995400" y="283171"/>
                </a:lnTo>
              </a:path>
              <a:path w="1061720" h="283210">
                <a:moveTo>
                  <a:pt x="995400" y="283171"/>
                </a:moveTo>
                <a:lnTo>
                  <a:pt x="1009323" y="280361"/>
                </a:lnTo>
                <a:lnTo>
                  <a:pt x="1020686" y="272699"/>
                </a:lnTo>
                <a:lnTo>
                  <a:pt x="1028344" y="261338"/>
                </a:lnTo>
                <a:lnTo>
                  <a:pt x="1031151" y="247434"/>
                </a:lnTo>
              </a:path>
              <a:path w="1061720" h="283210">
                <a:moveTo>
                  <a:pt x="1031151" y="247434"/>
                </a:moveTo>
                <a:lnTo>
                  <a:pt x="1031151" y="238239"/>
                </a:lnTo>
              </a:path>
              <a:path w="1061720" h="283210">
                <a:moveTo>
                  <a:pt x="959650" y="247434"/>
                </a:moveTo>
                <a:lnTo>
                  <a:pt x="959650" y="238239"/>
                </a:lnTo>
              </a:path>
              <a:path w="1061720" h="283210">
                <a:moveTo>
                  <a:pt x="937742" y="223532"/>
                </a:moveTo>
                <a:lnTo>
                  <a:pt x="946086" y="223964"/>
                </a:lnTo>
              </a:path>
              <a:path w="1061720" h="283210">
                <a:moveTo>
                  <a:pt x="946086" y="59194"/>
                </a:moveTo>
                <a:lnTo>
                  <a:pt x="953706" y="58788"/>
                </a:lnTo>
                <a:lnTo>
                  <a:pt x="959650" y="52527"/>
                </a:lnTo>
                <a:lnTo>
                  <a:pt x="959650" y="44907"/>
                </a:lnTo>
              </a:path>
              <a:path w="1061720" h="283210">
                <a:moveTo>
                  <a:pt x="959650" y="44907"/>
                </a:moveTo>
                <a:lnTo>
                  <a:pt x="959650" y="35750"/>
                </a:lnTo>
              </a:path>
              <a:path w="1061720" h="283210">
                <a:moveTo>
                  <a:pt x="1031151" y="44907"/>
                </a:moveTo>
                <a:lnTo>
                  <a:pt x="1031151" y="35750"/>
                </a:lnTo>
              </a:path>
              <a:path w="1061720" h="283210">
                <a:moveTo>
                  <a:pt x="1031151" y="35750"/>
                </a:moveTo>
                <a:lnTo>
                  <a:pt x="1028344" y="21827"/>
                </a:lnTo>
                <a:lnTo>
                  <a:pt x="1020686" y="10464"/>
                </a:lnTo>
                <a:lnTo>
                  <a:pt x="1009323" y="2807"/>
                </a:lnTo>
                <a:lnTo>
                  <a:pt x="995400" y="0"/>
                </a:lnTo>
              </a:path>
              <a:path w="1061720" h="283210">
                <a:moveTo>
                  <a:pt x="995400" y="0"/>
                </a:moveTo>
                <a:lnTo>
                  <a:pt x="981483" y="2807"/>
                </a:lnTo>
                <a:lnTo>
                  <a:pt x="970119" y="10464"/>
                </a:lnTo>
                <a:lnTo>
                  <a:pt x="962458" y="21827"/>
                </a:lnTo>
                <a:lnTo>
                  <a:pt x="959650" y="35750"/>
                </a:lnTo>
              </a:path>
              <a:path w="1061720" h="283210">
                <a:moveTo>
                  <a:pt x="937742" y="59626"/>
                </a:moveTo>
                <a:lnTo>
                  <a:pt x="946086" y="59194"/>
                </a:lnTo>
              </a:path>
              <a:path w="1061720" h="283210">
                <a:moveTo>
                  <a:pt x="929627" y="214960"/>
                </a:moveTo>
                <a:lnTo>
                  <a:pt x="929627" y="219519"/>
                </a:lnTo>
                <a:lnTo>
                  <a:pt x="933183" y="223291"/>
                </a:lnTo>
                <a:lnTo>
                  <a:pt x="937742" y="223532"/>
                </a:lnTo>
              </a:path>
              <a:path w="1061720" h="283210">
                <a:moveTo>
                  <a:pt x="937742" y="59626"/>
                </a:moveTo>
                <a:lnTo>
                  <a:pt x="933183" y="59867"/>
                </a:lnTo>
                <a:lnTo>
                  <a:pt x="929627" y="63652"/>
                </a:lnTo>
                <a:lnTo>
                  <a:pt x="929627" y="68199"/>
                </a:lnTo>
              </a:path>
              <a:path w="1061720" h="283210">
                <a:moveTo>
                  <a:pt x="929627" y="68199"/>
                </a:moveTo>
                <a:lnTo>
                  <a:pt x="929627" y="214960"/>
                </a:lnTo>
              </a:path>
            </a:pathLst>
          </a:custGeom>
          <a:ln w="10185">
            <a:solidFill>
              <a:srgbClr val="000000"/>
            </a:solidFill>
          </a:ln>
        </xdr:spPr>
      </xdr:sp>
      <xdr:sp macro="" textlink="">
        <xdr:nvSpPr>
          <xdr:cNvPr id="191" name="Shape 690">
            <a:extLst>
              <a:ext uri="{FF2B5EF4-FFF2-40B4-BE49-F238E27FC236}">
                <a16:creationId xmlns:a16="http://schemas.microsoft.com/office/drawing/2014/main" id="{7367A44E-4190-9C43-20B1-958E5BECAE20}"/>
              </a:ext>
            </a:extLst>
          </xdr:cNvPr>
          <xdr:cNvSpPr/>
        </xdr:nvSpPr>
        <xdr:spPr>
          <a:xfrm>
            <a:off x="43638" y="558"/>
            <a:ext cx="499109" cy="553720"/>
          </a:xfrm>
          <a:custGeom>
            <a:avLst/>
            <a:gdLst/>
            <a:ahLst/>
            <a:cxnLst/>
            <a:rect l="0" t="0" r="0" b="0"/>
            <a:pathLst>
              <a:path w="499109" h="553720">
                <a:moveTo>
                  <a:pt x="499008" y="410883"/>
                </a:moveTo>
                <a:lnTo>
                  <a:pt x="0" y="410883"/>
                </a:lnTo>
              </a:path>
              <a:path w="499109" h="553720">
                <a:moveTo>
                  <a:pt x="57213" y="179273"/>
                </a:moveTo>
                <a:lnTo>
                  <a:pt x="57213" y="356615"/>
                </a:lnTo>
              </a:path>
              <a:path w="499109" h="553720">
                <a:moveTo>
                  <a:pt x="393166" y="270459"/>
                </a:moveTo>
                <a:lnTo>
                  <a:pt x="171627" y="270459"/>
                </a:lnTo>
              </a:path>
              <a:path w="499109" h="553720">
                <a:moveTo>
                  <a:pt x="228841" y="213258"/>
                </a:moveTo>
                <a:lnTo>
                  <a:pt x="228841" y="0"/>
                </a:lnTo>
              </a:path>
              <a:path w="499109" h="553720">
                <a:moveTo>
                  <a:pt x="228841" y="468109"/>
                </a:moveTo>
                <a:lnTo>
                  <a:pt x="228841" y="553504"/>
                </a:lnTo>
              </a:path>
              <a:path w="499109" h="553720">
                <a:moveTo>
                  <a:pt x="0" y="130022"/>
                </a:moveTo>
                <a:lnTo>
                  <a:pt x="194297" y="130022"/>
                </a:lnTo>
              </a:path>
              <a:path w="499109" h="553720">
                <a:moveTo>
                  <a:pt x="187121" y="130022"/>
                </a:moveTo>
                <a:lnTo>
                  <a:pt x="499008" y="130022"/>
                </a:lnTo>
              </a:path>
              <a:path w="499109" h="553720">
                <a:moveTo>
                  <a:pt x="228841" y="410883"/>
                </a:moveTo>
                <a:lnTo>
                  <a:pt x="228841" y="270459"/>
                </a:lnTo>
              </a:path>
            </a:pathLst>
          </a:custGeom>
          <a:ln w="6108">
            <a:solidFill>
              <a:srgbClr val="000000"/>
            </a:solidFill>
          </a:ln>
        </xdr:spPr>
      </xdr:sp>
      <xdr:sp macro="" textlink="">
        <xdr:nvSpPr>
          <xdr:cNvPr id="192" name="Shape 691">
            <a:extLst>
              <a:ext uri="{FF2B5EF4-FFF2-40B4-BE49-F238E27FC236}">
                <a16:creationId xmlns:a16="http://schemas.microsoft.com/office/drawing/2014/main" id="{F2BDC8D4-CDE9-5FD3-B4D6-EB2AD49E4287}"/>
              </a:ext>
            </a:extLst>
          </xdr:cNvPr>
          <xdr:cNvSpPr/>
        </xdr:nvSpPr>
        <xdr:spPr>
          <a:xfrm>
            <a:off x="-8" y="4"/>
            <a:ext cx="292735" cy="513080"/>
          </a:xfrm>
          <a:custGeom>
            <a:avLst/>
            <a:gdLst/>
            <a:ahLst/>
            <a:cxnLst/>
            <a:rect l="0" t="0" r="0" b="0"/>
            <a:pathLst>
              <a:path w="292735" h="513080">
                <a:moveTo>
                  <a:pt x="72224" y="320433"/>
                </a:moveTo>
                <a:lnTo>
                  <a:pt x="0" y="320433"/>
                </a:lnTo>
                <a:lnTo>
                  <a:pt x="0" y="327050"/>
                </a:lnTo>
                <a:lnTo>
                  <a:pt x="10896" y="328993"/>
                </a:lnTo>
                <a:lnTo>
                  <a:pt x="13550" y="337972"/>
                </a:lnTo>
                <a:lnTo>
                  <a:pt x="13550" y="347853"/>
                </a:lnTo>
                <a:lnTo>
                  <a:pt x="20472" y="347853"/>
                </a:lnTo>
                <a:lnTo>
                  <a:pt x="20472" y="329095"/>
                </a:lnTo>
                <a:lnTo>
                  <a:pt x="72224" y="329095"/>
                </a:lnTo>
                <a:lnTo>
                  <a:pt x="72224" y="320433"/>
                </a:lnTo>
                <a:close/>
              </a:path>
              <a:path w="292735" h="513080">
                <a:moveTo>
                  <a:pt x="73456" y="271767"/>
                </a:moveTo>
                <a:lnTo>
                  <a:pt x="70040" y="258787"/>
                </a:lnTo>
                <a:lnTo>
                  <a:pt x="69951" y="258457"/>
                </a:lnTo>
                <a:lnTo>
                  <a:pt x="67995" y="256870"/>
                </a:lnTo>
                <a:lnTo>
                  <a:pt x="65811" y="255104"/>
                </a:lnTo>
                <a:lnTo>
                  <a:pt x="65811" y="271767"/>
                </a:lnTo>
                <a:lnTo>
                  <a:pt x="62776" y="280314"/>
                </a:lnTo>
                <a:lnTo>
                  <a:pt x="55295" y="284721"/>
                </a:lnTo>
                <a:lnTo>
                  <a:pt x="45783" y="286372"/>
                </a:lnTo>
                <a:lnTo>
                  <a:pt x="36677" y="286613"/>
                </a:lnTo>
                <a:lnTo>
                  <a:pt x="27622" y="286372"/>
                </a:lnTo>
                <a:lnTo>
                  <a:pt x="18148" y="284721"/>
                </a:lnTo>
                <a:lnTo>
                  <a:pt x="10680" y="280314"/>
                </a:lnTo>
                <a:lnTo>
                  <a:pt x="7658" y="271767"/>
                </a:lnTo>
                <a:lnTo>
                  <a:pt x="10680" y="263207"/>
                </a:lnTo>
                <a:lnTo>
                  <a:pt x="18148" y="258787"/>
                </a:lnTo>
                <a:lnTo>
                  <a:pt x="27622" y="257124"/>
                </a:lnTo>
                <a:lnTo>
                  <a:pt x="36677" y="256870"/>
                </a:lnTo>
                <a:lnTo>
                  <a:pt x="45783" y="257124"/>
                </a:lnTo>
                <a:lnTo>
                  <a:pt x="55295" y="258787"/>
                </a:lnTo>
                <a:lnTo>
                  <a:pt x="62776" y="263207"/>
                </a:lnTo>
                <a:lnTo>
                  <a:pt x="65811" y="271767"/>
                </a:lnTo>
                <a:lnTo>
                  <a:pt x="65811" y="255104"/>
                </a:lnTo>
                <a:lnTo>
                  <a:pt x="61074" y="251256"/>
                </a:lnTo>
                <a:lnTo>
                  <a:pt x="49212" y="248297"/>
                </a:lnTo>
                <a:lnTo>
                  <a:pt x="36779" y="247726"/>
                </a:lnTo>
                <a:lnTo>
                  <a:pt x="24282" y="248297"/>
                </a:lnTo>
                <a:lnTo>
                  <a:pt x="12395" y="251256"/>
                </a:lnTo>
                <a:lnTo>
                  <a:pt x="3505" y="258457"/>
                </a:lnTo>
                <a:lnTo>
                  <a:pt x="12" y="271767"/>
                </a:lnTo>
                <a:lnTo>
                  <a:pt x="3416" y="284721"/>
                </a:lnTo>
                <a:lnTo>
                  <a:pt x="3505" y="285064"/>
                </a:lnTo>
                <a:lnTo>
                  <a:pt x="12395" y="292252"/>
                </a:lnTo>
                <a:lnTo>
                  <a:pt x="24282" y="295211"/>
                </a:lnTo>
                <a:lnTo>
                  <a:pt x="36779" y="295783"/>
                </a:lnTo>
                <a:lnTo>
                  <a:pt x="49212" y="295211"/>
                </a:lnTo>
                <a:lnTo>
                  <a:pt x="61074" y="292252"/>
                </a:lnTo>
                <a:lnTo>
                  <a:pt x="68033" y="286613"/>
                </a:lnTo>
                <a:lnTo>
                  <a:pt x="69951" y="285064"/>
                </a:lnTo>
                <a:lnTo>
                  <a:pt x="73456" y="271767"/>
                </a:lnTo>
                <a:close/>
              </a:path>
              <a:path w="292735" h="513080">
                <a:moveTo>
                  <a:pt x="73456" y="215112"/>
                </a:moveTo>
                <a:lnTo>
                  <a:pt x="70040" y="202158"/>
                </a:lnTo>
                <a:lnTo>
                  <a:pt x="69951" y="201828"/>
                </a:lnTo>
                <a:lnTo>
                  <a:pt x="68021" y="200253"/>
                </a:lnTo>
                <a:lnTo>
                  <a:pt x="65811" y="198475"/>
                </a:lnTo>
                <a:lnTo>
                  <a:pt x="65811" y="215112"/>
                </a:lnTo>
                <a:lnTo>
                  <a:pt x="62776" y="223672"/>
                </a:lnTo>
                <a:lnTo>
                  <a:pt x="55295" y="228104"/>
                </a:lnTo>
                <a:lnTo>
                  <a:pt x="45783" y="229755"/>
                </a:lnTo>
                <a:lnTo>
                  <a:pt x="36677" y="229997"/>
                </a:lnTo>
                <a:lnTo>
                  <a:pt x="27622" y="229755"/>
                </a:lnTo>
                <a:lnTo>
                  <a:pt x="18148" y="228104"/>
                </a:lnTo>
                <a:lnTo>
                  <a:pt x="10680" y="223672"/>
                </a:lnTo>
                <a:lnTo>
                  <a:pt x="7658" y="215112"/>
                </a:lnTo>
                <a:lnTo>
                  <a:pt x="10680" y="206565"/>
                </a:lnTo>
                <a:lnTo>
                  <a:pt x="18148" y="202158"/>
                </a:lnTo>
                <a:lnTo>
                  <a:pt x="27622" y="200507"/>
                </a:lnTo>
                <a:lnTo>
                  <a:pt x="36677" y="200253"/>
                </a:lnTo>
                <a:lnTo>
                  <a:pt x="45783" y="200507"/>
                </a:lnTo>
                <a:lnTo>
                  <a:pt x="55295" y="202158"/>
                </a:lnTo>
                <a:lnTo>
                  <a:pt x="62776" y="206565"/>
                </a:lnTo>
                <a:lnTo>
                  <a:pt x="65811" y="215112"/>
                </a:lnTo>
                <a:lnTo>
                  <a:pt x="65811" y="198475"/>
                </a:lnTo>
                <a:lnTo>
                  <a:pt x="61074" y="194627"/>
                </a:lnTo>
                <a:lnTo>
                  <a:pt x="49212" y="191668"/>
                </a:lnTo>
                <a:lnTo>
                  <a:pt x="36779" y="191084"/>
                </a:lnTo>
                <a:lnTo>
                  <a:pt x="24282" y="191668"/>
                </a:lnTo>
                <a:lnTo>
                  <a:pt x="12395" y="194627"/>
                </a:lnTo>
                <a:lnTo>
                  <a:pt x="3505" y="201828"/>
                </a:lnTo>
                <a:lnTo>
                  <a:pt x="12" y="215112"/>
                </a:lnTo>
                <a:lnTo>
                  <a:pt x="3416" y="228104"/>
                </a:lnTo>
                <a:lnTo>
                  <a:pt x="3505" y="228422"/>
                </a:lnTo>
                <a:lnTo>
                  <a:pt x="12395" y="235623"/>
                </a:lnTo>
                <a:lnTo>
                  <a:pt x="24282" y="238594"/>
                </a:lnTo>
                <a:lnTo>
                  <a:pt x="36779" y="239166"/>
                </a:lnTo>
                <a:lnTo>
                  <a:pt x="49212" y="238594"/>
                </a:lnTo>
                <a:lnTo>
                  <a:pt x="61074" y="235623"/>
                </a:lnTo>
                <a:lnTo>
                  <a:pt x="68008" y="229997"/>
                </a:lnTo>
                <a:lnTo>
                  <a:pt x="69951" y="228422"/>
                </a:lnTo>
                <a:lnTo>
                  <a:pt x="73456" y="215112"/>
                </a:lnTo>
                <a:close/>
              </a:path>
              <a:path w="292735" h="513080">
                <a:moveTo>
                  <a:pt x="121069" y="308140"/>
                </a:moveTo>
                <a:lnTo>
                  <a:pt x="80645" y="308140"/>
                </a:lnTo>
                <a:lnTo>
                  <a:pt x="100838" y="409206"/>
                </a:lnTo>
                <a:lnTo>
                  <a:pt x="121069" y="308140"/>
                </a:lnTo>
                <a:close/>
              </a:path>
              <a:path w="292735" h="513080">
                <a:moveTo>
                  <a:pt x="121069" y="230949"/>
                </a:moveTo>
                <a:lnTo>
                  <a:pt x="100838" y="129882"/>
                </a:lnTo>
                <a:lnTo>
                  <a:pt x="80645" y="230949"/>
                </a:lnTo>
                <a:lnTo>
                  <a:pt x="121069" y="230949"/>
                </a:lnTo>
                <a:close/>
              </a:path>
              <a:path w="292735" h="513080">
                <a:moveTo>
                  <a:pt x="245071" y="82410"/>
                </a:moveTo>
                <a:lnTo>
                  <a:pt x="243039" y="71361"/>
                </a:lnTo>
                <a:lnTo>
                  <a:pt x="237642" y="63474"/>
                </a:lnTo>
                <a:lnTo>
                  <a:pt x="229946" y="58724"/>
                </a:lnTo>
                <a:lnTo>
                  <a:pt x="221030" y="57150"/>
                </a:lnTo>
                <a:lnTo>
                  <a:pt x="210197" y="58991"/>
                </a:lnTo>
                <a:lnTo>
                  <a:pt x="202463" y="63995"/>
                </a:lnTo>
                <a:lnTo>
                  <a:pt x="197827" y="71399"/>
                </a:lnTo>
                <a:lnTo>
                  <a:pt x="196278" y="80467"/>
                </a:lnTo>
                <a:lnTo>
                  <a:pt x="196278" y="85356"/>
                </a:lnTo>
                <a:lnTo>
                  <a:pt x="197916" y="90766"/>
                </a:lnTo>
                <a:lnTo>
                  <a:pt x="201472" y="93916"/>
                </a:lnTo>
                <a:lnTo>
                  <a:pt x="201269" y="94107"/>
                </a:lnTo>
                <a:lnTo>
                  <a:pt x="180492" y="90258"/>
                </a:lnTo>
                <a:lnTo>
                  <a:pt x="180492" y="61125"/>
                </a:lnTo>
                <a:lnTo>
                  <a:pt x="172847" y="61125"/>
                </a:lnTo>
                <a:lnTo>
                  <a:pt x="172847" y="96774"/>
                </a:lnTo>
                <a:lnTo>
                  <a:pt x="210337" y="103505"/>
                </a:lnTo>
                <a:lnTo>
                  <a:pt x="210743" y="96062"/>
                </a:lnTo>
                <a:lnTo>
                  <a:pt x="206667" y="92697"/>
                </a:lnTo>
                <a:lnTo>
                  <a:pt x="203923" y="88099"/>
                </a:lnTo>
                <a:lnTo>
                  <a:pt x="203923" y="72948"/>
                </a:lnTo>
                <a:lnTo>
                  <a:pt x="210743" y="66319"/>
                </a:lnTo>
                <a:lnTo>
                  <a:pt x="231838" y="66319"/>
                </a:lnTo>
                <a:lnTo>
                  <a:pt x="237439" y="73342"/>
                </a:lnTo>
                <a:lnTo>
                  <a:pt x="237439" y="90258"/>
                </a:lnTo>
                <a:lnTo>
                  <a:pt x="231838" y="96266"/>
                </a:lnTo>
                <a:lnTo>
                  <a:pt x="224396" y="96774"/>
                </a:lnTo>
                <a:lnTo>
                  <a:pt x="224396" y="105435"/>
                </a:lnTo>
                <a:lnTo>
                  <a:pt x="233133" y="103466"/>
                </a:lnTo>
                <a:lnTo>
                  <a:pt x="239623" y="98501"/>
                </a:lnTo>
                <a:lnTo>
                  <a:pt x="243674" y="91249"/>
                </a:lnTo>
                <a:lnTo>
                  <a:pt x="245071" y="82410"/>
                </a:lnTo>
                <a:close/>
              </a:path>
              <a:path w="292735" h="513080">
                <a:moveTo>
                  <a:pt x="245071" y="24041"/>
                </a:moveTo>
                <a:lnTo>
                  <a:pt x="241655" y="11061"/>
                </a:lnTo>
                <a:lnTo>
                  <a:pt x="241579" y="10744"/>
                </a:lnTo>
                <a:lnTo>
                  <a:pt x="239623" y="9156"/>
                </a:lnTo>
                <a:lnTo>
                  <a:pt x="237426" y="7378"/>
                </a:lnTo>
                <a:lnTo>
                  <a:pt x="237426" y="24041"/>
                </a:lnTo>
                <a:lnTo>
                  <a:pt x="234391" y="32588"/>
                </a:lnTo>
                <a:lnTo>
                  <a:pt x="226910" y="37007"/>
                </a:lnTo>
                <a:lnTo>
                  <a:pt x="217398" y="38658"/>
                </a:lnTo>
                <a:lnTo>
                  <a:pt x="208292" y="38900"/>
                </a:lnTo>
                <a:lnTo>
                  <a:pt x="199250" y="38658"/>
                </a:lnTo>
                <a:lnTo>
                  <a:pt x="189763" y="37007"/>
                </a:lnTo>
                <a:lnTo>
                  <a:pt x="182295" y="32588"/>
                </a:lnTo>
                <a:lnTo>
                  <a:pt x="179260" y="24041"/>
                </a:lnTo>
                <a:lnTo>
                  <a:pt x="182295" y="15481"/>
                </a:lnTo>
                <a:lnTo>
                  <a:pt x="189763" y="11061"/>
                </a:lnTo>
                <a:lnTo>
                  <a:pt x="199250" y="9410"/>
                </a:lnTo>
                <a:lnTo>
                  <a:pt x="208292" y="9156"/>
                </a:lnTo>
                <a:lnTo>
                  <a:pt x="217398" y="9410"/>
                </a:lnTo>
                <a:lnTo>
                  <a:pt x="226910" y="11061"/>
                </a:lnTo>
                <a:lnTo>
                  <a:pt x="234391" y="15481"/>
                </a:lnTo>
                <a:lnTo>
                  <a:pt x="237426" y="24041"/>
                </a:lnTo>
                <a:lnTo>
                  <a:pt x="237426" y="7378"/>
                </a:lnTo>
                <a:lnTo>
                  <a:pt x="232702" y="3530"/>
                </a:lnTo>
                <a:lnTo>
                  <a:pt x="220827" y="571"/>
                </a:lnTo>
                <a:lnTo>
                  <a:pt x="208394" y="0"/>
                </a:lnTo>
                <a:lnTo>
                  <a:pt x="195910" y="571"/>
                </a:lnTo>
                <a:lnTo>
                  <a:pt x="184010" y="3530"/>
                </a:lnTo>
                <a:lnTo>
                  <a:pt x="175120" y="10744"/>
                </a:lnTo>
                <a:lnTo>
                  <a:pt x="171627" y="24041"/>
                </a:lnTo>
                <a:lnTo>
                  <a:pt x="175031" y="37007"/>
                </a:lnTo>
                <a:lnTo>
                  <a:pt x="175120" y="37338"/>
                </a:lnTo>
                <a:lnTo>
                  <a:pt x="184010" y="44538"/>
                </a:lnTo>
                <a:lnTo>
                  <a:pt x="195910" y="47498"/>
                </a:lnTo>
                <a:lnTo>
                  <a:pt x="208394" y="48069"/>
                </a:lnTo>
                <a:lnTo>
                  <a:pt x="220827" y="47498"/>
                </a:lnTo>
                <a:lnTo>
                  <a:pt x="232702" y="44538"/>
                </a:lnTo>
                <a:lnTo>
                  <a:pt x="239649" y="38900"/>
                </a:lnTo>
                <a:lnTo>
                  <a:pt x="241579" y="37338"/>
                </a:lnTo>
                <a:lnTo>
                  <a:pt x="245071" y="24041"/>
                </a:lnTo>
                <a:close/>
              </a:path>
              <a:path w="292735" h="513080">
                <a:moveTo>
                  <a:pt x="292684" y="512521"/>
                </a:moveTo>
                <a:lnTo>
                  <a:pt x="272478" y="411454"/>
                </a:lnTo>
                <a:lnTo>
                  <a:pt x="252260" y="512521"/>
                </a:lnTo>
                <a:lnTo>
                  <a:pt x="292684" y="512521"/>
                </a:lnTo>
                <a:close/>
              </a:path>
              <a:path w="292735" h="513080">
                <a:moveTo>
                  <a:pt x="292684" y="169951"/>
                </a:moveTo>
                <a:lnTo>
                  <a:pt x="252260" y="169951"/>
                </a:lnTo>
                <a:lnTo>
                  <a:pt x="272478" y="271018"/>
                </a:lnTo>
                <a:lnTo>
                  <a:pt x="292684" y="169951"/>
                </a:lnTo>
                <a:close/>
              </a:path>
            </a:pathLst>
          </a:custGeom>
          <a:solidFill>
            <a:srgbClr val="000000"/>
          </a:solidFill>
        </xdr:spPr>
      </xdr:sp>
    </xdr:grpSp>
    <xdr:clientData/>
  </xdr:oneCellAnchor>
  <xdr:oneCellAnchor>
    <xdr:from>
      <xdr:col>5</xdr:col>
      <xdr:colOff>0</xdr:colOff>
      <xdr:row>190</xdr:row>
      <xdr:rowOff>457212</xdr:rowOff>
    </xdr:from>
    <xdr:ext cx="563880" cy="1443355"/>
    <xdr:grpSp>
      <xdr:nvGrpSpPr>
        <xdr:cNvPr id="193" name="Group 692">
          <a:extLst>
            <a:ext uri="{FF2B5EF4-FFF2-40B4-BE49-F238E27FC236}">
              <a16:creationId xmlns:a16="http://schemas.microsoft.com/office/drawing/2014/main" id="{B4915206-D66A-4198-B6F9-2E4813CA8211}"/>
            </a:ext>
          </a:extLst>
        </xdr:cNvPr>
        <xdr:cNvGrpSpPr/>
      </xdr:nvGrpSpPr>
      <xdr:grpSpPr>
        <a:xfrm>
          <a:off x="2476500" y="46120062"/>
          <a:ext cx="563880" cy="1443355"/>
          <a:chOff x="0" y="0"/>
          <a:chExt cx="563880" cy="1443355"/>
        </a:xfrm>
      </xdr:grpSpPr>
      <xdr:sp macro="" textlink="">
        <xdr:nvSpPr>
          <xdr:cNvPr id="194" name="Shape 693">
            <a:extLst>
              <a:ext uri="{FF2B5EF4-FFF2-40B4-BE49-F238E27FC236}">
                <a16:creationId xmlns:a16="http://schemas.microsoft.com/office/drawing/2014/main" id="{9ACD83F1-4A4B-37A6-BC1D-42792F5315C8}"/>
              </a:ext>
            </a:extLst>
          </xdr:cNvPr>
          <xdr:cNvSpPr/>
        </xdr:nvSpPr>
        <xdr:spPr>
          <a:xfrm>
            <a:off x="173573" y="317435"/>
            <a:ext cx="384810" cy="854075"/>
          </a:xfrm>
          <a:custGeom>
            <a:avLst/>
            <a:gdLst/>
            <a:ahLst/>
            <a:cxnLst/>
            <a:rect l="0" t="0" r="0" b="0"/>
            <a:pathLst>
              <a:path w="384810" h="854075">
                <a:moveTo>
                  <a:pt x="349034" y="0"/>
                </a:moveTo>
                <a:lnTo>
                  <a:pt x="35331" y="0"/>
                </a:lnTo>
                <a:lnTo>
                  <a:pt x="21591" y="2775"/>
                </a:lnTo>
                <a:lnTo>
                  <a:pt x="10360" y="10344"/>
                </a:lnTo>
                <a:lnTo>
                  <a:pt x="2780" y="21570"/>
                </a:lnTo>
                <a:lnTo>
                  <a:pt x="0" y="35318"/>
                </a:lnTo>
                <a:lnTo>
                  <a:pt x="0" y="818159"/>
                </a:lnTo>
                <a:lnTo>
                  <a:pt x="2780" y="831907"/>
                </a:lnTo>
                <a:lnTo>
                  <a:pt x="10360" y="843133"/>
                </a:lnTo>
                <a:lnTo>
                  <a:pt x="21591" y="850702"/>
                </a:lnTo>
                <a:lnTo>
                  <a:pt x="35331" y="853478"/>
                </a:lnTo>
                <a:lnTo>
                  <a:pt x="349034" y="853478"/>
                </a:lnTo>
                <a:lnTo>
                  <a:pt x="362794" y="850702"/>
                </a:lnTo>
                <a:lnTo>
                  <a:pt x="374024" y="843133"/>
                </a:lnTo>
                <a:lnTo>
                  <a:pt x="381591" y="831907"/>
                </a:lnTo>
                <a:lnTo>
                  <a:pt x="384365" y="818159"/>
                </a:lnTo>
                <a:lnTo>
                  <a:pt x="384365" y="35318"/>
                </a:lnTo>
                <a:lnTo>
                  <a:pt x="381591" y="21570"/>
                </a:lnTo>
                <a:lnTo>
                  <a:pt x="374024" y="10344"/>
                </a:lnTo>
                <a:lnTo>
                  <a:pt x="362794" y="2775"/>
                </a:lnTo>
                <a:lnTo>
                  <a:pt x="349034" y="0"/>
                </a:lnTo>
                <a:close/>
              </a:path>
            </a:pathLst>
          </a:custGeom>
          <a:solidFill>
            <a:srgbClr val="E3E3E3"/>
          </a:solidFill>
        </xdr:spPr>
      </xdr:sp>
      <xdr:sp macro="" textlink="">
        <xdr:nvSpPr>
          <xdr:cNvPr id="195" name="Shape 694">
            <a:extLst>
              <a:ext uri="{FF2B5EF4-FFF2-40B4-BE49-F238E27FC236}">
                <a16:creationId xmlns:a16="http://schemas.microsoft.com/office/drawing/2014/main" id="{1D12310E-E75B-1781-E927-E800B8010753}"/>
              </a:ext>
            </a:extLst>
          </xdr:cNvPr>
          <xdr:cNvSpPr/>
        </xdr:nvSpPr>
        <xdr:spPr>
          <a:xfrm>
            <a:off x="244241" y="514136"/>
            <a:ext cx="243204" cy="457834"/>
          </a:xfrm>
          <a:custGeom>
            <a:avLst/>
            <a:gdLst/>
            <a:ahLst/>
            <a:cxnLst/>
            <a:rect l="0" t="0" r="0" b="0"/>
            <a:pathLst>
              <a:path w="243204" h="457834">
                <a:moveTo>
                  <a:pt x="33921" y="7607"/>
                </a:moveTo>
                <a:lnTo>
                  <a:pt x="26314" y="0"/>
                </a:lnTo>
                <a:lnTo>
                  <a:pt x="7594" y="0"/>
                </a:lnTo>
                <a:lnTo>
                  <a:pt x="0" y="7607"/>
                </a:lnTo>
                <a:lnTo>
                  <a:pt x="0" y="450227"/>
                </a:lnTo>
                <a:lnTo>
                  <a:pt x="7594" y="457835"/>
                </a:lnTo>
                <a:lnTo>
                  <a:pt x="26314" y="457835"/>
                </a:lnTo>
                <a:lnTo>
                  <a:pt x="33921" y="450227"/>
                </a:lnTo>
                <a:lnTo>
                  <a:pt x="33921" y="16967"/>
                </a:lnTo>
                <a:lnTo>
                  <a:pt x="33921" y="7607"/>
                </a:lnTo>
                <a:close/>
              </a:path>
              <a:path w="243204" h="457834">
                <a:moveTo>
                  <a:pt x="138430" y="7607"/>
                </a:moveTo>
                <a:lnTo>
                  <a:pt x="130822" y="0"/>
                </a:lnTo>
                <a:lnTo>
                  <a:pt x="112115" y="0"/>
                </a:lnTo>
                <a:lnTo>
                  <a:pt x="104533" y="7607"/>
                </a:lnTo>
                <a:lnTo>
                  <a:pt x="104533" y="450227"/>
                </a:lnTo>
                <a:lnTo>
                  <a:pt x="112115" y="457835"/>
                </a:lnTo>
                <a:lnTo>
                  <a:pt x="130822" y="457835"/>
                </a:lnTo>
                <a:lnTo>
                  <a:pt x="138430" y="450227"/>
                </a:lnTo>
                <a:lnTo>
                  <a:pt x="138430" y="16967"/>
                </a:lnTo>
                <a:lnTo>
                  <a:pt x="138430" y="7607"/>
                </a:lnTo>
                <a:close/>
              </a:path>
              <a:path w="243204" h="457834">
                <a:moveTo>
                  <a:pt x="243039" y="7607"/>
                </a:moveTo>
                <a:lnTo>
                  <a:pt x="235432" y="0"/>
                </a:lnTo>
                <a:lnTo>
                  <a:pt x="216725" y="0"/>
                </a:lnTo>
                <a:lnTo>
                  <a:pt x="209143" y="7607"/>
                </a:lnTo>
                <a:lnTo>
                  <a:pt x="209143" y="450227"/>
                </a:lnTo>
                <a:lnTo>
                  <a:pt x="216725" y="457835"/>
                </a:lnTo>
                <a:lnTo>
                  <a:pt x="235432" y="457835"/>
                </a:lnTo>
                <a:lnTo>
                  <a:pt x="243039" y="450227"/>
                </a:lnTo>
                <a:lnTo>
                  <a:pt x="243039" y="16967"/>
                </a:lnTo>
                <a:lnTo>
                  <a:pt x="243039" y="7607"/>
                </a:lnTo>
                <a:close/>
              </a:path>
            </a:pathLst>
          </a:custGeom>
          <a:solidFill>
            <a:srgbClr val="FFFFFF"/>
          </a:solidFill>
        </xdr:spPr>
      </xdr:sp>
      <xdr:pic>
        <xdr:nvPicPr>
          <xdr:cNvPr id="196" name="image76.png">
            <a:extLst>
              <a:ext uri="{FF2B5EF4-FFF2-40B4-BE49-F238E27FC236}">
                <a16:creationId xmlns:a16="http://schemas.microsoft.com/office/drawing/2014/main" id="{02EDFCFC-281B-CCD9-1288-FE9CEE17AB1D}"/>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295747" y="1016534"/>
            <a:ext cx="140042" cy="122631"/>
          </a:xfrm>
          <a:prstGeom prst="rect">
            <a:avLst/>
          </a:prstGeom>
        </xdr:spPr>
      </xdr:pic>
      <xdr:pic>
        <xdr:nvPicPr>
          <xdr:cNvPr id="197" name="image77.png">
            <a:extLst>
              <a:ext uri="{FF2B5EF4-FFF2-40B4-BE49-F238E27FC236}">
                <a16:creationId xmlns:a16="http://schemas.microsoft.com/office/drawing/2014/main" id="{203F1E99-8F8F-AE98-8742-6DEFE97F776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295747" y="349429"/>
            <a:ext cx="140042" cy="122631"/>
          </a:xfrm>
          <a:prstGeom prst="rect">
            <a:avLst/>
          </a:prstGeom>
        </xdr:spPr>
      </xdr:pic>
      <xdr:sp macro="" textlink="">
        <xdr:nvSpPr>
          <xdr:cNvPr id="198" name="Shape 697">
            <a:extLst>
              <a:ext uri="{FF2B5EF4-FFF2-40B4-BE49-F238E27FC236}">
                <a16:creationId xmlns:a16="http://schemas.microsoft.com/office/drawing/2014/main" id="{85A603E9-CF5C-1EAC-975A-510AC17AEBFE}"/>
              </a:ext>
            </a:extLst>
          </xdr:cNvPr>
          <xdr:cNvSpPr/>
        </xdr:nvSpPr>
        <xdr:spPr>
          <a:xfrm>
            <a:off x="173573" y="317488"/>
            <a:ext cx="384810" cy="854075"/>
          </a:xfrm>
          <a:custGeom>
            <a:avLst/>
            <a:gdLst/>
            <a:ahLst/>
            <a:cxnLst/>
            <a:rect l="0" t="0" r="0" b="0"/>
            <a:pathLst>
              <a:path w="384810" h="854075">
                <a:moveTo>
                  <a:pt x="384365" y="35344"/>
                </a:moveTo>
                <a:lnTo>
                  <a:pt x="384365" y="818159"/>
                </a:lnTo>
              </a:path>
              <a:path w="384810" h="854075">
                <a:moveTo>
                  <a:pt x="0" y="818159"/>
                </a:moveTo>
                <a:lnTo>
                  <a:pt x="0" y="35344"/>
                </a:lnTo>
              </a:path>
              <a:path w="384810" h="854075">
                <a:moveTo>
                  <a:pt x="313715" y="638695"/>
                </a:moveTo>
                <a:lnTo>
                  <a:pt x="313715" y="214795"/>
                </a:lnTo>
              </a:path>
              <a:path w="384810" h="854075">
                <a:moveTo>
                  <a:pt x="70662" y="638695"/>
                </a:moveTo>
                <a:lnTo>
                  <a:pt x="70662" y="214795"/>
                </a:lnTo>
              </a:path>
              <a:path w="384810" h="854075">
                <a:moveTo>
                  <a:pt x="104597" y="638695"/>
                </a:moveTo>
                <a:lnTo>
                  <a:pt x="104597" y="214795"/>
                </a:lnTo>
              </a:path>
              <a:path w="384810" h="854075">
                <a:moveTo>
                  <a:pt x="279793" y="638695"/>
                </a:moveTo>
                <a:lnTo>
                  <a:pt x="279793" y="214795"/>
                </a:lnTo>
              </a:path>
              <a:path w="384810" h="854075">
                <a:moveTo>
                  <a:pt x="104597" y="214795"/>
                </a:moveTo>
                <a:lnTo>
                  <a:pt x="104597" y="205409"/>
                </a:lnTo>
                <a:lnTo>
                  <a:pt x="96989" y="197827"/>
                </a:lnTo>
                <a:lnTo>
                  <a:pt x="87629" y="197827"/>
                </a:lnTo>
                <a:lnTo>
                  <a:pt x="78270" y="197827"/>
                </a:lnTo>
                <a:lnTo>
                  <a:pt x="70662" y="205409"/>
                </a:lnTo>
                <a:lnTo>
                  <a:pt x="70662" y="214795"/>
                </a:lnTo>
              </a:path>
              <a:path w="384810" h="854075">
                <a:moveTo>
                  <a:pt x="313715" y="214795"/>
                </a:moveTo>
                <a:lnTo>
                  <a:pt x="313715" y="205409"/>
                </a:lnTo>
                <a:lnTo>
                  <a:pt x="306108" y="197827"/>
                </a:lnTo>
                <a:lnTo>
                  <a:pt x="296760" y="197827"/>
                </a:lnTo>
                <a:lnTo>
                  <a:pt x="287400" y="197827"/>
                </a:lnTo>
                <a:lnTo>
                  <a:pt x="279793" y="205409"/>
                </a:lnTo>
                <a:lnTo>
                  <a:pt x="279793" y="214795"/>
                </a:lnTo>
              </a:path>
              <a:path w="384810" h="854075">
                <a:moveTo>
                  <a:pt x="209143" y="214795"/>
                </a:moveTo>
                <a:lnTo>
                  <a:pt x="209143" y="205409"/>
                </a:lnTo>
                <a:lnTo>
                  <a:pt x="201548" y="197827"/>
                </a:lnTo>
                <a:lnTo>
                  <a:pt x="192176" y="197827"/>
                </a:lnTo>
                <a:lnTo>
                  <a:pt x="182816" y="197827"/>
                </a:lnTo>
                <a:lnTo>
                  <a:pt x="175247" y="205409"/>
                </a:lnTo>
                <a:lnTo>
                  <a:pt x="175247" y="214795"/>
                </a:lnTo>
              </a:path>
              <a:path w="384810" h="854075">
                <a:moveTo>
                  <a:pt x="349034" y="0"/>
                </a:moveTo>
                <a:lnTo>
                  <a:pt x="35331" y="0"/>
                </a:lnTo>
              </a:path>
              <a:path w="384810" h="854075">
                <a:moveTo>
                  <a:pt x="271322" y="93268"/>
                </a:moveTo>
                <a:lnTo>
                  <a:pt x="265103" y="62467"/>
                </a:lnTo>
                <a:lnTo>
                  <a:pt x="248142" y="37314"/>
                </a:lnTo>
                <a:lnTo>
                  <a:pt x="222984" y="20354"/>
                </a:lnTo>
                <a:lnTo>
                  <a:pt x="192176" y="14135"/>
                </a:lnTo>
                <a:lnTo>
                  <a:pt x="161379" y="20354"/>
                </a:lnTo>
                <a:lnTo>
                  <a:pt x="136234" y="37314"/>
                </a:lnTo>
                <a:lnTo>
                  <a:pt x="119283" y="62467"/>
                </a:lnTo>
                <a:lnTo>
                  <a:pt x="113068" y="93268"/>
                </a:lnTo>
                <a:lnTo>
                  <a:pt x="119283" y="124067"/>
                </a:lnTo>
                <a:lnTo>
                  <a:pt x="136234" y="149217"/>
                </a:lnTo>
                <a:lnTo>
                  <a:pt x="161379" y="166172"/>
                </a:lnTo>
                <a:lnTo>
                  <a:pt x="192176" y="172389"/>
                </a:lnTo>
                <a:lnTo>
                  <a:pt x="222984" y="166172"/>
                </a:lnTo>
                <a:lnTo>
                  <a:pt x="248142" y="149217"/>
                </a:lnTo>
                <a:lnTo>
                  <a:pt x="265103" y="124067"/>
                </a:lnTo>
                <a:lnTo>
                  <a:pt x="271322" y="93268"/>
                </a:lnTo>
                <a:close/>
              </a:path>
              <a:path w="384810" h="854075">
                <a:moveTo>
                  <a:pt x="384365" y="35344"/>
                </a:moveTo>
                <a:lnTo>
                  <a:pt x="381588" y="21586"/>
                </a:lnTo>
                <a:lnTo>
                  <a:pt x="374014" y="10352"/>
                </a:lnTo>
                <a:lnTo>
                  <a:pt x="362784" y="2777"/>
                </a:lnTo>
                <a:lnTo>
                  <a:pt x="349034" y="0"/>
                </a:lnTo>
              </a:path>
              <a:path w="384810" h="854075">
                <a:moveTo>
                  <a:pt x="35331" y="0"/>
                </a:moveTo>
                <a:lnTo>
                  <a:pt x="21591" y="2777"/>
                </a:lnTo>
                <a:lnTo>
                  <a:pt x="10360" y="10352"/>
                </a:lnTo>
                <a:lnTo>
                  <a:pt x="2780" y="21586"/>
                </a:lnTo>
                <a:lnTo>
                  <a:pt x="0" y="35344"/>
                </a:lnTo>
              </a:path>
              <a:path w="384810" h="854075">
                <a:moveTo>
                  <a:pt x="0" y="818159"/>
                </a:moveTo>
                <a:lnTo>
                  <a:pt x="2780" y="831909"/>
                </a:lnTo>
                <a:lnTo>
                  <a:pt x="10360" y="843140"/>
                </a:lnTo>
                <a:lnTo>
                  <a:pt x="21591" y="850713"/>
                </a:lnTo>
                <a:lnTo>
                  <a:pt x="35331" y="853490"/>
                </a:lnTo>
              </a:path>
              <a:path w="384810" h="854075">
                <a:moveTo>
                  <a:pt x="349034" y="853490"/>
                </a:moveTo>
                <a:lnTo>
                  <a:pt x="362784" y="850713"/>
                </a:lnTo>
                <a:lnTo>
                  <a:pt x="374014" y="843140"/>
                </a:lnTo>
                <a:lnTo>
                  <a:pt x="381588" y="831909"/>
                </a:lnTo>
                <a:lnTo>
                  <a:pt x="384365" y="818159"/>
                </a:lnTo>
              </a:path>
            </a:pathLst>
          </a:custGeom>
          <a:ln w="10058">
            <a:solidFill>
              <a:srgbClr val="000000"/>
            </a:solidFill>
          </a:ln>
        </xdr:spPr>
      </xdr:sp>
      <xdr:pic>
        <xdr:nvPicPr>
          <xdr:cNvPr id="199" name="image78.png">
            <a:extLst>
              <a:ext uri="{FF2B5EF4-FFF2-40B4-BE49-F238E27FC236}">
                <a16:creationId xmlns:a16="http://schemas.microsoft.com/office/drawing/2014/main" id="{69F48323-CF1D-BE63-D4F9-642E217F059E}"/>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239207" y="951155"/>
            <a:ext cx="253111" cy="210718"/>
          </a:xfrm>
          <a:prstGeom prst="rect">
            <a:avLst/>
          </a:prstGeom>
        </xdr:spPr>
      </xdr:pic>
      <xdr:sp macro="" textlink="">
        <xdr:nvSpPr>
          <xdr:cNvPr id="200" name="Shape 699">
            <a:extLst>
              <a:ext uri="{FF2B5EF4-FFF2-40B4-BE49-F238E27FC236}">
                <a16:creationId xmlns:a16="http://schemas.microsoft.com/office/drawing/2014/main" id="{1DDE7118-C372-FCF2-8775-818D39A66373}"/>
              </a:ext>
            </a:extLst>
          </xdr:cNvPr>
          <xdr:cNvSpPr/>
        </xdr:nvSpPr>
        <xdr:spPr>
          <a:xfrm>
            <a:off x="208904" y="532283"/>
            <a:ext cx="314325" cy="638810"/>
          </a:xfrm>
          <a:custGeom>
            <a:avLst/>
            <a:gdLst/>
            <a:ahLst/>
            <a:cxnLst/>
            <a:rect l="0" t="0" r="0" b="0"/>
            <a:pathLst>
              <a:path w="314325" h="638810">
                <a:moveTo>
                  <a:pt x="313702" y="638695"/>
                </a:moveTo>
                <a:lnTo>
                  <a:pt x="0" y="638695"/>
                </a:lnTo>
              </a:path>
              <a:path w="314325" h="638810">
                <a:moveTo>
                  <a:pt x="139915" y="423900"/>
                </a:moveTo>
                <a:lnTo>
                  <a:pt x="139915" y="0"/>
                </a:lnTo>
              </a:path>
              <a:path w="314325" h="638810">
                <a:moveTo>
                  <a:pt x="173812" y="423900"/>
                </a:moveTo>
                <a:lnTo>
                  <a:pt x="173812" y="0"/>
                </a:lnTo>
              </a:path>
            </a:pathLst>
          </a:custGeom>
          <a:ln w="10058">
            <a:solidFill>
              <a:srgbClr val="000000"/>
            </a:solidFill>
          </a:ln>
        </xdr:spPr>
      </xdr:sp>
      <xdr:sp macro="" textlink="">
        <xdr:nvSpPr>
          <xdr:cNvPr id="201" name="Shape 700">
            <a:extLst>
              <a:ext uri="{FF2B5EF4-FFF2-40B4-BE49-F238E27FC236}">
                <a16:creationId xmlns:a16="http://schemas.microsoft.com/office/drawing/2014/main" id="{C518D4B6-063C-6931-A359-0DA981D2BC49}"/>
              </a:ext>
            </a:extLst>
          </xdr:cNvPr>
          <xdr:cNvSpPr/>
        </xdr:nvSpPr>
        <xdr:spPr>
          <a:xfrm>
            <a:off x="0" y="46534"/>
            <a:ext cx="563880" cy="1397000"/>
          </a:xfrm>
          <a:custGeom>
            <a:avLst/>
            <a:gdLst/>
            <a:ahLst/>
            <a:cxnLst/>
            <a:rect l="0" t="0" r="0" b="0"/>
            <a:pathLst>
              <a:path w="563880" h="1397000">
                <a:moveTo>
                  <a:pt x="365747" y="1118704"/>
                </a:moveTo>
                <a:lnTo>
                  <a:pt x="365747" y="943660"/>
                </a:lnTo>
              </a:path>
              <a:path w="563880" h="1397000">
                <a:moveTo>
                  <a:pt x="283184" y="1031316"/>
                </a:moveTo>
                <a:lnTo>
                  <a:pt x="448360" y="1031316"/>
                </a:lnTo>
              </a:path>
              <a:path w="563880" h="1397000">
                <a:moveTo>
                  <a:pt x="365747" y="451599"/>
                </a:moveTo>
                <a:lnTo>
                  <a:pt x="365747" y="276555"/>
                </a:lnTo>
              </a:path>
              <a:path w="563880" h="1397000">
                <a:moveTo>
                  <a:pt x="283184" y="364223"/>
                </a:moveTo>
                <a:lnTo>
                  <a:pt x="448360" y="364223"/>
                </a:lnTo>
              </a:path>
              <a:path w="563880" h="1397000">
                <a:moveTo>
                  <a:pt x="173570" y="249758"/>
                </a:moveTo>
                <a:lnTo>
                  <a:pt x="173570" y="0"/>
                </a:lnTo>
              </a:path>
              <a:path w="563880" h="1397000">
                <a:moveTo>
                  <a:pt x="557936" y="249758"/>
                </a:moveTo>
                <a:lnTo>
                  <a:pt x="557936" y="0"/>
                </a:lnTo>
              </a:path>
              <a:path w="563880" h="1397000">
                <a:moveTo>
                  <a:pt x="230124" y="56514"/>
                </a:moveTo>
                <a:lnTo>
                  <a:pt x="501421" y="56514"/>
                </a:lnTo>
              </a:path>
              <a:path w="563880" h="1397000">
                <a:moveTo>
                  <a:pt x="422135" y="1087704"/>
                </a:moveTo>
                <a:lnTo>
                  <a:pt x="422135" y="1396504"/>
                </a:lnTo>
              </a:path>
              <a:path w="563880" h="1397000">
                <a:moveTo>
                  <a:pt x="309410" y="1087704"/>
                </a:moveTo>
                <a:lnTo>
                  <a:pt x="309410" y="1396504"/>
                </a:lnTo>
              </a:path>
              <a:path w="563880" h="1397000">
                <a:moveTo>
                  <a:pt x="478650" y="1339989"/>
                </a:moveTo>
                <a:lnTo>
                  <a:pt x="563448" y="1339989"/>
                </a:lnTo>
              </a:path>
              <a:path w="563880" h="1397000">
                <a:moveTo>
                  <a:pt x="252882" y="1339989"/>
                </a:moveTo>
                <a:lnTo>
                  <a:pt x="0" y="1339989"/>
                </a:lnTo>
              </a:path>
              <a:path w="563880" h="1397000">
                <a:moveTo>
                  <a:pt x="309410" y="1339989"/>
                </a:moveTo>
                <a:lnTo>
                  <a:pt x="422135" y="1339989"/>
                </a:lnTo>
              </a:path>
            </a:pathLst>
          </a:custGeom>
          <a:ln w="6032">
            <a:solidFill>
              <a:srgbClr val="000000"/>
            </a:solidFill>
          </a:ln>
        </xdr:spPr>
      </xdr:sp>
      <xdr:sp macro="" textlink="">
        <xdr:nvSpPr>
          <xdr:cNvPr id="202" name="Shape 701">
            <a:extLst>
              <a:ext uri="{FF2B5EF4-FFF2-40B4-BE49-F238E27FC236}">
                <a16:creationId xmlns:a16="http://schemas.microsoft.com/office/drawing/2014/main" id="{EF00C270-1F3A-D544-7EBC-3A2DFBB9BDED}"/>
              </a:ext>
            </a:extLst>
          </xdr:cNvPr>
          <xdr:cNvSpPr/>
        </xdr:nvSpPr>
        <xdr:spPr>
          <a:xfrm>
            <a:off x="13177" y="2"/>
            <a:ext cx="544830" cy="1406525"/>
          </a:xfrm>
          <a:custGeom>
            <a:avLst/>
            <a:gdLst/>
            <a:ahLst/>
            <a:cxnLst/>
            <a:rect l="0" t="0" r="0" b="0"/>
            <a:pathLst>
              <a:path w="544830" h="1406525">
                <a:moveTo>
                  <a:pt x="27076" y="1286014"/>
                </a:moveTo>
                <a:lnTo>
                  <a:pt x="20535" y="1286014"/>
                </a:lnTo>
                <a:lnTo>
                  <a:pt x="18618" y="1296784"/>
                </a:lnTo>
                <a:lnTo>
                  <a:pt x="9766" y="1299400"/>
                </a:lnTo>
                <a:lnTo>
                  <a:pt x="0" y="1299400"/>
                </a:lnTo>
                <a:lnTo>
                  <a:pt x="0" y="1306245"/>
                </a:lnTo>
                <a:lnTo>
                  <a:pt x="18542" y="1306245"/>
                </a:lnTo>
                <a:lnTo>
                  <a:pt x="18542" y="1357363"/>
                </a:lnTo>
                <a:lnTo>
                  <a:pt x="27076" y="1357363"/>
                </a:lnTo>
                <a:lnTo>
                  <a:pt x="27076" y="1286014"/>
                </a:lnTo>
                <a:close/>
              </a:path>
              <a:path w="544830" h="1406525">
                <a:moveTo>
                  <a:pt x="72288" y="1287297"/>
                </a:moveTo>
                <a:lnTo>
                  <a:pt x="67716" y="1287297"/>
                </a:lnTo>
                <a:lnTo>
                  <a:pt x="66395" y="1294828"/>
                </a:lnTo>
                <a:lnTo>
                  <a:pt x="60172" y="1296670"/>
                </a:lnTo>
                <a:lnTo>
                  <a:pt x="53352" y="1296670"/>
                </a:lnTo>
                <a:lnTo>
                  <a:pt x="53352" y="1301457"/>
                </a:lnTo>
                <a:lnTo>
                  <a:pt x="66306" y="1301457"/>
                </a:lnTo>
                <a:lnTo>
                  <a:pt x="66306" y="1337246"/>
                </a:lnTo>
                <a:lnTo>
                  <a:pt x="72288" y="1337246"/>
                </a:lnTo>
                <a:lnTo>
                  <a:pt x="72288" y="1287297"/>
                </a:lnTo>
                <a:close/>
              </a:path>
              <a:path w="544830" h="1406525">
                <a:moveTo>
                  <a:pt x="121729" y="1283792"/>
                </a:moveTo>
                <a:lnTo>
                  <a:pt x="114363" y="1283792"/>
                </a:lnTo>
                <a:lnTo>
                  <a:pt x="84569" y="1359077"/>
                </a:lnTo>
                <a:lnTo>
                  <a:pt x="91922" y="1359077"/>
                </a:lnTo>
                <a:lnTo>
                  <a:pt x="121729" y="1283792"/>
                </a:lnTo>
                <a:close/>
              </a:path>
              <a:path w="544830" h="1406525">
                <a:moveTo>
                  <a:pt x="156171" y="1340396"/>
                </a:moveTo>
                <a:lnTo>
                  <a:pt x="149428" y="1340396"/>
                </a:lnTo>
                <a:lnTo>
                  <a:pt x="149428" y="1315961"/>
                </a:lnTo>
                <a:lnTo>
                  <a:pt x="149428" y="1307426"/>
                </a:lnTo>
                <a:lnTo>
                  <a:pt x="144614" y="1307426"/>
                </a:lnTo>
                <a:lnTo>
                  <a:pt x="143776" y="1308633"/>
                </a:lnTo>
                <a:lnTo>
                  <a:pt x="143776" y="1315961"/>
                </a:lnTo>
                <a:lnTo>
                  <a:pt x="143776" y="1340396"/>
                </a:lnTo>
                <a:lnTo>
                  <a:pt x="127000" y="1340396"/>
                </a:lnTo>
                <a:lnTo>
                  <a:pt x="143637" y="1315961"/>
                </a:lnTo>
                <a:lnTo>
                  <a:pt x="143776" y="1315961"/>
                </a:lnTo>
                <a:lnTo>
                  <a:pt x="143776" y="1308633"/>
                </a:lnTo>
                <a:lnTo>
                  <a:pt x="121869" y="1339900"/>
                </a:lnTo>
                <a:lnTo>
                  <a:pt x="121869" y="1345679"/>
                </a:lnTo>
                <a:lnTo>
                  <a:pt x="143776" y="1345679"/>
                </a:lnTo>
                <a:lnTo>
                  <a:pt x="143776" y="1357376"/>
                </a:lnTo>
                <a:lnTo>
                  <a:pt x="149428" y="1357376"/>
                </a:lnTo>
                <a:lnTo>
                  <a:pt x="149428" y="1345679"/>
                </a:lnTo>
                <a:lnTo>
                  <a:pt x="156171" y="1345679"/>
                </a:lnTo>
                <a:lnTo>
                  <a:pt x="156171" y="1340396"/>
                </a:lnTo>
                <a:close/>
              </a:path>
              <a:path w="544830" h="1406525">
                <a:moveTo>
                  <a:pt x="176885" y="1285494"/>
                </a:moveTo>
                <a:lnTo>
                  <a:pt x="170040" y="1285494"/>
                </a:lnTo>
                <a:lnTo>
                  <a:pt x="170040" y="1311465"/>
                </a:lnTo>
                <a:lnTo>
                  <a:pt x="176885" y="1311465"/>
                </a:lnTo>
                <a:lnTo>
                  <a:pt x="176885" y="1285494"/>
                </a:lnTo>
                <a:close/>
              </a:path>
              <a:path w="544830" h="1406525">
                <a:moveTo>
                  <a:pt x="190969" y="1285494"/>
                </a:moveTo>
                <a:lnTo>
                  <a:pt x="184137" y="1285494"/>
                </a:lnTo>
                <a:lnTo>
                  <a:pt x="184137" y="1311465"/>
                </a:lnTo>
                <a:lnTo>
                  <a:pt x="190969" y="1311465"/>
                </a:lnTo>
                <a:lnTo>
                  <a:pt x="190969" y="1285494"/>
                </a:lnTo>
                <a:close/>
              </a:path>
              <a:path w="544830" h="1406525">
                <a:moveTo>
                  <a:pt x="260248" y="83083"/>
                </a:moveTo>
                <a:lnTo>
                  <a:pt x="160388" y="103035"/>
                </a:lnTo>
                <a:lnTo>
                  <a:pt x="260248" y="123024"/>
                </a:lnTo>
                <a:lnTo>
                  <a:pt x="260248" y="83083"/>
                </a:lnTo>
                <a:close/>
              </a:path>
              <a:path w="544830" h="1406525">
                <a:moveTo>
                  <a:pt x="296202" y="1386522"/>
                </a:moveTo>
                <a:lnTo>
                  <a:pt x="196367" y="1366545"/>
                </a:lnTo>
                <a:lnTo>
                  <a:pt x="196367" y="1406486"/>
                </a:lnTo>
                <a:lnTo>
                  <a:pt x="296202" y="1386522"/>
                </a:lnTo>
                <a:close/>
              </a:path>
              <a:path w="544830" h="1406525">
                <a:moveTo>
                  <a:pt x="298640" y="12"/>
                </a:moveTo>
                <a:lnTo>
                  <a:pt x="292074" y="12"/>
                </a:lnTo>
                <a:lnTo>
                  <a:pt x="290182" y="10782"/>
                </a:lnTo>
                <a:lnTo>
                  <a:pt x="281305" y="13398"/>
                </a:lnTo>
                <a:lnTo>
                  <a:pt x="271551" y="13398"/>
                </a:lnTo>
                <a:lnTo>
                  <a:pt x="271551" y="20231"/>
                </a:lnTo>
                <a:lnTo>
                  <a:pt x="290080" y="20231"/>
                </a:lnTo>
                <a:lnTo>
                  <a:pt x="290080" y="71361"/>
                </a:lnTo>
                <a:lnTo>
                  <a:pt x="298640" y="71361"/>
                </a:lnTo>
                <a:lnTo>
                  <a:pt x="298640" y="12"/>
                </a:lnTo>
                <a:close/>
              </a:path>
              <a:path w="544830" h="1406525">
                <a:moveTo>
                  <a:pt x="370078" y="42265"/>
                </a:moveTo>
                <a:lnTo>
                  <a:pt x="365848" y="35420"/>
                </a:lnTo>
                <a:lnTo>
                  <a:pt x="357212" y="33515"/>
                </a:lnTo>
                <a:lnTo>
                  <a:pt x="357212" y="33312"/>
                </a:lnTo>
                <a:lnTo>
                  <a:pt x="362635" y="30797"/>
                </a:lnTo>
                <a:lnTo>
                  <a:pt x="367055" y="25361"/>
                </a:lnTo>
                <a:lnTo>
                  <a:pt x="367055" y="19113"/>
                </a:lnTo>
                <a:lnTo>
                  <a:pt x="365404" y="10566"/>
                </a:lnTo>
                <a:lnTo>
                  <a:pt x="360832" y="4622"/>
                </a:lnTo>
                <a:lnTo>
                  <a:pt x="353936" y="1143"/>
                </a:lnTo>
                <a:lnTo>
                  <a:pt x="345325" y="0"/>
                </a:lnTo>
                <a:lnTo>
                  <a:pt x="335915" y="1689"/>
                </a:lnTo>
                <a:lnTo>
                  <a:pt x="329133" y="6426"/>
                </a:lnTo>
                <a:lnTo>
                  <a:pt x="324929" y="13716"/>
                </a:lnTo>
                <a:lnTo>
                  <a:pt x="323278" y="23050"/>
                </a:lnTo>
                <a:lnTo>
                  <a:pt x="331838" y="23050"/>
                </a:lnTo>
                <a:lnTo>
                  <a:pt x="331939" y="14693"/>
                </a:lnTo>
                <a:lnTo>
                  <a:pt x="335965" y="7543"/>
                </a:lnTo>
                <a:lnTo>
                  <a:pt x="352564" y="7543"/>
                </a:lnTo>
                <a:lnTo>
                  <a:pt x="358025" y="11569"/>
                </a:lnTo>
                <a:lnTo>
                  <a:pt x="358025" y="26771"/>
                </a:lnTo>
                <a:lnTo>
                  <a:pt x="351663" y="30695"/>
                </a:lnTo>
                <a:lnTo>
                  <a:pt x="340690" y="30594"/>
                </a:lnTo>
                <a:lnTo>
                  <a:pt x="340690" y="37833"/>
                </a:lnTo>
                <a:lnTo>
                  <a:pt x="344106" y="37528"/>
                </a:lnTo>
                <a:lnTo>
                  <a:pt x="354279" y="37528"/>
                </a:lnTo>
                <a:lnTo>
                  <a:pt x="361022" y="42265"/>
                </a:lnTo>
                <a:lnTo>
                  <a:pt x="361022" y="59880"/>
                </a:lnTo>
                <a:lnTo>
                  <a:pt x="353898" y="65011"/>
                </a:lnTo>
                <a:lnTo>
                  <a:pt x="335762" y="65011"/>
                </a:lnTo>
                <a:lnTo>
                  <a:pt x="330619" y="58572"/>
                </a:lnTo>
                <a:lnTo>
                  <a:pt x="330339" y="49314"/>
                </a:lnTo>
                <a:lnTo>
                  <a:pt x="321767" y="49314"/>
                </a:lnTo>
                <a:lnTo>
                  <a:pt x="323316" y="59156"/>
                </a:lnTo>
                <a:lnTo>
                  <a:pt x="328091" y="66459"/>
                </a:lnTo>
                <a:lnTo>
                  <a:pt x="335661" y="71005"/>
                </a:lnTo>
                <a:lnTo>
                  <a:pt x="345541" y="72567"/>
                </a:lnTo>
                <a:lnTo>
                  <a:pt x="355015" y="71183"/>
                </a:lnTo>
                <a:lnTo>
                  <a:pt x="362826" y="67056"/>
                </a:lnTo>
                <a:lnTo>
                  <a:pt x="368122" y="60261"/>
                </a:lnTo>
                <a:lnTo>
                  <a:pt x="370078" y="50825"/>
                </a:lnTo>
                <a:lnTo>
                  <a:pt x="370078" y="42265"/>
                </a:lnTo>
                <a:close/>
              </a:path>
              <a:path w="544830" h="1406525">
                <a:moveTo>
                  <a:pt x="426961" y="48615"/>
                </a:moveTo>
                <a:lnTo>
                  <a:pt x="425627" y="40360"/>
                </a:lnTo>
                <a:lnTo>
                  <a:pt x="425589" y="40157"/>
                </a:lnTo>
                <a:lnTo>
                  <a:pt x="425475" y="39433"/>
                </a:lnTo>
                <a:lnTo>
                  <a:pt x="421716" y="33020"/>
                </a:lnTo>
                <a:lnTo>
                  <a:pt x="421170" y="32092"/>
                </a:lnTo>
                <a:lnTo>
                  <a:pt x="417880" y="29768"/>
                </a:lnTo>
                <a:lnTo>
                  <a:pt x="417880" y="40360"/>
                </a:lnTo>
                <a:lnTo>
                  <a:pt x="417880" y="57658"/>
                </a:lnTo>
                <a:lnTo>
                  <a:pt x="412762" y="65011"/>
                </a:lnTo>
                <a:lnTo>
                  <a:pt x="394144" y="65011"/>
                </a:lnTo>
                <a:lnTo>
                  <a:pt x="388696" y="57975"/>
                </a:lnTo>
                <a:lnTo>
                  <a:pt x="388696" y="40157"/>
                </a:lnTo>
                <a:lnTo>
                  <a:pt x="392607" y="34823"/>
                </a:lnTo>
                <a:lnTo>
                  <a:pt x="393928" y="33020"/>
                </a:lnTo>
                <a:lnTo>
                  <a:pt x="413245" y="33020"/>
                </a:lnTo>
                <a:lnTo>
                  <a:pt x="417880" y="40360"/>
                </a:lnTo>
                <a:lnTo>
                  <a:pt x="417880" y="29768"/>
                </a:lnTo>
                <a:lnTo>
                  <a:pt x="414299" y="27228"/>
                </a:lnTo>
                <a:lnTo>
                  <a:pt x="405117" y="25463"/>
                </a:lnTo>
                <a:lnTo>
                  <a:pt x="397344" y="25463"/>
                </a:lnTo>
                <a:lnTo>
                  <a:pt x="391312" y="28282"/>
                </a:lnTo>
                <a:lnTo>
                  <a:pt x="387413" y="34620"/>
                </a:lnTo>
                <a:lnTo>
                  <a:pt x="387286" y="34823"/>
                </a:lnTo>
                <a:lnTo>
                  <a:pt x="404418" y="7543"/>
                </a:lnTo>
                <a:lnTo>
                  <a:pt x="411137" y="7543"/>
                </a:lnTo>
                <a:lnTo>
                  <a:pt x="415569" y="11772"/>
                </a:lnTo>
                <a:lnTo>
                  <a:pt x="416369" y="18211"/>
                </a:lnTo>
                <a:lnTo>
                  <a:pt x="424929" y="18211"/>
                </a:lnTo>
                <a:lnTo>
                  <a:pt x="404799" y="0"/>
                </a:lnTo>
                <a:lnTo>
                  <a:pt x="392125" y="3225"/>
                </a:lnTo>
                <a:lnTo>
                  <a:pt x="384035" y="11772"/>
                </a:lnTo>
                <a:lnTo>
                  <a:pt x="379768" y="23990"/>
                </a:lnTo>
                <a:lnTo>
                  <a:pt x="378523" y="38239"/>
                </a:lnTo>
                <a:lnTo>
                  <a:pt x="379298" y="48615"/>
                </a:lnTo>
                <a:lnTo>
                  <a:pt x="379387" y="49936"/>
                </a:lnTo>
                <a:lnTo>
                  <a:pt x="382879" y="61036"/>
                </a:lnTo>
                <a:lnTo>
                  <a:pt x="390334" y="69316"/>
                </a:lnTo>
                <a:lnTo>
                  <a:pt x="403085" y="72567"/>
                </a:lnTo>
                <a:lnTo>
                  <a:pt x="414426" y="70281"/>
                </a:lnTo>
                <a:lnTo>
                  <a:pt x="421106" y="65011"/>
                </a:lnTo>
                <a:lnTo>
                  <a:pt x="421792" y="64477"/>
                </a:lnTo>
                <a:lnTo>
                  <a:pt x="425767" y="56730"/>
                </a:lnTo>
                <a:lnTo>
                  <a:pt x="426770" y="49936"/>
                </a:lnTo>
                <a:lnTo>
                  <a:pt x="426897" y="49110"/>
                </a:lnTo>
                <a:lnTo>
                  <a:pt x="426961" y="48615"/>
                </a:lnTo>
                <a:close/>
              </a:path>
              <a:path w="544830" h="1406525">
                <a:moveTo>
                  <a:pt x="508800" y="1366545"/>
                </a:moveTo>
                <a:lnTo>
                  <a:pt x="408940" y="1386522"/>
                </a:lnTo>
                <a:lnTo>
                  <a:pt x="508800" y="1406486"/>
                </a:lnTo>
                <a:lnTo>
                  <a:pt x="508800" y="1366545"/>
                </a:lnTo>
                <a:close/>
              </a:path>
              <a:path w="544830" h="1406525">
                <a:moveTo>
                  <a:pt x="544753" y="103035"/>
                </a:moveTo>
                <a:lnTo>
                  <a:pt x="444893" y="83083"/>
                </a:lnTo>
                <a:lnTo>
                  <a:pt x="444893" y="123024"/>
                </a:lnTo>
                <a:lnTo>
                  <a:pt x="544753" y="103035"/>
                </a:lnTo>
                <a:close/>
              </a:path>
            </a:pathLst>
          </a:custGeom>
          <a:solidFill>
            <a:srgbClr val="000000"/>
          </a:solidFill>
        </xdr:spPr>
      </xdr:sp>
    </xdr:grpSp>
    <xdr:clientData/>
  </xdr:oneCellAnchor>
  <xdr:oneCellAnchor>
    <xdr:from>
      <xdr:col>0</xdr:col>
      <xdr:colOff>62108</xdr:colOff>
      <xdr:row>190</xdr:row>
      <xdr:rowOff>290140</xdr:rowOff>
    </xdr:from>
    <xdr:ext cx="2026285" cy="1605280"/>
    <xdr:grpSp>
      <xdr:nvGrpSpPr>
        <xdr:cNvPr id="203" name="Group 702">
          <a:extLst>
            <a:ext uri="{FF2B5EF4-FFF2-40B4-BE49-F238E27FC236}">
              <a16:creationId xmlns:a16="http://schemas.microsoft.com/office/drawing/2014/main" id="{C1DEAF6B-D276-4B79-94F1-50C2D8C17D0F}"/>
            </a:ext>
          </a:extLst>
        </xdr:cNvPr>
        <xdr:cNvGrpSpPr/>
      </xdr:nvGrpSpPr>
      <xdr:grpSpPr>
        <a:xfrm>
          <a:off x="62108" y="45952990"/>
          <a:ext cx="2026285" cy="1605280"/>
          <a:chOff x="0" y="0"/>
          <a:chExt cx="2026285" cy="1605280"/>
        </a:xfrm>
      </xdr:grpSpPr>
      <xdr:sp macro="" textlink="">
        <xdr:nvSpPr>
          <xdr:cNvPr id="204" name="Shape 703">
            <a:extLst>
              <a:ext uri="{FF2B5EF4-FFF2-40B4-BE49-F238E27FC236}">
                <a16:creationId xmlns:a16="http://schemas.microsoft.com/office/drawing/2014/main" id="{E638A9FB-0ED3-AF82-DEDB-E3244C711885}"/>
              </a:ext>
            </a:extLst>
          </xdr:cNvPr>
          <xdr:cNvSpPr/>
        </xdr:nvSpPr>
        <xdr:spPr>
          <a:xfrm>
            <a:off x="486824" y="485165"/>
            <a:ext cx="1311910" cy="853440"/>
          </a:xfrm>
          <a:custGeom>
            <a:avLst/>
            <a:gdLst/>
            <a:ahLst/>
            <a:cxnLst/>
            <a:rect l="0" t="0" r="0" b="0"/>
            <a:pathLst>
              <a:path w="1311910" h="853440">
                <a:moveTo>
                  <a:pt x="1311325" y="35560"/>
                </a:moveTo>
                <a:lnTo>
                  <a:pt x="1310970" y="33020"/>
                </a:lnTo>
                <a:lnTo>
                  <a:pt x="1309179" y="31750"/>
                </a:lnTo>
                <a:lnTo>
                  <a:pt x="1283093" y="31750"/>
                </a:lnTo>
                <a:lnTo>
                  <a:pt x="1279944" y="29210"/>
                </a:lnTo>
                <a:lnTo>
                  <a:pt x="1279944" y="22860"/>
                </a:lnTo>
                <a:lnTo>
                  <a:pt x="1279944" y="21590"/>
                </a:lnTo>
                <a:lnTo>
                  <a:pt x="1279944" y="12700"/>
                </a:lnTo>
                <a:lnTo>
                  <a:pt x="1278039" y="11430"/>
                </a:lnTo>
                <a:lnTo>
                  <a:pt x="1271752" y="11430"/>
                </a:lnTo>
                <a:lnTo>
                  <a:pt x="1271752" y="16510"/>
                </a:lnTo>
                <a:lnTo>
                  <a:pt x="1267879" y="12700"/>
                </a:lnTo>
                <a:lnTo>
                  <a:pt x="1237005" y="11430"/>
                </a:lnTo>
                <a:lnTo>
                  <a:pt x="1234033" y="10160"/>
                </a:lnTo>
                <a:lnTo>
                  <a:pt x="1231176" y="10160"/>
                </a:lnTo>
                <a:lnTo>
                  <a:pt x="1228902" y="7620"/>
                </a:lnTo>
                <a:lnTo>
                  <a:pt x="1227213" y="6350"/>
                </a:lnTo>
                <a:lnTo>
                  <a:pt x="1221435" y="2540"/>
                </a:lnTo>
                <a:lnTo>
                  <a:pt x="1214374" y="0"/>
                </a:lnTo>
                <a:lnTo>
                  <a:pt x="1199438" y="0"/>
                </a:lnTo>
                <a:lnTo>
                  <a:pt x="1192657" y="2540"/>
                </a:lnTo>
                <a:lnTo>
                  <a:pt x="1187005" y="6350"/>
                </a:lnTo>
                <a:lnTo>
                  <a:pt x="1184617" y="7620"/>
                </a:lnTo>
                <a:lnTo>
                  <a:pt x="1182293" y="10160"/>
                </a:lnTo>
                <a:lnTo>
                  <a:pt x="1179461" y="10160"/>
                </a:lnTo>
                <a:lnTo>
                  <a:pt x="1176477" y="11430"/>
                </a:lnTo>
                <a:lnTo>
                  <a:pt x="1145616" y="12700"/>
                </a:lnTo>
                <a:lnTo>
                  <a:pt x="1141755" y="16510"/>
                </a:lnTo>
                <a:lnTo>
                  <a:pt x="1141755" y="19050"/>
                </a:lnTo>
                <a:lnTo>
                  <a:pt x="1138262" y="15240"/>
                </a:lnTo>
                <a:lnTo>
                  <a:pt x="1091514" y="15240"/>
                </a:lnTo>
                <a:lnTo>
                  <a:pt x="1088059" y="19050"/>
                </a:lnTo>
                <a:lnTo>
                  <a:pt x="1088059" y="16510"/>
                </a:lnTo>
                <a:lnTo>
                  <a:pt x="1084148" y="12700"/>
                </a:lnTo>
                <a:lnTo>
                  <a:pt x="1053287" y="11430"/>
                </a:lnTo>
                <a:lnTo>
                  <a:pt x="1050328" y="10160"/>
                </a:lnTo>
                <a:lnTo>
                  <a:pt x="1047483" y="10160"/>
                </a:lnTo>
                <a:lnTo>
                  <a:pt x="1045210" y="7620"/>
                </a:lnTo>
                <a:lnTo>
                  <a:pt x="1042885" y="6350"/>
                </a:lnTo>
                <a:lnTo>
                  <a:pt x="1037247" y="2540"/>
                </a:lnTo>
                <a:lnTo>
                  <a:pt x="1030376" y="0"/>
                </a:lnTo>
                <a:lnTo>
                  <a:pt x="1015250" y="0"/>
                </a:lnTo>
                <a:lnTo>
                  <a:pt x="1007986" y="2540"/>
                </a:lnTo>
                <a:lnTo>
                  <a:pt x="1002131" y="6350"/>
                </a:lnTo>
                <a:lnTo>
                  <a:pt x="998601" y="10160"/>
                </a:lnTo>
                <a:lnTo>
                  <a:pt x="995743" y="10160"/>
                </a:lnTo>
                <a:lnTo>
                  <a:pt x="992797" y="11430"/>
                </a:lnTo>
                <a:lnTo>
                  <a:pt x="961936" y="12700"/>
                </a:lnTo>
                <a:lnTo>
                  <a:pt x="958062" y="16510"/>
                </a:lnTo>
                <a:lnTo>
                  <a:pt x="958062" y="19050"/>
                </a:lnTo>
                <a:lnTo>
                  <a:pt x="954570" y="15240"/>
                </a:lnTo>
                <a:lnTo>
                  <a:pt x="907834" y="15240"/>
                </a:lnTo>
                <a:lnTo>
                  <a:pt x="904341" y="19050"/>
                </a:lnTo>
                <a:lnTo>
                  <a:pt x="904341" y="16510"/>
                </a:lnTo>
                <a:lnTo>
                  <a:pt x="900442" y="12700"/>
                </a:lnTo>
                <a:lnTo>
                  <a:pt x="869581" y="11430"/>
                </a:lnTo>
                <a:lnTo>
                  <a:pt x="866660" y="10160"/>
                </a:lnTo>
                <a:lnTo>
                  <a:pt x="863803" y="10160"/>
                </a:lnTo>
                <a:lnTo>
                  <a:pt x="861491" y="7620"/>
                </a:lnTo>
                <a:lnTo>
                  <a:pt x="859955" y="6350"/>
                </a:lnTo>
                <a:lnTo>
                  <a:pt x="854151" y="2540"/>
                </a:lnTo>
                <a:lnTo>
                  <a:pt x="847039" y="0"/>
                </a:lnTo>
                <a:lnTo>
                  <a:pt x="832015" y="0"/>
                </a:lnTo>
                <a:lnTo>
                  <a:pt x="825220" y="2540"/>
                </a:lnTo>
                <a:lnTo>
                  <a:pt x="819594" y="6350"/>
                </a:lnTo>
                <a:lnTo>
                  <a:pt x="817194" y="7620"/>
                </a:lnTo>
                <a:lnTo>
                  <a:pt x="814895" y="10160"/>
                </a:lnTo>
                <a:lnTo>
                  <a:pt x="812050" y="10160"/>
                </a:lnTo>
                <a:lnTo>
                  <a:pt x="809104" y="11430"/>
                </a:lnTo>
                <a:lnTo>
                  <a:pt x="778243" y="12700"/>
                </a:lnTo>
                <a:lnTo>
                  <a:pt x="774369" y="16510"/>
                </a:lnTo>
                <a:lnTo>
                  <a:pt x="774369" y="19050"/>
                </a:lnTo>
                <a:lnTo>
                  <a:pt x="770864" y="15240"/>
                </a:lnTo>
                <a:lnTo>
                  <a:pt x="724141" y="15240"/>
                </a:lnTo>
                <a:lnTo>
                  <a:pt x="720648" y="19050"/>
                </a:lnTo>
                <a:lnTo>
                  <a:pt x="720648" y="16510"/>
                </a:lnTo>
                <a:lnTo>
                  <a:pt x="716775" y="12700"/>
                </a:lnTo>
                <a:lnTo>
                  <a:pt x="685914" y="11430"/>
                </a:lnTo>
                <a:lnTo>
                  <a:pt x="682967" y="10160"/>
                </a:lnTo>
                <a:lnTo>
                  <a:pt x="680110" y="10160"/>
                </a:lnTo>
                <a:lnTo>
                  <a:pt x="677786" y="7620"/>
                </a:lnTo>
                <a:lnTo>
                  <a:pt x="675741" y="6350"/>
                </a:lnTo>
                <a:lnTo>
                  <a:pt x="670052" y="2540"/>
                </a:lnTo>
                <a:lnTo>
                  <a:pt x="663105" y="0"/>
                </a:lnTo>
                <a:lnTo>
                  <a:pt x="648004" y="0"/>
                </a:lnTo>
                <a:lnTo>
                  <a:pt x="640930" y="2540"/>
                </a:lnTo>
                <a:lnTo>
                  <a:pt x="635114" y="6350"/>
                </a:lnTo>
                <a:lnTo>
                  <a:pt x="633501" y="7620"/>
                </a:lnTo>
                <a:lnTo>
                  <a:pt x="631202" y="10160"/>
                </a:lnTo>
                <a:lnTo>
                  <a:pt x="628370" y="10160"/>
                </a:lnTo>
                <a:lnTo>
                  <a:pt x="625386" y="11430"/>
                </a:lnTo>
                <a:lnTo>
                  <a:pt x="594525" y="12700"/>
                </a:lnTo>
                <a:lnTo>
                  <a:pt x="590651" y="16510"/>
                </a:lnTo>
                <a:lnTo>
                  <a:pt x="590651" y="19050"/>
                </a:lnTo>
                <a:lnTo>
                  <a:pt x="587184" y="15240"/>
                </a:lnTo>
                <a:lnTo>
                  <a:pt x="540423" y="15240"/>
                </a:lnTo>
                <a:lnTo>
                  <a:pt x="536968" y="19050"/>
                </a:lnTo>
                <a:lnTo>
                  <a:pt x="536968" y="16510"/>
                </a:lnTo>
                <a:lnTo>
                  <a:pt x="533069" y="12700"/>
                </a:lnTo>
                <a:lnTo>
                  <a:pt x="502208" y="11430"/>
                </a:lnTo>
                <a:lnTo>
                  <a:pt x="499249" y="10160"/>
                </a:lnTo>
                <a:lnTo>
                  <a:pt x="496392" y="10160"/>
                </a:lnTo>
                <a:lnTo>
                  <a:pt x="494093" y="7620"/>
                </a:lnTo>
                <a:lnTo>
                  <a:pt x="491693" y="6350"/>
                </a:lnTo>
                <a:lnTo>
                  <a:pt x="486054" y="2540"/>
                </a:lnTo>
                <a:lnTo>
                  <a:pt x="479247" y="0"/>
                </a:lnTo>
                <a:lnTo>
                  <a:pt x="464654" y="0"/>
                </a:lnTo>
                <a:lnTo>
                  <a:pt x="457860" y="2540"/>
                </a:lnTo>
                <a:lnTo>
                  <a:pt x="452221" y="6350"/>
                </a:lnTo>
                <a:lnTo>
                  <a:pt x="449821" y="7620"/>
                </a:lnTo>
                <a:lnTo>
                  <a:pt x="447484" y="10160"/>
                </a:lnTo>
                <a:lnTo>
                  <a:pt x="444677" y="10160"/>
                </a:lnTo>
                <a:lnTo>
                  <a:pt x="441693" y="11430"/>
                </a:lnTo>
                <a:lnTo>
                  <a:pt x="410832" y="12700"/>
                </a:lnTo>
                <a:lnTo>
                  <a:pt x="406958" y="16510"/>
                </a:lnTo>
                <a:lnTo>
                  <a:pt x="406958" y="19050"/>
                </a:lnTo>
                <a:lnTo>
                  <a:pt x="403491" y="15240"/>
                </a:lnTo>
                <a:lnTo>
                  <a:pt x="356730" y="15240"/>
                </a:lnTo>
                <a:lnTo>
                  <a:pt x="353275" y="19050"/>
                </a:lnTo>
                <a:lnTo>
                  <a:pt x="353275" y="16510"/>
                </a:lnTo>
                <a:lnTo>
                  <a:pt x="349364" y="12700"/>
                </a:lnTo>
                <a:lnTo>
                  <a:pt x="318503" y="11430"/>
                </a:lnTo>
                <a:lnTo>
                  <a:pt x="315544" y="10160"/>
                </a:lnTo>
                <a:lnTo>
                  <a:pt x="312699" y="10160"/>
                </a:lnTo>
                <a:lnTo>
                  <a:pt x="310400" y="7620"/>
                </a:lnTo>
                <a:lnTo>
                  <a:pt x="308610" y="6350"/>
                </a:lnTo>
                <a:lnTo>
                  <a:pt x="302869" y="2540"/>
                </a:lnTo>
                <a:lnTo>
                  <a:pt x="295833" y="0"/>
                </a:lnTo>
                <a:lnTo>
                  <a:pt x="280644" y="0"/>
                </a:lnTo>
                <a:lnTo>
                  <a:pt x="273545" y="2540"/>
                </a:lnTo>
                <a:lnTo>
                  <a:pt x="267766" y="6350"/>
                </a:lnTo>
                <a:lnTo>
                  <a:pt x="266128" y="7620"/>
                </a:lnTo>
                <a:lnTo>
                  <a:pt x="263791" y="10160"/>
                </a:lnTo>
                <a:lnTo>
                  <a:pt x="260959" y="10160"/>
                </a:lnTo>
                <a:lnTo>
                  <a:pt x="258013" y="11430"/>
                </a:lnTo>
                <a:lnTo>
                  <a:pt x="227152" y="12700"/>
                </a:lnTo>
                <a:lnTo>
                  <a:pt x="223278" y="16510"/>
                </a:lnTo>
                <a:lnTo>
                  <a:pt x="223278" y="19050"/>
                </a:lnTo>
                <a:lnTo>
                  <a:pt x="219773" y="15240"/>
                </a:lnTo>
                <a:lnTo>
                  <a:pt x="173050" y="15240"/>
                </a:lnTo>
                <a:lnTo>
                  <a:pt x="169557" y="19050"/>
                </a:lnTo>
                <a:lnTo>
                  <a:pt x="169557" y="16510"/>
                </a:lnTo>
                <a:lnTo>
                  <a:pt x="165658" y="12700"/>
                </a:lnTo>
                <a:lnTo>
                  <a:pt x="134797" y="11430"/>
                </a:lnTo>
                <a:lnTo>
                  <a:pt x="131876" y="10160"/>
                </a:lnTo>
                <a:lnTo>
                  <a:pt x="129019" y="10160"/>
                </a:lnTo>
                <a:lnTo>
                  <a:pt x="126682" y="7620"/>
                </a:lnTo>
                <a:lnTo>
                  <a:pt x="124993" y="6350"/>
                </a:lnTo>
                <a:lnTo>
                  <a:pt x="119227" y="2540"/>
                </a:lnTo>
                <a:lnTo>
                  <a:pt x="112179" y="0"/>
                </a:lnTo>
                <a:lnTo>
                  <a:pt x="96862" y="0"/>
                </a:lnTo>
                <a:lnTo>
                  <a:pt x="89712" y="2540"/>
                </a:lnTo>
                <a:lnTo>
                  <a:pt x="83883" y="6350"/>
                </a:lnTo>
                <a:lnTo>
                  <a:pt x="82435" y="7620"/>
                </a:lnTo>
                <a:lnTo>
                  <a:pt x="80111" y="10160"/>
                </a:lnTo>
                <a:lnTo>
                  <a:pt x="77266" y="10160"/>
                </a:lnTo>
                <a:lnTo>
                  <a:pt x="74320" y="11430"/>
                </a:lnTo>
                <a:lnTo>
                  <a:pt x="43446" y="12700"/>
                </a:lnTo>
                <a:lnTo>
                  <a:pt x="39560" y="16510"/>
                </a:lnTo>
                <a:lnTo>
                  <a:pt x="39560" y="11430"/>
                </a:lnTo>
                <a:lnTo>
                  <a:pt x="33261" y="11430"/>
                </a:lnTo>
                <a:lnTo>
                  <a:pt x="31369" y="12700"/>
                </a:lnTo>
                <a:lnTo>
                  <a:pt x="31369" y="29210"/>
                </a:lnTo>
                <a:lnTo>
                  <a:pt x="28194" y="31750"/>
                </a:lnTo>
                <a:lnTo>
                  <a:pt x="2108" y="31750"/>
                </a:lnTo>
                <a:lnTo>
                  <a:pt x="342" y="33020"/>
                </a:lnTo>
                <a:lnTo>
                  <a:pt x="0" y="35560"/>
                </a:lnTo>
                <a:lnTo>
                  <a:pt x="0" y="148590"/>
                </a:lnTo>
                <a:lnTo>
                  <a:pt x="342" y="151130"/>
                </a:lnTo>
                <a:lnTo>
                  <a:pt x="2108" y="152400"/>
                </a:lnTo>
                <a:lnTo>
                  <a:pt x="28194" y="152400"/>
                </a:lnTo>
                <a:lnTo>
                  <a:pt x="31369" y="156210"/>
                </a:lnTo>
                <a:lnTo>
                  <a:pt x="31369" y="171450"/>
                </a:lnTo>
                <a:lnTo>
                  <a:pt x="33261" y="173990"/>
                </a:lnTo>
                <a:lnTo>
                  <a:pt x="39560" y="173990"/>
                </a:lnTo>
                <a:lnTo>
                  <a:pt x="39560" y="167640"/>
                </a:lnTo>
                <a:lnTo>
                  <a:pt x="43446" y="172720"/>
                </a:lnTo>
                <a:lnTo>
                  <a:pt x="63347" y="172720"/>
                </a:lnTo>
                <a:lnTo>
                  <a:pt x="69227" y="179070"/>
                </a:lnTo>
                <a:lnTo>
                  <a:pt x="69227" y="673100"/>
                </a:lnTo>
                <a:lnTo>
                  <a:pt x="63347" y="679450"/>
                </a:lnTo>
                <a:lnTo>
                  <a:pt x="43446" y="680720"/>
                </a:lnTo>
                <a:lnTo>
                  <a:pt x="39560" y="684530"/>
                </a:lnTo>
                <a:lnTo>
                  <a:pt x="39560" y="678180"/>
                </a:lnTo>
                <a:lnTo>
                  <a:pt x="33261" y="678180"/>
                </a:lnTo>
                <a:lnTo>
                  <a:pt x="31369" y="680720"/>
                </a:lnTo>
                <a:lnTo>
                  <a:pt x="31369" y="695960"/>
                </a:lnTo>
                <a:lnTo>
                  <a:pt x="28194" y="699770"/>
                </a:lnTo>
                <a:lnTo>
                  <a:pt x="2108" y="699770"/>
                </a:lnTo>
                <a:lnTo>
                  <a:pt x="342" y="701040"/>
                </a:lnTo>
                <a:lnTo>
                  <a:pt x="0" y="703580"/>
                </a:lnTo>
                <a:lnTo>
                  <a:pt x="0" y="817880"/>
                </a:lnTo>
                <a:lnTo>
                  <a:pt x="342" y="820420"/>
                </a:lnTo>
                <a:lnTo>
                  <a:pt x="2108" y="821690"/>
                </a:lnTo>
                <a:lnTo>
                  <a:pt x="28194" y="821690"/>
                </a:lnTo>
                <a:lnTo>
                  <a:pt x="31369" y="825500"/>
                </a:lnTo>
                <a:lnTo>
                  <a:pt x="31369" y="840740"/>
                </a:lnTo>
                <a:lnTo>
                  <a:pt x="33261" y="843280"/>
                </a:lnTo>
                <a:lnTo>
                  <a:pt x="39560" y="843280"/>
                </a:lnTo>
                <a:lnTo>
                  <a:pt x="39560" y="836930"/>
                </a:lnTo>
                <a:lnTo>
                  <a:pt x="43446" y="842010"/>
                </a:lnTo>
                <a:lnTo>
                  <a:pt x="77266" y="843280"/>
                </a:lnTo>
                <a:lnTo>
                  <a:pt x="80111" y="844550"/>
                </a:lnTo>
                <a:lnTo>
                  <a:pt x="82435" y="845820"/>
                </a:lnTo>
                <a:lnTo>
                  <a:pt x="83616" y="847090"/>
                </a:lnTo>
                <a:lnTo>
                  <a:pt x="89446" y="850900"/>
                </a:lnTo>
                <a:lnTo>
                  <a:pt x="96723" y="853440"/>
                </a:lnTo>
                <a:lnTo>
                  <a:pt x="111887" y="853440"/>
                </a:lnTo>
                <a:lnTo>
                  <a:pt x="118681" y="852170"/>
                </a:lnTo>
                <a:lnTo>
                  <a:pt x="124307" y="848360"/>
                </a:lnTo>
                <a:lnTo>
                  <a:pt x="126682" y="845820"/>
                </a:lnTo>
                <a:lnTo>
                  <a:pt x="129019" y="844550"/>
                </a:lnTo>
                <a:lnTo>
                  <a:pt x="131876" y="843280"/>
                </a:lnTo>
                <a:lnTo>
                  <a:pt x="165658" y="842010"/>
                </a:lnTo>
                <a:lnTo>
                  <a:pt x="169557" y="836930"/>
                </a:lnTo>
                <a:lnTo>
                  <a:pt x="169557" y="835660"/>
                </a:lnTo>
                <a:lnTo>
                  <a:pt x="173050" y="838200"/>
                </a:lnTo>
                <a:lnTo>
                  <a:pt x="219773" y="838200"/>
                </a:lnTo>
                <a:lnTo>
                  <a:pt x="223278" y="835660"/>
                </a:lnTo>
                <a:lnTo>
                  <a:pt x="223278" y="836930"/>
                </a:lnTo>
                <a:lnTo>
                  <a:pt x="227152" y="842010"/>
                </a:lnTo>
                <a:lnTo>
                  <a:pt x="266128" y="845820"/>
                </a:lnTo>
                <a:lnTo>
                  <a:pt x="273697" y="852170"/>
                </a:lnTo>
                <a:lnTo>
                  <a:pt x="280720" y="853440"/>
                </a:lnTo>
                <a:lnTo>
                  <a:pt x="295503" y="853440"/>
                </a:lnTo>
                <a:lnTo>
                  <a:pt x="302285" y="852170"/>
                </a:lnTo>
                <a:lnTo>
                  <a:pt x="307898" y="848360"/>
                </a:lnTo>
                <a:lnTo>
                  <a:pt x="310400" y="845820"/>
                </a:lnTo>
                <a:lnTo>
                  <a:pt x="312699" y="844550"/>
                </a:lnTo>
                <a:lnTo>
                  <a:pt x="315544" y="843280"/>
                </a:lnTo>
                <a:lnTo>
                  <a:pt x="349364" y="842010"/>
                </a:lnTo>
                <a:lnTo>
                  <a:pt x="353275" y="836930"/>
                </a:lnTo>
                <a:lnTo>
                  <a:pt x="353275" y="835660"/>
                </a:lnTo>
                <a:lnTo>
                  <a:pt x="356730" y="838200"/>
                </a:lnTo>
                <a:lnTo>
                  <a:pt x="403491" y="838200"/>
                </a:lnTo>
                <a:lnTo>
                  <a:pt x="406958" y="835660"/>
                </a:lnTo>
                <a:lnTo>
                  <a:pt x="406958" y="836930"/>
                </a:lnTo>
                <a:lnTo>
                  <a:pt x="410832" y="842010"/>
                </a:lnTo>
                <a:lnTo>
                  <a:pt x="449821" y="845820"/>
                </a:lnTo>
                <a:lnTo>
                  <a:pt x="457276" y="852170"/>
                </a:lnTo>
                <a:lnTo>
                  <a:pt x="464337" y="853440"/>
                </a:lnTo>
                <a:lnTo>
                  <a:pt x="479196" y="853440"/>
                </a:lnTo>
                <a:lnTo>
                  <a:pt x="485952" y="852170"/>
                </a:lnTo>
                <a:lnTo>
                  <a:pt x="491578" y="848360"/>
                </a:lnTo>
                <a:lnTo>
                  <a:pt x="494093" y="845820"/>
                </a:lnTo>
                <a:lnTo>
                  <a:pt x="496392" y="844550"/>
                </a:lnTo>
                <a:lnTo>
                  <a:pt x="499249" y="843280"/>
                </a:lnTo>
                <a:lnTo>
                  <a:pt x="533069" y="842010"/>
                </a:lnTo>
                <a:lnTo>
                  <a:pt x="536968" y="836930"/>
                </a:lnTo>
                <a:lnTo>
                  <a:pt x="536968" y="835660"/>
                </a:lnTo>
                <a:lnTo>
                  <a:pt x="540423" y="838200"/>
                </a:lnTo>
                <a:lnTo>
                  <a:pt x="587184" y="838200"/>
                </a:lnTo>
                <a:lnTo>
                  <a:pt x="590651" y="835660"/>
                </a:lnTo>
                <a:lnTo>
                  <a:pt x="590651" y="836930"/>
                </a:lnTo>
                <a:lnTo>
                  <a:pt x="594525" y="842010"/>
                </a:lnTo>
                <a:lnTo>
                  <a:pt x="633501" y="845820"/>
                </a:lnTo>
                <a:lnTo>
                  <a:pt x="640956" y="852170"/>
                </a:lnTo>
                <a:lnTo>
                  <a:pt x="648004" y="853440"/>
                </a:lnTo>
                <a:lnTo>
                  <a:pt x="662952" y="853440"/>
                </a:lnTo>
                <a:lnTo>
                  <a:pt x="669747" y="852170"/>
                </a:lnTo>
                <a:lnTo>
                  <a:pt x="675411" y="848360"/>
                </a:lnTo>
                <a:lnTo>
                  <a:pt x="677786" y="845820"/>
                </a:lnTo>
                <a:lnTo>
                  <a:pt x="680110" y="844550"/>
                </a:lnTo>
                <a:lnTo>
                  <a:pt x="682967" y="843280"/>
                </a:lnTo>
                <a:lnTo>
                  <a:pt x="716775" y="842010"/>
                </a:lnTo>
                <a:lnTo>
                  <a:pt x="720648" y="836930"/>
                </a:lnTo>
                <a:lnTo>
                  <a:pt x="720648" y="835660"/>
                </a:lnTo>
                <a:lnTo>
                  <a:pt x="724141" y="838200"/>
                </a:lnTo>
                <a:lnTo>
                  <a:pt x="770864" y="838200"/>
                </a:lnTo>
                <a:lnTo>
                  <a:pt x="774369" y="835660"/>
                </a:lnTo>
                <a:lnTo>
                  <a:pt x="774369" y="836930"/>
                </a:lnTo>
                <a:lnTo>
                  <a:pt x="778243" y="842010"/>
                </a:lnTo>
                <a:lnTo>
                  <a:pt x="817194" y="845820"/>
                </a:lnTo>
                <a:lnTo>
                  <a:pt x="824687" y="852170"/>
                </a:lnTo>
                <a:lnTo>
                  <a:pt x="831748" y="853440"/>
                </a:lnTo>
                <a:lnTo>
                  <a:pt x="846531" y="853440"/>
                </a:lnTo>
                <a:lnTo>
                  <a:pt x="853211" y="852170"/>
                </a:lnTo>
                <a:lnTo>
                  <a:pt x="858774" y="848360"/>
                </a:lnTo>
                <a:lnTo>
                  <a:pt x="861491" y="845820"/>
                </a:lnTo>
                <a:lnTo>
                  <a:pt x="863803" y="844550"/>
                </a:lnTo>
                <a:lnTo>
                  <a:pt x="866660" y="843280"/>
                </a:lnTo>
                <a:lnTo>
                  <a:pt x="900442" y="842010"/>
                </a:lnTo>
                <a:lnTo>
                  <a:pt x="904341" y="836930"/>
                </a:lnTo>
                <a:lnTo>
                  <a:pt x="904341" y="835660"/>
                </a:lnTo>
                <a:lnTo>
                  <a:pt x="907834" y="838200"/>
                </a:lnTo>
                <a:lnTo>
                  <a:pt x="954570" y="838200"/>
                </a:lnTo>
                <a:lnTo>
                  <a:pt x="958062" y="835660"/>
                </a:lnTo>
                <a:lnTo>
                  <a:pt x="958062" y="836930"/>
                </a:lnTo>
                <a:lnTo>
                  <a:pt x="961936" y="842010"/>
                </a:lnTo>
                <a:lnTo>
                  <a:pt x="1000912" y="845820"/>
                </a:lnTo>
                <a:lnTo>
                  <a:pt x="1008507" y="852170"/>
                </a:lnTo>
                <a:lnTo>
                  <a:pt x="1015504" y="853440"/>
                </a:lnTo>
                <a:lnTo>
                  <a:pt x="1030300" y="853440"/>
                </a:lnTo>
                <a:lnTo>
                  <a:pt x="1037082" y="852170"/>
                </a:lnTo>
                <a:lnTo>
                  <a:pt x="1042708" y="848360"/>
                </a:lnTo>
                <a:lnTo>
                  <a:pt x="1045210" y="845820"/>
                </a:lnTo>
                <a:lnTo>
                  <a:pt x="1047483" y="844550"/>
                </a:lnTo>
                <a:lnTo>
                  <a:pt x="1050328" y="843280"/>
                </a:lnTo>
                <a:lnTo>
                  <a:pt x="1084148" y="842010"/>
                </a:lnTo>
                <a:lnTo>
                  <a:pt x="1088059" y="836930"/>
                </a:lnTo>
                <a:lnTo>
                  <a:pt x="1088059" y="835660"/>
                </a:lnTo>
                <a:lnTo>
                  <a:pt x="1091514" y="838200"/>
                </a:lnTo>
                <a:lnTo>
                  <a:pt x="1138262" y="838200"/>
                </a:lnTo>
                <a:lnTo>
                  <a:pt x="1141755" y="835660"/>
                </a:lnTo>
                <a:lnTo>
                  <a:pt x="1141755" y="836930"/>
                </a:lnTo>
                <a:lnTo>
                  <a:pt x="1145616" y="842010"/>
                </a:lnTo>
                <a:lnTo>
                  <a:pt x="1184617" y="845820"/>
                </a:lnTo>
                <a:lnTo>
                  <a:pt x="1191907" y="852170"/>
                </a:lnTo>
                <a:lnTo>
                  <a:pt x="1199045" y="853440"/>
                </a:lnTo>
                <a:lnTo>
                  <a:pt x="1214043" y="853440"/>
                </a:lnTo>
                <a:lnTo>
                  <a:pt x="1220838" y="852170"/>
                </a:lnTo>
                <a:lnTo>
                  <a:pt x="1226477" y="848360"/>
                </a:lnTo>
                <a:lnTo>
                  <a:pt x="1228902" y="845820"/>
                </a:lnTo>
                <a:lnTo>
                  <a:pt x="1231176" y="844550"/>
                </a:lnTo>
                <a:lnTo>
                  <a:pt x="1234033" y="843280"/>
                </a:lnTo>
                <a:lnTo>
                  <a:pt x="1267879" y="842010"/>
                </a:lnTo>
                <a:lnTo>
                  <a:pt x="1271752" y="836930"/>
                </a:lnTo>
                <a:lnTo>
                  <a:pt x="1271752" y="843280"/>
                </a:lnTo>
                <a:lnTo>
                  <a:pt x="1278039" y="843280"/>
                </a:lnTo>
                <a:lnTo>
                  <a:pt x="1279944" y="840740"/>
                </a:lnTo>
                <a:lnTo>
                  <a:pt x="1279944" y="833120"/>
                </a:lnTo>
                <a:lnTo>
                  <a:pt x="1279944" y="830580"/>
                </a:lnTo>
                <a:lnTo>
                  <a:pt x="1279944" y="825500"/>
                </a:lnTo>
                <a:lnTo>
                  <a:pt x="1283093" y="821690"/>
                </a:lnTo>
                <a:lnTo>
                  <a:pt x="1309179" y="821690"/>
                </a:lnTo>
                <a:lnTo>
                  <a:pt x="1310970" y="820420"/>
                </a:lnTo>
                <a:lnTo>
                  <a:pt x="1311325" y="817880"/>
                </a:lnTo>
                <a:lnTo>
                  <a:pt x="1311325" y="703580"/>
                </a:lnTo>
                <a:lnTo>
                  <a:pt x="1310970" y="701040"/>
                </a:lnTo>
                <a:lnTo>
                  <a:pt x="1309179" y="699770"/>
                </a:lnTo>
                <a:lnTo>
                  <a:pt x="1283093" y="699770"/>
                </a:lnTo>
                <a:lnTo>
                  <a:pt x="1279944" y="695960"/>
                </a:lnTo>
                <a:lnTo>
                  <a:pt x="1279944" y="689610"/>
                </a:lnTo>
                <a:lnTo>
                  <a:pt x="1279944" y="680720"/>
                </a:lnTo>
                <a:lnTo>
                  <a:pt x="1278039" y="678180"/>
                </a:lnTo>
                <a:lnTo>
                  <a:pt x="1271752" y="678180"/>
                </a:lnTo>
                <a:lnTo>
                  <a:pt x="1271752" y="684530"/>
                </a:lnTo>
                <a:lnTo>
                  <a:pt x="1267879" y="680720"/>
                </a:lnTo>
                <a:lnTo>
                  <a:pt x="1247952" y="679450"/>
                </a:lnTo>
                <a:lnTo>
                  <a:pt x="1242072" y="673100"/>
                </a:lnTo>
                <a:lnTo>
                  <a:pt x="1242072" y="179070"/>
                </a:lnTo>
                <a:lnTo>
                  <a:pt x="1247952" y="172720"/>
                </a:lnTo>
                <a:lnTo>
                  <a:pt x="1267879" y="172720"/>
                </a:lnTo>
                <a:lnTo>
                  <a:pt x="1271752" y="167640"/>
                </a:lnTo>
                <a:lnTo>
                  <a:pt x="1271752" y="173990"/>
                </a:lnTo>
                <a:lnTo>
                  <a:pt x="1278039" y="173990"/>
                </a:lnTo>
                <a:lnTo>
                  <a:pt x="1279944" y="171450"/>
                </a:lnTo>
                <a:lnTo>
                  <a:pt x="1279944" y="162560"/>
                </a:lnTo>
                <a:lnTo>
                  <a:pt x="1279944" y="156210"/>
                </a:lnTo>
                <a:lnTo>
                  <a:pt x="1283093" y="152400"/>
                </a:lnTo>
                <a:lnTo>
                  <a:pt x="1309179" y="152400"/>
                </a:lnTo>
                <a:lnTo>
                  <a:pt x="1310970" y="151130"/>
                </a:lnTo>
                <a:lnTo>
                  <a:pt x="1311325" y="148590"/>
                </a:lnTo>
                <a:lnTo>
                  <a:pt x="1311325" y="35560"/>
                </a:lnTo>
                <a:close/>
              </a:path>
            </a:pathLst>
          </a:custGeom>
          <a:solidFill>
            <a:srgbClr val="E3E3E3"/>
          </a:solidFill>
        </xdr:spPr>
      </xdr:sp>
      <xdr:sp macro="" textlink="">
        <xdr:nvSpPr>
          <xdr:cNvPr id="205" name="Shape 704">
            <a:extLst>
              <a:ext uri="{FF2B5EF4-FFF2-40B4-BE49-F238E27FC236}">
                <a16:creationId xmlns:a16="http://schemas.microsoft.com/office/drawing/2014/main" id="{A2A3D7FF-E6B7-37CD-9DBB-6B1C77AE3F0B}"/>
              </a:ext>
            </a:extLst>
          </xdr:cNvPr>
          <xdr:cNvSpPr/>
        </xdr:nvSpPr>
        <xdr:spPr>
          <a:xfrm>
            <a:off x="626714" y="650201"/>
            <a:ext cx="1031875" cy="521334"/>
          </a:xfrm>
          <a:custGeom>
            <a:avLst/>
            <a:gdLst/>
            <a:ahLst/>
            <a:cxnLst/>
            <a:rect l="0" t="0" r="0" b="0"/>
            <a:pathLst>
              <a:path w="1031875" h="521334">
                <a:moveTo>
                  <a:pt x="113042" y="13741"/>
                </a:moveTo>
                <a:lnTo>
                  <a:pt x="107149" y="7543"/>
                </a:lnTo>
                <a:lnTo>
                  <a:pt x="87261" y="6502"/>
                </a:lnTo>
                <a:lnTo>
                  <a:pt x="84404" y="3479"/>
                </a:lnTo>
                <a:lnTo>
                  <a:pt x="83388" y="2413"/>
                </a:lnTo>
                <a:lnTo>
                  <a:pt x="83388" y="0"/>
                </a:lnTo>
                <a:lnTo>
                  <a:pt x="79883" y="3479"/>
                </a:lnTo>
                <a:lnTo>
                  <a:pt x="33159" y="3479"/>
                </a:lnTo>
                <a:lnTo>
                  <a:pt x="29667" y="0"/>
                </a:lnTo>
                <a:lnTo>
                  <a:pt x="29667" y="2413"/>
                </a:lnTo>
                <a:lnTo>
                  <a:pt x="25768" y="6502"/>
                </a:lnTo>
                <a:lnTo>
                  <a:pt x="5892" y="7543"/>
                </a:lnTo>
                <a:lnTo>
                  <a:pt x="0" y="13741"/>
                </a:lnTo>
                <a:lnTo>
                  <a:pt x="0" y="507238"/>
                </a:lnTo>
                <a:lnTo>
                  <a:pt x="5892" y="513422"/>
                </a:lnTo>
                <a:lnTo>
                  <a:pt x="25768" y="514464"/>
                </a:lnTo>
                <a:lnTo>
                  <a:pt x="29667" y="518579"/>
                </a:lnTo>
                <a:lnTo>
                  <a:pt x="29667" y="520992"/>
                </a:lnTo>
                <a:lnTo>
                  <a:pt x="33159" y="517512"/>
                </a:lnTo>
                <a:lnTo>
                  <a:pt x="79883" y="517512"/>
                </a:lnTo>
                <a:lnTo>
                  <a:pt x="83388" y="520992"/>
                </a:lnTo>
                <a:lnTo>
                  <a:pt x="83388" y="518579"/>
                </a:lnTo>
                <a:lnTo>
                  <a:pt x="84391" y="517512"/>
                </a:lnTo>
                <a:lnTo>
                  <a:pt x="87261" y="514464"/>
                </a:lnTo>
                <a:lnTo>
                  <a:pt x="107149" y="513422"/>
                </a:lnTo>
                <a:lnTo>
                  <a:pt x="113042" y="507238"/>
                </a:lnTo>
                <a:lnTo>
                  <a:pt x="113042" y="13741"/>
                </a:lnTo>
                <a:close/>
              </a:path>
              <a:path w="1031875" h="521334">
                <a:moveTo>
                  <a:pt x="296748" y="13741"/>
                </a:moveTo>
                <a:lnTo>
                  <a:pt x="290868" y="7543"/>
                </a:lnTo>
                <a:lnTo>
                  <a:pt x="270929" y="6502"/>
                </a:lnTo>
                <a:lnTo>
                  <a:pt x="268071" y="3479"/>
                </a:lnTo>
                <a:lnTo>
                  <a:pt x="267068" y="2413"/>
                </a:lnTo>
                <a:lnTo>
                  <a:pt x="267068" y="0"/>
                </a:lnTo>
                <a:lnTo>
                  <a:pt x="263601" y="3479"/>
                </a:lnTo>
                <a:lnTo>
                  <a:pt x="216839" y="3479"/>
                </a:lnTo>
                <a:lnTo>
                  <a:pt x="213385" y="0"/>
                </a:lnTo>
                <a:lnTo>
                  <a:pt x="213385" y="2413"/>
                </a:lnTo>
                <a:lnTo>
                  <a:pt x="209461" y="6502"/>
                </a:lnTo>
                <a:lnTo>
                  <a:pt x="189572" y="7543"/>
                </a:lnTo>
                <a:lnTo>
                  <a:pt x="183692" y="13741"/>
                </a:lnTo>
                <a:lnTo>
                  <a:pt x="183692" y="507238"/>
                </a:lnTo>
                <a:lnTo>
                  <a:pt x="189572" y="513422"/>
                </a:lnTo>
                <a:lnTo>
                  <a:pt x="209461" y="514464"/>
                </a:lnTo>
                <a:lnTo>
                  <a:pt x="213385" y="518579"/>
                </a:lnTo>
                <a:lnTo>
                  <a:pt x="213385" y="520992"/>
                </a:lnTo>
                <a:lnTo>
                  <a:pt x="216839" y="517512"/>
                </a:lnTo>
                <a:lnTo>
                  <a:pt x="263601" y="517512"/>
                </a:lnTo>
                <a:lnTo>
                  <a:pt x="267068" y="520992"/>
                </a:lnTo>
                <a:lnTo>
                  <a:pt x="267068" y="518579"/>
                </a:lnTo>
                <a:lnTo>
                  <a:pt x="268071" y="517512"/>
                </a:lnTo>
                <a:lnTo>
                  <a:pt x="270929" y="514464"/>
                </a:lnTo>
                <a:lnTo>
                  <a:pt x="290868" y="513422"/>
                </a:lnTo>
                <a:lnTo>
                  <a:pt x="296748" y="507238"/>
                </a:lnTo>
                <a:lnTo>
                  <a:pt x="296748" y="13741"/>
                </a:lnTo>
                <a:close/>
              </a:path>
              <a:path w="1031875" h="521334">
                <a:moveTo>
                  <a:pt x="479933" y="13741"/>
                </a:moveTo>
                <a:lnTo>
                  <a:pt x="474052" y="7543"/>
                </a:lnTo>
                <a:lnTo>
                  <a:pt x="454126" y="6502"/>
                </a:lnTo>
                <a:lnTo>
                  <a:pt x="451256" y="3479"/>
                </a:lnTo>
                <a:lnTo>
                  <a:pt x="450253" y="2413"/>
                </a:lnTo>
                <a:lnTo>
                  <a:pt x="450253" y="0"/>
                </a:lnTo>
                <a:lnTo>
                  <a:pt x="446786" y="3479"/>
                </a:lnTo>
                <a:lnTo>
                  <a:pt x="400024" y="3479"/>
                </a:lnTo>
                <a:lnTo>
                  <a:pt x="396570" y="0"/>
                </a:lnTo>
                <a:lnTo>
                  <a:pt x="396570" y="2413"/>
                </a:lnTo>
                <a:lnTo>
                  <a:pt x="392658" y="6502"/>
                </a:lnTo>
                <a:lnTo>
                  <a:pt x="372757" y="7543"/>
                </a:lnTo>
                <a:lnTo>
                  <a:pt x="366877" y="13741"/>
                </a:lnTo>
                <a:lnTo>
                  <a:pt x="366877" y="507238"/>
                </a:lnTo>
                <a:lnTo>
                  <a:pt x="372757" y="513422"/>
                </a:lnTo>
                <a:lnTo>
                  <a:pt x="392658" y="514464"/>
                </a:lnTo>
                <a:lnTo>
                  <a:pt x="396570" y="518579"/>
                </a:lnTo>
                <a:lnTo>
                  <a:pt x="396570" y="520992"/>
                </a:lnTo>
                <a:lnTo>
                  <a:pt x="400024" y="517512"/>
                </a:lnTo>
                <a:lnTo>
                  <a:pt x="446786" y="517512"/>
                </a:lnTo>
                <a:lnTo>
                  <a:pt x="450253" y="520992"/>
                </a:lnTo>
                <a:lnTo>
                  <a:pt x="450253" y="518579"/>
                </a:lnTo>
                <a:lnTo>
                  <a:pt x="451256" y="517512"/>
                </a:lnTo>
                <a:lnTo>
                  <a:pt x="454126" y="514464"/>
                </a:lnTo>
                <a:lnTo>
                  <a:pt x="474052" y="513422"/>
                </a:lnTo>
                <a:lnTo>
                  <a:pt x="479933" y="507238"/>
                </a:lnTo>
                <a:lnTo>
                  <a:pt x="479933" y="13741"/>
                </a:lnTo>
                <a:close/>
              </a:path>
              <a:path w="1031875" h="521334">
                <a:moveTo>
                  <a:pt x="662927" y="13741"/>
                </a:moveTo>
                <a:lnTo>
                  <a:pt x="657047" y="7543"/>
                </a:lnTo>
                <a:lnTo>
                  <a:pt x="637108" y="6502"/>
                </a:lnTo>
                <a:lnTo>
                  <a:pt x="634263" y="3479"/>
                </a:lnTo>
                <a:lnTo>
                  <a:pt x="633260" y="2413"/>
                </a:lnTo>
                <a:lnTo>
                  <a:pt x="633260" y="0"/>
                </a:lnTo>
                <a:lnTo>
                  <a:pt x="629767" y="3479"/>
                </a:lnTo>
                <a:lnTo>
                  <a:pt x="583018" y="3479"/>
                </a:lnTo>
                <a:lnTo>
                  <a:pt x="579564" y="0"/>
                </a:lnTo>
                <a:lnTo>
                  <a:pt x="579564" y="2413"/>
                </a:lnTo>
                <a:lnTo>
                  <a:pt x="575640" y="6502"/>
                </a:lnTo>
                <a:lnTo>
                  <a:pt x="555752" y="7543"/>
                </a:lnTo>
                <a:lnTo>
                  <a:pt x="549871" y="13741"/>
                </a:lnTo>
                <a:lnTo>
                  <a:pt x="549871" y="507238"/>
                </a:lnTo>
                <a:lnTo>
                  <a:pt x="555752" y="513422"/>
                </a:lnTo>
                <a:lnTo>
                  <a:pt x="575640" y="514464"/>
                </a:lnTo>
                <a:lnTo>
                  <a:pt x="579564" y="518579"/>
                </a:lnTo>
                <a:lnTo>
                  <a:pt x="579564" y="520992"/>
                </a:lnTo>
                <a:lnTo>
                  <a:pt x="583018" y="517512"/>
                </a:lnTo>
                <a:lnTo>
                  <a:pt x="629767" y="517512"/>
                </a:lnTo>
                <a:lnTo>
                  <a:pt x="633260" y="520992"/>
                </a:lnTo>
                <a:lnTo>
                  <a:pt x="633260" y="518579"/>
                </a:lnTo>
                <a:lnTo>
                  <a:pt x="634250" y="517512"/>
                </a:lnTo>
                <a:lnTo>
                  <a:pt x="637108" y="514464"/>
                </a:lnTo>
                <a:lnTo>
                  <a:pt x="657047" y="513422"/>
                </a:lnTo>
                <a:lnTo>
                  <a:pt x="662927" y="507238"/>
                </a:lnTo>
                <a:lnTo>
                  <a:pt x="662927" y="13741"/>
                </a:lnTo>
                <a:close/>
              </a:path>
              <a:path w="1031875" h="521334">
                <a:moveTo>
                  <a:pt x="846772" y="13741"/>
                </a:moveTo>
                <a:lnTo>
                  <a:pt x="840892" y="7543"/>
                </a:lnTo>
                <a:lnTo>
                  <a:pt x="820953" y="6502"/>
                </a:lnTo>
                <a:lnTo>
                  <a:pt x="818095" y="3479"/>
                </a:lnTo>
                <a:lnTo>
                  <a:pt x="817092" y="2413"/>
                </a:lnTo>
                <a:lnTo>
                  <a:pt x="817092" y="0"/>
                </a:lnTo>
                <a:lnTo>
                  <a:pt x="813625" y="3479"/>
                </a:lnTo>
                <a:lnTo>
                  <a:pt x="766864" y="3479"/>
                </a:lnTo>
                <a:lnTo>
                  <a:pt x="763397" y="0"/>
                </a:lnTo>
                <a:lnTo>
                  <a:pt x="763397" y="2413"/>
                </a:lnTo>
                <a:lnTo>
                  <a:pt x="759485" y="6502"/>
                </a:lnTo>
                <a:lnTo>
                  <a:pt x="739597" y="7543"/>
                </a:lnTo>
                <a:lnTo>
                  <a:pt x="733717" y="13741"/>
                </a:lnTo>
                <a:lnTo>
                  <a:pt x="733717" y="507238"/>
                </a:lnTo>
                <a:lnTo>
                  <a:pt x="739597" y="513422"/>
                </a:lnTo>
                <a:lnTo>
                  <a:pt x="759485" y="514464"/>
                </a:lnTo>
                <a:lnTo>
                  <a:pt x="763397" y="518579"/>
                </a:lnTo>
                <a:lnTo>
                  <a:pt x="763397" y="520992"/>
                </a:lnTo>
                <a:lnTo>
                  <a:pt x="766864" y="517512"/>
                </a:lnTo>
                <a:lnTo>
                  <a:pt x="813625" y="517512"/>
                </a:lnTo>
                <a:lnTo>
                  <a:pt x="817092" y="520992"/>
                </a:lnTo>
                <a:lnTo>
                  <a:pt x="817092" y="518579"/>
                </a:lnTo>
                <a:lnTo>
                  <a:pt x="818095" y="517512"/>
                </a:lnTo>
                <a:lnTo>
                  <a:pt x="820953" y="514464"/>
                </a:lnTo>
                <a:lnTo>
                  <a:pt x="840892" y="513422"/>
                </a:lnTo>
                <a:lnTo>
                  <a:pt x="846772" y="507238"/>
                </a:lnTo>
                <a:lnTo>
                  <a:pt x="846772" y="13741"/>
                </a:lnTo>
                <a:close/>
              </a:path>
              <a:path w="1031875" h="521334">
                <a:moveTo>
                  <a:pt x="1031709" y="13741"/>
                </a:moveTo>
                <a:lnTo>
                  <a:pt x="1025829" y="7543"/>
                </a:lnTo>
                <a:lnTo>
                  <a:pt x="1005890" y="6502"/>
                </a:lnTo>
                <a:lnTo>
                  <a:pt x="1003033" y="3479"/>
                </a:lnTo>
                <a:lnTo>
                  <a:pt x="1002030" y="2413"/>
                </a:lnTo>
                <a:lnTo>
                  <a:pt x="1002030" y="0"/>
                </a:lnTo>
                <a:lnTo>
                  <a:pt x="998562" y="3479"/>
                </a:lnTo>
                <a:lnTo>
                  <a:pt x="951801" y="3479"/>
                </a:lnTo>
                <a:lnTo>
                  <a:pt x="948334" y="0"/>
                </a:lnTo>
                <a:lnTo>
                  <a:pt x="948334" y="2413"/>
                </a:lnTo>
                <a:lnTo>
                  <a:pt x="944422" y="6502"/>
                </a:lnTo>
                <a:lnTo>
                  <a:pt x="924534" y="7543"/>
                </a:lnTo>
                <a:lnTo>
                  <a:pt x="918654" y="13741"/>
                </a:lnTo>
                <a:lnTo>
                  <a:pt x="918654" y="507238"/>
                </a:lnTo>
                <a:lnTo>
                  <a:pt x="924534" y="513422"/>
                </a:lnTo>
                <a:lnTo>
                  <a:pt x="944422" y="514464"/>
                </a:lnTo>
                <a:lnTo>
                  <a:pt x="948334" y="518579"/>
                </a:lnTo>
                <a:lnTo>
                  <a:pt x="948334" y="520992"/>
                </a:lnTo>
                <a:lnTo>
                  <a:pt x="951801" y="517512"/>
                </a:lnTo>
                <a:lnTo>
                  <a:pt x="998562" y="517512"/>
                </a:lnTo>
                <a:lnTo>
                  <a:pt x="1002030" y="520992"/>
                </a:lnTo>
                <a:lnTo>
                  <a:pt x="1002030" y="518579"/>
                </a:lnTo>
                <a:lnTo>
                  <a:pt x="1003033" y="517512"/>
                </a:lnTo>
                <a:lnTo>
                  <a:pt x="1005890" y="514464"/>
                </a:lnTo>
                <a:lnTo>
                  <a:pt x="1025829" y="513422"/>
                </a:lnTo>
                <a:lnTo>
                  <a:pt x="1031709" y="507238"/>
                </a:lnTo>
                <a:lnTo>
                  <a:pt x="1031709" y="13741"/>
                </a:lnTo>
                <a:close/>
              </a:path>
            </a:pathLst>
          </a:custGeom>
          <a:solidFill>
            <a:srgbClr val="FFFFFF"/>
          </a:solidFill>
        </xdr:spPr>
      </xdr:sp>
      <xdr:sp macro="" textlink="">
        <xdr:nvSpPr>
          <xdr:cNvPr id="206" name="Shape 705">
            <a:extLst>
              <a:ext uri="{FF2B5EF4-FFF2-40B4-BE49-F238E27FC236}">
                <a16:creationId xmlns:a16="http://schemas.microsoft.com/office/drawing/2014/main" id="{246F7F50-56BD-8A93-18DA-D48B6F57230A}"/>
              </a:ext>
            </a:extLst>
          </xdr:cNvPr>
          <xdr:cNvSpPr/>
        </xdr:nvSpPr>
        <xdr:spPr>
          <a:xfrm>
            <a:off x="486830" y="499879"/>
            <a:ext cx="399415" cy="822960"/>
          </a:xfrm>
          <a:custGeom>
            <a:avLst/>
            <a:gdLst/>
            <a:ahLst/>
            <a:cxnLst/>
            <a:rect l="0" t="0" r="0" b="0"/>
            <a:pathLst>
              <a:path w="399415" h="822960">
                <a:moveTo>
                  <a:pt x="0" y="690283"/>
                </a:moveTo>
                <a:lnTo>
                  <a:pt x="0" y="799083"/>
                </a:lnTo>
              </a:path>
              <a:path w="399415" h="822960">
                <a:moveTo>
                  <a:pt x="361010" y="666965"/>
                </a:moveTo>
                <a:lnTo>
                  <a:pt x="399161" y="666965"/>
                </a:lnTo>
              </a:path>
              <a:path w="399415" h="822960">
                <a:moveTo>
                  <a:pt x="361010" y="822401"/>
                </a:moveTo>
                <a:lnTo>
                  <a:pt x="399161" y="822401"/>
                </a:lnTo>
              </a:path>
              <a:path w="399415" h="822960">
                <a:moveTo>
                  <a:pt x="361010" y="0"/>
                </a:moveTo>
                <a:lnTo>
                  <a:pt x="399161" y="0"/>
                </a:lnTo>
              </a:path>
              <a:path w="399415" h="822960">
                <a:moveTo>
                  <a:pt x="361010" y="155435"/>
                </a:moveTo>
                <a:lnTo>
                  <a:pt x="399161" y="155435"/>
                </a:lnTo>
              </a:path>
              <a:path w="399415" h="822960">
                <a:moveTo>
                  <a:pt x="252933" y="803236"/>
                </a:moveTo>
                <a:lnTo>
                  <a:pt x="252933" y="19773"/>
                </a:lnTo>
              </a:path>
              <a:path w="399415" h="822960">
                <a:moveTo>
                  <a:pt x="323583" y="802627"/>
                </a:moveTo>
                <a:lnTo>
                  <a:pt x="323583" y="19773"/>
                </a:lnTo>
              </a:path>
              <a:path w="399415" h="822960">
                <a:moveTo>
                  <a:pt x="139890" y="803236"/>
                </a:moveTo>
                <a:lnTo>
                  <a:pt x="139890" y="19773"/>
                </a:lnTo>
              </a:path>
              <a:path w="399415" h="822960">
                <a:moveTo>
                  <a:pt x="69227" y="802627"/>
                </a:moveTo>
                <a:lnTo>
                  <a:pt x="69227" y="19773"/>
                </a:lnTo>
              </a:path>
            </a:pathLst>
          </a:custGeom>
          <a:ln w="10058">
            <a:solidFill>
              <a:srgbClr val="000000"/>
            </a:solidFill>
          </a:ln>
        </xdr:spPr>
      </xdr:sp>
      <xdr:pic>
        <xdr:nvPicPr>
          <xdr:cNvPr id="207" name="image79.png">
            <a:extLst>
              <a:ext uri="{FF2B5EF4-FFF2-40B4-BE49-F238E27FC236}">
                <a16:creationId xmlns:a16="http://schemas.microsoft.com/office/drawing/2014/main" id="{2D282374-A1BE-673F-4A62-AF77F34BD3F2}"/>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481798" y="1144023"/>
            <a:ext cx="371071" cy="198831"/>
          </a:xfrm>
          <a:prstGeom prst="rect">
            <a:avLst/>
          </a:prstGeom>
        </xdr:spPr>
      </xdr:pic>
      <xdr:pic>
        <xdr:nvPicPr>
          <xdr:cNvPr id="208" name="image80.png">
            <a:extLst>
              <a:ext uri="{FF2B5EF4-FFF2-40B4-BE49-F238E27FC236}">
                <a16:creationId xmlns:a16="http://schemas.microsoft.com/office/drawing/2014/main" id="{82A03952-CF27-47A3-902E-71F661126DE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481798" y="479305"/>
            <a:ext cx="371071" cy="198818"/>
          </a:xfrm>
          <a:prstGeom prst="rect">
            <a:avLst/>
          </a:prstGeom>
        </xdr:spPr>
      </xdr:pic>
      <xdr:sp macro="" textlink="">
        <xdr:nvSpPr>
          <xdr:cNvPr id="209" name="Shape 708">
            <a:extLst>
              <a:ext uri="{FF2B5EF4-FFF2-40B4-BE49-F238E27FC236}">
                <a16:creationId xmlns:a16="http://schemas.microsoft.com/office/drawing/2014/main" id="{22D1A748-4E55-4CE0-F94A-D0A215484757}"/>
              </a:ext>
            </a:extLst>
          </xdr:cNvPr>
          <xdr:cNvSpPr/>
        </xdr:nvSpPr>
        <xdr:spPr>
          <a:xfrm>
            <a:off x="885991" y="519653"/>
            <a:ext cx="659765" cy="818515"/>
          </a:xfrm>
          <a:custGeom>
            <a:avLst/>
            <a:gdLst/>
            <a:ahLst/>
            <a:cxnLst/>
            <a:rect l="0" t="0" r="0" b="0"/>
            <a:pathLst>
              <a:path w="659765" h="818515">
                <a:moveTo>
                  <a:pt x="588543" y="783463"/>
                </a:moveTo>
                <a:lnTo>
                  <a:pt x="588543" y="0"/>
                </a:lnTo>
              </a:path>
              <a:path w="659765" h="818515">
                <a:moveTo>
                  <a:pt x="659206" y="782853"/>
                </a:moveTo>
                <a:lnTo>
                  <a:pt x="659206" y="0"/>
                </a:lnTo>
              </a:path>
              <a:path w="659765" h="818515">
                <a:moveTo>
                  <a:pt x="404850" y="783463"/>
                </a:moveTo>
                <a:lnTo>
                  <a:pt x="404850" y="0"/>
                </a:lnTo>
              </a:path>
              <a:path w="659765" h="818515">
                <a:moveTo>
                  <a:pt x="475513" y="782853"/>
                </a:moveTo>
                <a:lnTo>
                  <a:pt x="475513" y="0"/>
                </a:lnTo>
              </a:path>
              <a:path w="659765" h="818515">
                <a:moveTo>
                  <a:pt x="221170" y="783463"/>
                </a:moveTo>
                <a:lnTo>
                  <a:pt x="221170" y="0"/>
                </a:lnTo>
              </a:path>
              <a:path w="659765" h="818515">
                <a:moveTo>
                  <a:pt x="291795" y="782853"/>
                </a:moveTo>
                <a:lnTo>
                  <a:pt x="291795" y="0"/>
                </a:lnTo>
              </a:path>
              <a:path w="659765" h="818515">
                <a:moveTo>
                  <a:pt x="37477" y="783463"/>
                </a:moveTo>
                <a:lnTo>
                  <a:pt x="37477" y="0"/>
                </a:lnTo>
              </a:path>
              <a:path w="659765" h="818515">
                <a:moveTo>
                  <a:pt x="108102" y="782853"/>
                </a:moveTo>
                <a:lnTo>
                  <a:pt x="108102" y="0"/>
                </a:lnTo>
              </a:path>
              <a:path w="659765" h="818515">
                <a:moveTo>
                  <a:pt x="404850" y="782853"/>
                </a:moveTo>
                <a:lnTo>
                  <a:pt x="407629" y="796596"/>
                </a:lnTo>
                <a:lnTo>
                  <a:pt x="415204" y="807823"/>
                </a:lnTo>
                <a:lnTo>
                  <a:pt x="426431" y="815394"/>
                </a:lnTo>
                <a:lnTo>
                  <a:pt x="440169" y="818172"/>
                </a:lnTo>
              </a:path>
              <a:path w="659765" h="818515">
                <a:moveTo>
                  <a:pt x="375208" y="653211"/>
                </a:moveTo>
                <a:lnTo>
                  <a:pt x="375208" y="796594"/>
                </a:lnTo>
              </a:path>
              <a:path w="659765" h="818515">
                <a:moveTo>
                  <a:pt x="375208" y="653211"/>
                </a:moveTo>
                <a:lnTo>
                  <a:pt x="375208" y="796594"/>
                </a:lnTo>
              </a:path>
              <a:path w="659765" h="818515">
                <a:moveTo>
                  <a:pt x="375208" y="654964"/>
                </a:moveTo>
                <a:lnTo>
                  <a:pt x="375208" y="794842"/>
                </a:lnTo>
              </a:path>
              <a:path w="659765" h="818515">
                <a:moveTo>
                  <a:pt x="375208" y="796594"/>
                </a:moveTo>
                <a:lnTo>
                  <a:pt x="375208" y="653211"/>
                </a:lnTo>
              </a:path>
              <a:path w="659765" h="818515">
                <a:moveTo>
                  <a:pt x="321475" y="653211"/>
                </a:moveTo>
                <a:lnTo>
                  <a:pt x="321475" y="796594"/>
                </a:lnTo>
              </a:path>
              <a:path w="659765" h="818515">
                <a:moveTo>
                  <a:pt x="321475" y="796594"/>
                </a:moveTo>
                <a:lnTo>
                  <a:pt x="321475" y="653211"/>
                </a:lnTo>
              </a:path>
              <a:path w="659765" h="818515">
                <a:moveTo>
                  <a:pt x="321475" y="653211"/>
                </a:moveTo>
                <a:lnTo>
                  <a:pt x="321475" y="796594"/>
                </a:lnTo>
              </a:path>
              <a:path w="659765" h="818515">
                <a:moveTo>
                  <a:pt x="191490" y="653211"/>
                </a:moveTo>
                <a:lnTo>
                  <a:pt x="191490" y="796594"/>
                </a:lnTo>
              </a:path>
              <a:path w="659765" h="818515">
                <a:moveTo>
                  <a:pt x="191490" y="653211"/>
                </a:moveTo>
                <a:lnTo>
                  <a:pt x="191490" y="796594"/>
                </a:lnTo>
              </a:path>
              <a:path w="659765" h="818515">
                <a:moveTo>
                  <a:pt x="191490" y="654964"/>
                </a:moveTo>
                <a:lnTo>
                  <a:pt x="191490" y="794842"/>
                </a:lnTo>
              </a:path>
              <a:path w="659765" h="818515">
                <a:moveTo>
                  <a:pt x="191490" y="796594"/>
                </a:moveTo>
                <a:lnTo>
                  <a:pt x="191490" y="653211"/>
                </a:lnTo>
              </a:path>
              <a:path w="659765" h="818515">
                <a:moveTo>
                  <a:pt x="137807" y="653211"/>
                </a:moveTo>
                <a:lnTo>
                  <a:pt x="137807" y="796594"/>
                </a:lnTo>
              </a:path>
              <a:path w="659765" h="818515">
                <a:moveTo>
                  <a:pt x="137807" y="796594"/>
                </a:moveTo>
                <a:lnTo>
                  <a:pt x="137807" y="653211"/>
                </a:lnTo>
              </a:path>
              <a:path w="659765" h="818515">
                <a:moveTo>
                  <a:pt x="137807" y="653211"/>
                </a:moveTo>
                <a:lnTo>
                  <a:pt x="137807" y="796594"/>
                </a:lnTo>
              </a:path>
              <a:path w="659765" h="818515">
                <a:moveTo>
                  <a:pt x="7785" y="653211"/>
                </a:moveTo>
                <a:lnTo>
                  <a:pt x="7785" y="796594"/>
                </a:lnTo>
              </a:path>
              <a:path w="659765" h="818515">
                <a:moveTo>
                  <a:pt x="7785" y="653211"/>
                </a:moveTo>
                <a:lnTo>
                  <a:pt x="7785" y="796594"/>
                </a:lnTo>
              </a:path>
              <a:path w="659765" h="818515">
                <a:moveTo>
                  <a:pt x="7785" y="654964"/>
                </a:moveTo>
                <a:lnTo>
                  <a:pt x="7785" y="794842"/>
                </a:lnTo>
              </a:path>
              <a:path w="659765" h="818515">
                <a:moveTo>
                  <a:pt x="7785" y="796594"/>
                </a:moveTo>
                <a:lnTo>
                  <a:pt x="7785" y="653211"/>
                </a:lnTo>
              </a:path>
              <a:path w="659765" h="818515">
                <a:moveTo>
                  <a:pt x="200329" y="805903"/>
                </a:moveTo>
                <a:lnTo>
                  <a:pt x="226225" y="807262"/>
                </a:lnTo>
              </a:path>
              <a:path w="659765" h="818515">
                <a:moveTo>
                  <a:pt x="72796" y="818172"/>
                </a:moveTo>
                <a:lnTo>
                  <a:pt x="86547" y="815394"/>
                </a:lnTo>
                <a:lnTo>
                  <a:pt x="97769" y="807823"/>
                </a:lnTo>
                <a:lnTo>
                  <a:pt x="105330" y="796596"/>
                </a:lnTo>
                <a:lnTo>
                  <a:pt x="108102" y="782853"/>
                </a:lnTo>
              </a:path>
              <a:path w="659765" h="818515">
                <a:moveTo>
                  <a:pt x="7785" y="796594"/>
                </a:moveTo>
                <a:lnTo>
                  <a:pt x="7785" y="801560"/>
                </a:lnTo>
                <a:lnTo>
                  <a:pt x="11658" y="805649"/>
                </a:lnTo>
                <a:lnTo>
                  <a:pt x="16611" y="805903"/>
                </a:lnTo>
              </a:path>
              <a:path w="659765" h="818515">
                <a:moveTo>
                  <a:pt x="37477" y="782853"/>
                </a:moveTo>
                <a:lnTo>
                  <a:pt x="40251" y="796596"/>
                </a:lnTo>
                <a:lnTo>
                  <a:pt x="47817" y="807823"/>
                </a:lnTo>
                <a:lnTo>
                  <a:pt x="59042" y="815394"/>
                </a:lnTo>
                <a:lnTo>
                  <a:pt x="72796" y="818172"/>
                </a:lnTo>
              </a:path>
              <a:path w="659765" h="818515">
                <a:moveTo>
                  <a:pt x="0" y="802627"/>
                </a:moveTo>
                <a:lnTo>
                  <a:pt x="4330" y="802627"/>
                </a:lnTo>
                <a:lnTo>
                  <a:pt x="7785" y="799147"/>
                </a:lnTo>
                <a:lnTo>
                  <a:pt x="7785" y="794842"/>
                </a:lnTo>
              </a:path>
              <a:path w="659765" h="818515">
                <a:moveTo>
                  <a:pt x="16611" y="805903"/>
                </a:moveTo>
                <a:lnTo>
                  <a:pt x="42519" y="807262"/>
                </a:lnTo>
              </a:path>
              <a:path w="659765" h="818515">
                <a:moveTo>
                  <a:pt x="50660" y="810374"/>
                </a:moveTo>
                <a:lnTo>
                  <a:pt x="48323" y="808507"/>
                </a:lnTo>
                <a:lnTo>
                  <a:pt x="45516" y="807427"/>
                </a:lnTo>
                <a:lnTo>
                  <a:pt x="42519" y="807262"/>
                </a:lnTo>
              </a:path>
              <a:path w="659765" h="818515">
                <a:moveTo>
                  <a:pt x="191490" y="796594"/>
                </a:moveTo>
                <a:lnTo>
                  <a:pt x="191490" y="801560"/>
                </a:lnTo>
                <a:lnTo>
                  <a:pt x="195364" y="805649"/>
                </a:lnTo>
                <a:lnTo>
                  <a:pt x="200329" y="805903"/>
                </a:lnTo>
              </a:path>
              <a:path w="659765" h="818515">
                <a:moveTo>
                  <a:pt x="183705" y="802627"/>
                </a:moveTo>
                <a:lnTo>
                  <a:pt x="188023" y="802627"/>
                </a:lnTo>
                <a:lnTo>
                  <a:pt x="191490" y="799147"/>
                </a:lnTo>
                <a:lnTo>
                  <a:pt x="191490" y="794842"/>
                </a:lnTo>
              </a:path>
              <a:path w="659765" h="818515">
                <a:moveTo>
                  <a:pt x="137807" y="794842"/>
                </a:moveTo>
                <a:lnTo>
                  <a:pt x="137807" y="799147"/>
                </a:lnTo>
                <a:lnTo>
                  <a:pt x="141262" y="802627"/>
                </a:lnTo>
                <a:lnTo>
                  <a:pt x="145567" y="802627"/>
                </a:lnTo>
              </a:path>
              <a:path w="659765" h="818515">
                <a:moveTo>
                  <a:pt x="128943" y="805903"/>
                </a:moveTo>
                <a:lnTo>
                  <a:pt x="133908" y="805649"/>
                </a:lnTo>
                <a:lnTo>
                  <a:pt x="137807" y="801560"/>
                </a:lnTo>
                <a:lnTo>
                  <a:pt x="137807" y="796594"/>
                </a:lnTo>
              </a:path>
              <a:path w="659765" h="818515">
                <a:moveTo>
                  <a:pt x="145567" y="802627"/>
                </a:moveTo>
                <a:lnTo>
                  <a:pt x="183705" y="802627"/>
                </a:lnTo>
              </a:path>
              <a:path w="659765" h="818515">
                <a:moveTo>
                  <a:pt x="103047" y="807262"/>
                </a:moveTo>
                <a:lnTo>
                  <a:pt x="100075" y="807427"/>
                </a:lnTo>
                <a:lnTo>
                  <a:pt x="97231" y="808507"/>
                </a:lnTo>
                <a:lnTo>
                  <a:pt x="94932" y="810374"/>
                </a:lnTo>
              </a:path>
              <a:path w="659765" h="818515">
                <a:moveTo>
                  <a:pt x="128943" y="805903"/>
                </a:moveTo>
                <a:lnTo>
                  <a:pt x="103047" y="807262"/>
                </a:lnTo>
              </a:path>
              <a:path w="659765" h="818515">
                <a:moveTo>
                  <a:pt x="321475" y="794842"/>
                </a:moveTo>
                <a:lnTo>
                  <a:pt x="321475" y="799147"/>
                </a:lnTo>
                <a:lnTo>
                  <a:pt x="324980" y="802627"/>
                </a:lnTo>
                <a:lnTo>
                  <a:pt x="329260" y="802627"/>
                </a:lnTo>
              </a:path>
              <a:path w="659765" h="818515">
                <a:moveTo>
                  <a:pt x="312661" y="805903"/>
                </a:moveTo>
                <a:lnTo>
                  <a:pt x="317601" y="805649"/>
                </a:lnTo>
                <a:lnTo>
                  <a:pt x="321475" y="801560"/>
                </a:lnTo>
                <a:lnTo>
                  <a:pt x="321475" y="796594"/>
                </a:lnTo>
              </a:path>
              <a:path w="659765" h="818515">
                <a:moveTo>
                  <a:pt x="256476" y="818172"/>
                </a:moveTo>
                <a:lnTo>
                  <a:pt x="270235" y="815394"/>
                </a:lnTo>
                <a:lnTo>
                  <a:pt x="281460" y="807823"/>
                </a:lnTo>
                <a:lnTo>
                  <a:pt x="289023" y="796596"/>
                </a:lnTo>
                <a:lnTo>
                  <a:pt x="291795" y="782853"/>
                </a:lnTo>
              </a:path>
              <a:path w="659765" h="818515">
                <a:moveTo>
                  <a:pt x="221170" y="782853"/>
                </a:moveTo>
                <a:lnTo>
                  <a:pt x="223947" y="796596"/>
                </a:lnTo>
                <a:lnTo>
                  <a:pt x="231517" y="807823"/>
                </a:lnTo>
                <a:lnTo>
                  <a:pt x="242741" y="815394"/>
                </a:lnTo>
                <a:lnTo>
                  <a:pt x="256476" y="818172"/>
                </a:lnTo>
              </a:path>
              <a:path w="659765" h="818515">
                <a:moveTo>
                  <a:pt x="234340" y="810374"/>
                </a:moveTo>
                <a:lnTo>
                  <a:pt x="232041" y="808507"/>
                </a:lnTo>
                <a:lnTo>
                  <a:pt x="229209" y="807427"/>
                </a:lnTo>
                <a:lnTo>
                  <a:pt x="226225" y="807262"/>
                </a:lnTo>
              </a:path>
              <a:path w="659765" h="818515">
                <a:moveTo>
                  <a:pt x="286740" y="807262"/>
                </a:moveTo>
                <a:lnTo>
                  <a:pt x="283794" y="807427"/>
                </a:lnTo>
                <a:lnTo>
                  <a:pt x="280949" y="808507"/>
                </a:lnTo>
                <a:lnTo>
                  <a:pt x="278612" y="810374"/>
                </a:lnTo>
              </a:path>
              <a:path w="659765" h="818515">
                <a:moveTo>
                  <a:pt x="312661" y="805903"/>
                </a:moveTo>
                <a:lnTo>
                  <a:pt x="286740" y="807262"/>
                </a:lnTo>
              </a:path>
              <a:path w="659765" h="818515">
                <a:moveTo>
                  <a:pt x="375208" y="796594"/>
                </a:moveTo>
                <a:lnTo>
                  <a:pt x="375208" y="801560"/>
                </a:lnTo>
                <a:lnTo>
                  <a:pt x="379082" y="805649"/>
                </a:lnTo>
                <a:lnTo>
                  <a:pt x="384022" y="805903"/>
                </a:lnTo>
              </a:path>
              <a:path w="659765" h="818515">
                <a:moveTo>
                  <a:pt x="367423" y="802627"/>
                </a:moveTo>
                <a:lnTo>
                  <a:pt x="371703" y="802627"/>
                </a:lnTo>
                <a:lnTo>
                  <a:pt x="375208" y="799147"/>
                </a:lnTo>
                <a:lnTo>
                  <a:pt x="375208" y="794842"/>
                </a:lnTo>
              </a:path>
              <a:path w="659765" h="818515">
                <a:moveTo>
                  <a:pt x="329260" y="802627"/>
                </a:moveTo>
                <a:lnTo>
                  <a:pt x="367423" y="802627"/>
                </a:lnTo>
              </a:path>
              <a:path w="659765" h="818515">
                <a:moveTo>
                  <a:pt x="384022" y="805903"/>
                </a:moveTo>
                <a:lnTo>
                  <a:pt x="409943" y="807262"/>
                </a:lnTo>
              </a:path>
              <a:path w="659765" h="818515">
                <a:moveTo>
                  <a:pt x="418033" y="810374"/>
                </a:moveTo>
                <a:lnTo>
                  <a:pt x="415734" y="808507"/>
                </a:lnTo>
                <a:lnTo>
                  <a:pt x="412889" y="807427"/>
                </a:lnTo>
                <a:lnTo>
                  <a:pt x="409943" y="807262"/>
                </a:lnTo>
              </a:path>
              <a:path w="659765" h="818515">
                <a:moveTo>
                  <a:pt x="207759" y="643496"/>
                </a:moveTo>
                <a:lnTo>
                  <a:pt x="200329" y="643890"/>
                </a:lnTo>
              </a:path>
              <a:path w="659765" h="818515">
                <a:moveTo>
                  <a:pt x="24066" y="643496"/>
                </a:moveTo>
                <a:lnTo>
                  <a:pt x="31597" y="643102"/>
                </a:lnTo>
                <a:lnTo>
                  <a:pt x="37477" y="636917"/>
                </a:lnTo>
                <a:lnTo>
                  <a:pt x="37477" y="629399"/>
                </a:lnTo>
              </a:path>
              <a:path w="659765" h="818515">
                <a:moveTo>
                  <a:pt x="24066" y="643496"/>
                </a:moveTo>
                <a:lnTo>
                  <a:pt x="16611" y="643890"/>
                </a:lnTo>
              </a:path>
              <a:path w="659765" h="818515">
                <a:moveTo>
                  <a:pt x="16611" y="643890"/>
                </a:moveTo>
                <a:lnTo>
                  <a:pt x="11658" y="644144"/>
                </a:lnTo>
                <a:lnTo>
                  <a:pt x="7785" y="648258"/>
                </a:lnTo>
                <a:lnTo>
                  <a:pt x="7785" y="653211"/>
                </a:lnTo>
              </a:path>
              <a:path w="659765" h="818515">
                <a:moveTo>
                  <a:pt x="7785" y="654964"/>
                </a:moveTo>
                <a:lnTo>
                  <a:pt x="7785" y="650671"/>
                </a:lnTo>
                <a:lnTo>
                  <a:pt x="4330" y="647192"/>
                </a:lnTo>
                <a:lnTo>
                  <a:pt x="0" y="647192"/>
                </a:lnTo>
              </a:path>
              <a:path w="659765" h="818515">
                <a:moveTo>
                  <a:pt x="145567" y="647192"/>
                </a:moveTo>
                <a:lnTo>
                  <a:pt x="183705" y="647192"/>
                </a:lnTo>
              </a:path>
              <a:path w="659765" h="818515">
                <a:moveTo>
                  <a:pt x="145567" y="647192"/>
                </a:moveTo>
                <a:lnTo>
                  <a:pt x="141262" y="647192"/>
                </a:lnTo>
                <a:lnTo>
                  <a:pt x="137807" y="650671"/>
                </a:lnTo>
                <a:lnTo>
                  <a:pt x="137807" y="654964"/>
                </a:lnTo>
              </a:path>
              <a:path w="659765" h="818515">
                <a:moveTo>
                  <a:pt x="137807" y="653211"/>
                </a:moveTo>
                <a:lnTo>
                  <a:pt x="137807" y="648258"/>
                </a:lnTo>
                <a:lnTo>
                  <a:pt x="133908" y="644144"/>
                </a:lnTo>
                <a:lnTo>
                  <a:pt x="128943" y="643890"/>
                </a:lnTo>
              </a:path>
            </a:pathLst>
          </a:custGeom>
          <a:ln w="10058">
            <a:solidFill>
              <a:srgbClr val="000000"/>
            </a:solidFill>
          </a:ln>
        </xdr:spPr>
      </xdr:sp>
      <xdr:sp macro="" textlink="">
        <xdr:nvSpPr>
          <xdr:cNvPr id="210" name="Shape 709">
            <a:extLst>
              <a:ext uri="{FF2B5EF4-FFF2-40B4-BE49-F238E27FC236}">
                <a16:creationId xmlns:a16="http://schemas.microsoft.com/office/drawing/2014/main" id="{F15A046A-2300-2564-60A1-30E391DACC84}"/>
              </a:ext>
            </a:extLst>
          </xdr:cNvPr>
          <xdr:cNvSpPr/>
        </xdr:nvSpPr>
        <xdr:spPr>
          <a:xfrm>
            <a:off x="886002" y="484328"/>
            <a:ext cx="843280" cy="854075"/>
          </a:xfrm>
          <a:custGeom>
            <a:avLst/>
            <a:gdLst/>
            <a:ahLst/>
            <a:cxnLst/>
            <a:rect l="0" t="0" r="0" b="0"/>
            <a:pathLst>
              <a:path w="843280" h="854075">
                <a:moveTo>
                  <a:pt x="108089" y="664730"/>
                </a:moveTo>
                <a:lnTo>
                  <a:pt x="108089" y="672236"/>
                </a:lnTo>
                <a:lnTo>
                  <a:pt x="113982" y="678434"/>
                </a:lnTo>
                <a:lnTo>
                  <a:pt x="121513" y="678827"/>
                </a:lnTo>
              </a:path>
              <a:path w="843280" h="854075">
                <a:moveTo>
                  <a:pt x="121513" y="678827"/>
                </a:moveTo>
                <a:lnTo>
                  <a:pt x="128930" y="679221"/>
                </a:lnTo>
              </a:path>
              <a:path w="843280" h="854075">
                <a:moveTo>
                  <a:pt x="200317" y="679221"/>
                </a:moveTo>
                <a:lnTo>
                  <a:pt x="195351" y="679475"/>
                </a:lnTo>
                <a:lnTo>
                  <a:pt x="191477" y="683577"/>
                </a:lnTo>
                <a:lnTo>
                  <a:pt x="191477" y="688543"/>
                </a:lnTo>
              </a:path>
              <a:path w="843280" h="854075">
                <a:moveTo>
                  <a:pt x="191477" y="690283"/>
                </a:moveTo>
                <a:lnTo>
                  <a:pt x="191477" y="686003"/>
                </a:lnTo>
                <a:lnTo>
                  <a:pt x="188010" y="682523"/>
                </a:lnTo>
                <a:lnTo>
                  <a:pt x="183692" y="682523"/>
                </a:lnTo>
              </a:path>
              <a:path w="843280" h="854075">
                <a:moveTo>
                  <a:pt x="329247" y="682523"/>
                </a:moveTo>
                <a:lnTo>
                  <a:pt x="324967" y="682523"/>
                </a:lnTo>
                <a:lnTo>
                  <a:pt x="321462" y="686003"/>
                </a:lnTo>
                <a:lnTo>
                  <a:pt x="321462" y="690283"/>
                </a:lnTo>
              </a:path>
              <a:path w="843280" h="854075">
                <a:moveTo>
                  <a:pt x="321462" y="688543"/>
                </a:moveTo>
                <a:lnTo>
                  <a:pt x="321462" y="683577"/>
                </a:lnTo>
                <a:lnTo>
                  <a:pt x="317601" y="679475"/>
                </a:lnTo>
                <a:lnTo>
                  <a:pt x="312648" y="679221"/>
                </a:lnTo>
              </a:path>
              <a:path w="843280" h="854075">
                <a:moveTo>
                  <a:pt x="207746" y="678827"/>
                </a:moveTo>
                <a:lnTo>
                  <a:pt x="215277" y="678434"/>
                </a:lnTo>
                <a:lnTo>
                  <a:pt x="221157" y="672236"/>
                </a:lnTo>
                <a:lnTo>
                  <a:pt x="221157" y="664730"/>
                </a:lnTo>
              </a:path>
              <a:path w="843280" h="854075">
                <a:moveTo>
                  <a:pt x="291782" y="664730"/>
                </a:moveTo>
                <a:lnTo>
                  <a:pt x="291782" y="672236"/>
                </a:lnTo>
                <a:lnTo>
                  <a:pt x="297700" y="678434"/>
                </a:lnTo>
                <a:lnTo>
                  <a:pt x="305193" y="678827"/>
                </a:lnTo>
              </a:path>
              <a:path w="843280" h="854075">
                <a:moveTo>
                  <a:pt x="305193" y="678827"/>
                </a:moveTo>
                <a:lnTo>
                  <a:pt x="312648" y="679221"/>
                </a:lnTo>
              </a:path>
              <a:path w="843280" h="854075">
                <a:moveTo>
                  <a:pt x="384022" y="679221"/>
                </a:moveTo>
                <a:lnTo>
                  <a:pt x="379069" y="679475"/>
                </a:lnTo>
                <a:lnTo>
                  <a:pt x="375196" y="683577"/>
                </a:lnTo>
                <a:lnTo>
                  <a:pt x="375196" y="688543"/>
                </a:lnTo>
              </a:path>
              <a:path w="843280" h="854075">
                <a:moveTo>
                  <a:pt x="375196" y="690283"/>
                </a:moveTo>
                <a:lnTo>
                  <a:pt x="375196" y="686003"/>
                </a:lnTo>
                <a:lnTo>
                  <a:pt x="371690" y="682523"/>
                </a:lnTo>
                <a:lnTo>
                  <a:pt x="367410" y="682523"/>
                </a:lnTo>
              </a:path>
              <a:path w="843280" h="854075">
                <a:moveTo>
                  <a:pt x="329247" y="682523"/>
                </a:moveTo>
                <a:lnTo>
                  <a:pt x="367410" y="682523"/>
                </a:lnTo>
              </a:path>
              <a:path w="843280" h="854075">
                <a:moveTo>
                  <a:pt x="391464" y="678827"/>
                </a:moveTo>
                <a:lnTo>
                  <a:pt x="384022" y="679221"/>
                </a:lnTo>
              </a:path>
              <a:path w="843280" h="854075">
                <a:moveTo>
                  <a:pt x="391464" y="678827"/>
                </a:moveTo>
                <a:lnTo>
                  <a:pt x="398957" y="678434"/>
                </a:lnTo>
                <a:lnTo>
                  <a:pt x="404837" y="672236"/>
                </a:lnTo>
                <a:lnTo>
                  <a:pt x="404837" y="664730"/>
                </a:lnTo>
              </a:path>
              <a:path w="843280" h="854075">
                <a:moveTo>
                  <a:pt x="742581" y="688543"/>
                </a:moveTo>
                <a:lnTo>
                  <a:pt x="742581" y="831913"/>
                </a:lnTo>
              </a:path>
              <a:path w="843280" h="854075">
                <a:moveTo>
                  <a:pt x="742581" y="688543"/>
                </a:moveTo>
                <a:lnTo>
                  <a:pt x="742581" y="831913"/>
                </a:lnTo>
              </a:path>
              <a:path w="843280" h="854075">
                <a:moveTo>
                  <a:pt x="688886" y="831913"/>
                </a:moveTo>
                <a:lnTo>
                  <a:pt x="688886" y="688543"/>
                </a:lnTo>
              </a:path>
              <a:path w="843280" h="854075">
                <a:moveTo>
                  <a:pt x="688886" y="688543"/>
                </a:moveTo>
                <a:lnTo>
                  <a:pt x="688886" y="831913"/>
                </a:lnTo>
              </a:path>
              <a:path w="843280" h="854075">
                <a:moveTo>
                  <a:pt x="742581" y="831913"/>
                </a:moveTo>
                <a:lnTo>
                  <a:pt x="742581" y="688543"/>
                </a:lnTo>
              </a:path>
              <a:path w="843280" h="854075">
                <a:moveTo>
                  <a:pt x="742581" y="690283"/>
                </a:moveTo>
                <a:lnTo>
                  <a:pt x="742581" y="830160"/>
                </a:lnTo>
              </a:path>
              <a:path w="843280" h="854075">
                <a:moveTo>
                  <a:pt x="688886" y="688543"/>
                </a:moveTo>
                <a:lnTo>
                  <a:pt x="688886" y="831913"/>
                </a:lnTo>
              </a:path>
              <a:path w="843280" h="854075">
                <a:moveTo>
                  <a:pt x="558888" y="688543"/>
                </a:moveTo>
                <a:lnTo>
                  <a:pt x="558888" y="831913"/>
                </a:lnTo>
              </a:path>
              <a:path w="843280" h="854075">
                <a:moveTo>
                  <a:pt x="558888" y="688543"/>
                </a:moveTo>
                <a:lnTo>
                  <a:pt x="558888" y="831913"/>
                </a:lnTo>
              </a:path>
              <a:path w="843280" h="854075">
                <a:moveTo>
                  <a:pt x="505167" y="831913"/>
                </a:moveTo>
                <a:lnTo>
                  <a:pt x="505167" y="688543"/>
                </a:lnTo>
              </a:path>
              <a:path w="843280" h="854075">
                <a:moveTo>
                  <a:pt x="505167" y="688543"/>
                </a:moveTo>
                <a:lnTo>
                  <a:pt x="505167" y="831913"/>
                </a:lnTo>
              </a:path>
              <a:path w="843280" h="854075">
                <a:moveTo>
                  <a:pt x="558888" y="831913"/>
                </a:moveTo>
                <a:lnTo>
                  <a:pt x="558888" y="688543"/>
                </a:lnTo>
              </a:path>
              <a:path w="843280" h="854075">
                <a:moveTo>
                  <a:pt x="558888" y="690283"/>
                </a:moveTo>
                <a:lnTo>
                  <a:pt x="558888" y="830160"/>
                </a:lnTo>
              </a:path>
              <a:path w="843280" h="854075">
                <a:moveTo>
                  <a:pt x="505167" y="688543"/>
                </a:moveTo>
                <a:lnTo>
                  <a:pt x="505167" y="831913"/>
                </a:lnTo>
              </a:path>
              <a:path w="843280" h="854075">
                <a:moveTo>
                  <a:pt x="680021" y="841235"/>
                </a:moveTo>
                <a:lnTo>
                  <a:pt x="654113" y="842594"/>
                </a:lnTo>
              </a:path>
              <a:path w="843280" h="854075">
                <a:moveTo>
                  <a:pt x="623874" y="853503"/>
                </a:moveTo>
                <a:lnTo>
                  <a:pt x="637617" y="850726"/>
                </a:lnTo>
                <a:lnTo>
                  <a:pt x="648844" y="843153"/>
                </a:lnTo>
                <a:lnTo>
                  <a:pt x="656416" y="831922"/>
                </a:lnTo>
                <a:lnTo>
                  <a:pt x="659193" y="818172"/>
                </a:lnTo>
              </a:path>
              <a:path w="843280" h="854075">
                <a:moveTo>
                  <a:pt x="551103" y="837946"/>
                </a:moveTo>
                <a:lnTo>
                  <a:pt x="555383" y="837946"/>
                </a:lnTo>
                <a:lnTo>
                  <a:pt x="558888" y="834466"/>
                </a:lnTo>
                <a:lnTo>
                  <a:pt x="558888" y="830160"/>
                </a:lnTo>
              </a:path>
              <a:path w="843280" h="854075">
                <a:moveTo>
                  <a:pt x="505167" y="830160"/>
                </a:moveTo>
                <a:lnTo>
                  <a:pt x="505167" y="834466"/>
                </a:lnTo>
                <a:lnTo>
                  <a:pt x="508660" y="837946"/>
                </a:lnTo>
                <a:lnTo>
                  <a:pt x="512927" y="837946"/>
                </a:lnTo>
              </a:path>
              <a:path w="843280" h="854075">
                <a:moveTo>
                  <a:pt x="496341" y="841235"/>
                </a:moveTo>
                <a:lnTo>
                  <a:pt x="501269" y="840981"/>
                </a:lnTo>
                <a:lnTo>
                  <a:pt x="505167" y="836891"/>
                </a:lnTo>
                <a:lnTo>
                  <a:pt x="505167" y="831913"/>
                </a:lnTo>
              </a:path>
              <a:path w="843280" h="854075">
                <a:moveTo>
                  <a:pt x="440156" y="853503"/>
                </a:moveTo>
                <a:lnTo>
                  <a:pt x="453914" y="850726"/>
                </a:lnTo>
                <a:lnTo>
                  <a:pt x="465148" y="843153"/>
                </a:lnTo>
                <a:lnTo>
                  <a:pt x="472723" y="831922"/>
                </a:lnTo>
                <a:lnTo>
                  <a:pt x="475500" y="818172"/>
                </a:lnTo>
              </a:path>
              <a:path w="843280" h="854075">
                <a:moveTo>
                  <a:pt x="496341" y="841235"/>
                </a:moveTo>
                <a:lnTo>
                  <a:pt x="470407" y="842594"/>
                </a:lnTo>
              </a:path>
              <a:path w="843280" h="854075">
                <a:moveTo>
                  <a:pt x="470407" y="842594"/>
                </a:moveTo>
                <a:lnTo>
                  <a:pt x="467486" y="842746"/>
                </a:lnTo>
                <a:lnTo>
                  <a:pt x="464629" y="843826"/>
                </a:lnTo>
                <a:lnTo>
                  <a:pt x="462292" y="845693"/>
                </a:lnTo>
              </a:path>
              <a:path w="843280" h="854075">
                <a:moveTo>
                  <a:pt x="512927" y="837946"/>
                </a:moveTo>
                <a:lnTo>
                  <a:pt x="551103" y="837946"/>
                </a:lnTo>
              </a:path>
              <a:path w="843280" h="854075">
                <a:moveTo>
                  <a:pt x="558888" y="831913"/>
                </a:moveTo>
                <a:lnTo>
                  <a:pt x="558888" y="836891"/>
                </a:lnTo>
                <a:lnTo>
                  <a:pt x="562762" y="840981"/>
                </a:lnTo>
                <a:lnTo>
                  <a:pt x="567715" y="841235"/>
                </a:lnTo>
              </a:path>
              <a:path w="843280" h="854075">
                <a:moveTo>
                  <a:pt x="588530" y="818172"/>
                </a:moveTo>
                <a:lnTo>
                  <a:pt x="591308" y="831922"/>
                </a:lnTo>
                <a:lnTo>
                  <a:pt x="598882" y="843153"/>
                </a:lnTo>
                <a:lnTo>
                  <a:pt x="610117" y="850726"/>
                </a:lnTo>
                <a:lnTo>
                  <a:pt x="623874" y="853503"/>
                </a:lnTo>
              </a:path>
              <a:path w="843280" h="854075">
                <a:moveTo>
                  <a:pt x="567715" y="841235"/>
                </a:moveTo>
                <a:lnTo>
                  <a:pt x="593623" y="842594"/>
                </a:lnTo>
              </a:path>
              <a:path w="843280" h="854075">
                <a:moveTo>
                  <a:pt x="601738" y="845693"/>
                </a:moveTo>
                <a:lnTo>
                  <a:pt x="599414" y="843826"/>
                </a:lnTo>
                <a:lnTo>
                  <a:pt x="596569" y="842746"/>
                </a:lnTo>
                <a:lnTo>
                  <a:pt x="593623" y="842594"/>
                </a:lnTo>
              </a:path>
              <a:path w="843280" h="854075">
                <a:moveTo>
                  <a:pt x="654113" y="842594"/>
                </a:moveTo>
                <a:lnTo>
                  <a:pt x="651154" y="842746"/>
                </a:lnTo>
                <a:lnTo>
                  <a:pt x="648309" y="843826"/>
                </a:lnTo>
                <a:lnTo>
                  <a:pt x="646023" y="845693"/>
                </a:lnTo>
              </a:path>
              <a:path w="843280" h="854075">
                <a:moveTo>
                  <a:pt x="734783" y="837946"/>
                </a:moveTo>
                <a:lnTo>
                  <a:pt x="739089" y="837946"/>
                </a:lnTo>
                <a:lnTo>
                  <a:pt x="742581" y="834466"/>
                </a:lnTo>
                <a:lnTo>
                  <a:pt x="742581" y="830160"/>
                </a:lnTo>
              </a:path>
              <a:path w="843280" h="854075">
                <a:moveTo>
                  <a:pt x="688886" y="830160"/>
                </a:moveTo>
                <a:lnTo>
                  <a:pt x="688886" y="834466"/>
                </a:lnTo>
                <a:lnTo>
                  <a:pt x="692340" y="837946"/>
                </a:lnTo>
                <a:lnTo>
                  <a:pt x="696620" y="837946"/>
                </a:lnTo>
              </a:path>
              <a:path w="843280" h="854075">
                <a:moveTo>
                  <a:pt x="680021" y="841235"/>
                </a:moveTo>
                <a:lnTo>
                  <a:pt x="684974" y="840981"/>
                </a:lnTo>
                <a:lnTo>
                  <a:pt x="688886" y="836891"/>
                </a:lnTo>
                <a:lnTo>
                  <a:pt x="688886" y="831913"/>
                </a:lnTo>
              </a:path>
              <a:path w="843280" h="854075">
                <a:moveTo>
                  <a:pt x="696620" y="837946"/>
                </a:moveTo>
                <a:lnTo>
                  <a:pt x="734783" y="837946"/>
                </a:lnTo>
              </a:path>
              <a:path w="843280" h="854075">
                <a:moveTo>
                  <a:pt x="659193" y="664730"/>
                </a:moveTo>
                <a:lnTo>
                  <a:pt x="659193" y="672236"/>
                </a:lnTo>
                <a:lnTo>
                  <a:pt x="665073" y="678434"/>
                </a:lnTo>
                <a:lnTo>
                  <a:pt x="672604" y="678827"/>
                </a:lnTo>
              </a:path>
              <a:path w="843280" h="854075">
                <a:moveTo>
                  <a:pt x="558888" y="690283"/>
                </a:moveTo>
                <a:lnTo>
                  <a:pt x="558888" y="686003"/>
                </a:lnTo>
                <a:lnTo>
                  <a:pt x="555383" y="682523"/>
                </a:lnTo>
                <a:lnTo>
                  <a:pt x="551103" y="682523"/>
                </a:lnTo>
              </a:path>
              <a:path w="843280" h="854075">
                <a:moveTo>
                  <a:pt x="488886" y="678827"/>
                </a:moveTo>
                <a:lnTo>
                  <a:pt x="496341" y="679221"/>
                </a:lnTo>
              </a:path>
              <a:path w="843280" h="854075">
                <a:moveTo>
                  <a:pt x="475500" y="664730"/>
                </a:moveTo>
                <a:lnTo>
                  <a:pt x="475500" y="672236"/>
                </a:lnTo>
                <a:lnTo>
                  <a:pt x="481393" y="678434"/>
                </a:lnTo>
                <a:lnTo>
                  <a:pt x="488886" y="678827"/>
                </a:lnTo>
              </a:path>
              <a:path w="843280" h="854075">
                <a:moveTo>
                  <a:pt x="512927" y="682523"/>
                </a:moveTo>
                <a:lnTo>
                  <a:pt x="551103" y="682523"/>
                </a:lnTo>
              </a:path>
              <a:path w="843280" h="854075">
                <a:moveTo>
                  <a:pt x="512927" y="682523"/>
                </a:moveTo>
                <a:lnTo>
                  <a:pt x="508660" y="682523"/>
                </a:lnTo>
                <a:lnTo>
                  <a:pt x="505167" y="686003"/>
                </a:lnTo>
                <a:lnTo>
                  <a:pt x="505167" y="690283"/>
                </a:lnTo>
              </a:path>
              <a:path w="843280" h="854075">
                <a:moveTo>
                  <a:pt x="505167" y="688543"/>
                </a:moveTo>
                <a:lnTo>
                  <a:pt x="505167" y="683577"/>
                </a:lnTo>
                <a:lnTo>
                  <a:pt x="501269" y="679475"/>
                </a:lnTo>
                <a:lnTo>
                  <a:pt x="496341" y="679221"/>
                </a:lnTo>
              </a:path>
              <a:path w="843280" h="854075">
                <a:moveTo>
                  <a:pt x="575157" y="678827"/>
                </a:moveTo>
                <a:lnTo>
                  <a:pt x="567715" y="679221"/>
                </a:lnTo>
              </a:path>
              <a:path w="843280" h="854075">
                <a:moveTo>
                  <a:pt x="575157" y="678827"/>
                </a:moveTo>
                <a:lnTo>
                  <a:pt x="582650" y="678434"/>
                </a:lnTo>
                <a:lnTo>
                  <a:pt x="588530" y="672236"/>
                </a:lnTo>
                <a:lnTo>
                  <a:pt x="588530" y="664730"/>
                </a:lnTo>
              </a:path>
              <a:path w="843280" h="854075">
                <a:moveTo>
                  <a:pt x="567715" y="679221"/>
                </a:moveTo>
                <a:lnTo>
                  <a:pt x="562762" y="679475"/>
                </a:lnTo>
                <a:lnTo>
                  <a:pt x="558888" y="683577"/>
                </a:lnTo>
                <a:lnTo>
                  <a:pt x="558888" y="688543"/>
                </a:lnTo>
              </a:path>
              <a:path w="843280" h="854075">
                <a:moveTo>
                  <a:pt x="696620" y="682523"/>
                </a:moveTo>
                <a:lnTo>
                  <a:pt x="734783" y="682523"/>
                </a:lnTo>
              </a:path>
              <a:path w="843280" h="854075">
                <a:moveTo>
                  <a:pt x="696620" y="682523"/>
                </a:moveTo>
                <a:lnTo>
                  <a:pt x="692340" y="682523"/>
                </a:lnTo>
                <a:lnTo>
                  <a:pt x="688886" y="686003"/>
                </a:lnTo>
                <a:lnTo>
                  <a:pt x="688886" y="690283"/>
                </a:lnTo>
              </a:path>
              <a:path w="843280" h="854075">
                <a:moveTo>
                  <a:pt x="688886" y="688543"/>
                </a:moveTo>
                <a:lnTo>
                  <a:pt x="688886" y="683577"/>
                </a:lnTo>
                <a:lnTo>
                  <a:pt x="684974" y="679475"/>
                </a:lnTo>
                <a:lnTo>
                  <a:pt x="680021" y="679221"/>
                </a:lnTo>
              </a:path>
              <a:path w="843280" h="854075">
                <a:moveTo>
                  <a:pt x="672604" y="678827"/>
                </a:moveTo>
                <a:lnTo>
                  <a:pt x="680021" y="679221"/>
                </a:lnTo>
              </a:path>
              <a:path w="843280" h="854075">
                <a:moveTo>
                  <a:pt x="742581" y="690283"/>
                </a:moveTo>
                <a:lnTo>
                  <a:pt x="742581" y="686003"/>
                </a:lnTo>
                <a:lnTo>
                  <a:pt x="739089" y="682523"/>
                </a:lnTo>
                <a:lnTo>
                  <a:pt x="734783" y="682523"/>
                </a:lnTo>
              </a:path>
              <a:path w="843280" h="854075">
                <a:moveTo>
                  <a:pt x="440156" y="0"/>
                </a:moveTo>
                <a:lnTo>
                  <a:pt x="426419" y="2777"/>
                </a:lnTo>
                <a:lnTo>
                  <a:pt x="415191" y="10350"/>
                </a:lnTo>
                <a:lnTo>
                  <a:pt x="407616" y="21581"/>
                </a:lnTo>
                <a:lnTo>
                  <a:pt x="404837" y="35331"/>
                </a:lnTo>
              </a:path>
              <a:path w="843280" h="854075">
                <a:moveTo>
                  <a:pt x="375196" y="164973"/>
                </a:moveTo>
                <a:lnTo>
                  <a:pt x="375196" y="21564"/>
                </a:lnTo>
              </a:path>
              <a:path w="843280" h="854075">
                <a:moveTo>
                  <a:pt x="375196" y="164973"/>
                </a:moveTo>
                <a:lnTo>
                  <a:pt x="375196" y="21564"/>
                </a:lnTo>
              </a:path>
              <a:path w="843280" h="854075">
                <a:moveTo>
                  <a:pt x="375196" y="23317"/>
                </a:moveTo>
                <a:lnTo>
                  <a:pt x="375196" y="163220"/>
                </a:lnTo>
              </a:path>
              <a:path w="843280" h="854075">
                <a:moveTo>
                  <a:pt x="375196" y="164973"/>
                </a:moveTo>
                <a:lnTo>
                  <a:pt x="375196" y="21564"/>
                </a:lnTo>
              </a:path>
              <a:path w="843280" h="854075">
                <a:moveTo>
                  <a:pt x="321462" y="21564"/>
                </a:moveTo>
                <a:lnTo>
                  <a:pt x="321462" y="164973"/>
                </a:lnTo>
              </a:path>
              <a:path w="843280" h="854075">
                <a:moveTo>
                  <a:pt x="321462" y="164973"/>
                </a:moveTo>
                <a:lnTo>
                  <a:pt x="321462" y="21564"/>
                </a:lnTo>
              </a:path>
              <a:path w="843280" h="854075">
                <a:moveTo>
                  <a:pt x="291782" y="35331"/>
                </a:moveTo>
                <a:lnTo>
                  <a:pt x="289010" y="21581"/>
                </a:lnTo>
                <a:lnTo>
                  <a:pt x="281447" y="10350"/>
                </a:lnTo>
                <a:lnTo>
                  <a:pt x="270222" y="2777"/>
                </a:lnTo>
                <a:lnTo>
                  <a:pt x="256463" y="0"/>
                </a:lnTo>
              </a:path>
              <a:path w="843280" h="854075">
                <a:moveTo>
                  <a:pt x="256463" y="0"/>
                </a:moveTo>
                <a:lnTo>
                  <a:pt x="242728" y="2777"/>
                </a:lnTo>
                <a:lnTo>
                  <a:pt x="231505" y="10350"/>
                </a:lnTo>
                <a:lnTo>
                  <a:pt x="223934" y="21581"/>
                </a:lnTo>
                <a:lnTo>
                  <a:pt x="221157" y="35331"/>
                </a:lnTo>
              </a:path>
              <a:path w="843280" h="854075">
                <a:moveTo>
                  <a:pt x="191477" y="164973"/>
                </a:moveTo>
                <a:lnTo>
                  <a:pt x="191477" y="21564"/>
                </a:lnTo>
              </a:path>
              <a:path w="843280" h="854075">
                <a:moveTo>
                  <a:pt x="191477" y="164973"/>
                </a:moveTo>
                <a:lnTo>
                  <a:pt x="191477" y="21564"/>
                </a:lnTo>
              </a:path>
              <a:path w="843280" h="854075">
                <a:moveTo>
                  <a:pt x="321462" y="164973"/>
                </a:moveTo>
                <a:lnTo>
                  <a:pt x="321462" y="21564"/>
                </a:lnTo>
              </a:path>
              <a:path w="843280" h="854075">
                <a:moveTo>
                  <a:pt x="191477" y="23317"/>
                </a:moveTo>
                <a:lnTo>
                  <a:pt x="191477" y="163220"/>
                </a:lnTo>
              </a:path>
              <a:path w="843280" h="854075">
                <a:moveTo>
                  <a:pt x="191477" y="164973"/>
                </a:moveTo>
                <a:lnTo>
                  <a:pt x="191477" y="21564"/>
                </a:lnTo>
              </a:path>
              <a:path w="843280" h="854075">
                <a:moveTo>
                  <a:pt x="137794" y="21564"/>
                </a:moveTo>
                <a:lnTo>
                  <a:pt x="137794" y="164973"/>
                </a:lnTo>
              </a:path>
              <a:path w="843280" h="854075">
                <a:moveTo>
                  <a:pt x="137794" y="164973"/>
                </a:moveTo>
                <a:lnTo>
                  <a:pt x="137794" y="21564"/>
                </a:lnTo>
              </a:path>
              <a:path w="843280" h="854075">
                <a:moveTo>
                  <a:pt x="108089" y="35331"/>
                </a:moveTo>
                <a:lnTo>
                  <a:pt x="105318" y="21581"/>
                </a:lnTo>
                <a:lnTo>
                  <a:pt x="97756" y="10350"/>
                </a:lnTo>
                <a:lnTo>
                  <a:pt x="86535" y="2777"/>
                </a:lnTo>
                <a:lnTo>
                  <a:pt x="72783" y="0"/>
                </a:lnTo>
              </a:path>
              <a:path w="843280" h="854075">
                <a:moveTo>
                  <a:pt x="72783" y="0"/>
                </a:moveTo>
                <a:lnTo>
                  <a:pt x="59030" y="2777"/>
                </a:lnTo>
                <a:lnTo>
                  <a:pt x="47804" y="10350"/>
                </a:lnTo>
                <a:lnTo>
                  <a:pt x="40238" y="21581"/>
                </a:lnTo>
                <a:lnTo>
                  <a:pt x="37464" y="35331"/>
                </a:lnTo>
              </a:path>
              <a:path w="843280" h="854075">
                <a:moveTo>
                  <a:pt x="7785" y="164973"/>
                </a:moveTo>
                <a:lnTo>
                  <a:pt x="7785" y="21564"/>
                </a:lnTo>
              </a:path>
              <a:path w="843280" h="854075">
                <a:moveTo>
                  <a:pt x="7785" y="164973"/>
                </a:moveTo>
                <a:lnTo>
                  <a:pt x="7785" y="21564"/>
                </a:lnTo>
              </a:path>
              <a:path w="843280" h="854075">
                <a:moveTo>
                  <a:pt x="137794" y="164973"/>
                </a:moveTo>
                <a:lnTo>
                  <a:pt x="137794" y="21564"/>
                </a:lnTo>
              </a:path>
              <a:path w="843280" h="854075">
                <a:moveTo>
                  <a:pt x="7785" y="23317"/>
                </a:moveTo>
                <a:lnTo>
                  <a:pt x="7785" y="163220"/>
                </a:lnTo>
              </a:path>
              <a:path w="843280" h="854075">
                <a:moveTo>
                  <a:pt x="7785" y="164973"/>
                </a:moveTo>
                <a:lnTo>
                  <a:pt x="7785" y="21564"/>
                </a:lnTo>
              </a:path>
              <a:path w="843280" h="854075">
                <a:moveTo>
                  <a:pt x="207746" y="174663"/>
                </a:moveTo>
                <a:lnTo>
                  <a:pt x="200317" y="174282"/>
                </a:lnTo>
              </a:path>
              <a:path w="843280" h="854075">
                <a:moveTo>
                  <a:pt x="37464" y="188772"/>
                </a:moveTo>
                <a:lnTo>
                  <a:pt x="37464" y="181267"/>
                </a:lnTo>
                <a:lnTo>
                  <a:pt x="31584" y="175056"/>
                </a:lnTo>
                <a:lnTo>
                  <a:pt x="24053" y="174663"/>
                </a:lnTo>
              </a:path>
              <a:path w="843280" h="854075">
                <a:moveTo>
                  <a:pt x="24053" y="174663"/>
                </a:moveTo>
                <a:lnTo>
                  <a:pt x="16611" y="174282"/>
                </a:lnTo>
              </a:path>
              <a:path w="843280" h="854075">
                <a:moveTo>
                  <a:pt x="7785" y="164973"/>
                </a:moveTo>
                <a:lnTo>
                  <a:pt x="7785" y="169926"/>
                </a:lnTo>
                <a:lnTo>
                  <a:pt x="11645" y="174015"/>
                </a:lnTo>
                <a:lnTo>
                  <a:pt x="16611" y="174282"/>
                </a:lnTo>
              </a:path>
              <a:path w="843280" h="854075">
                <a:moveTo>
                  <a:pt x="0" y="170980"/>
                </a:moveTo>
                <a:lnTo>
                  <a:pt x="4317" y="170980"/>
                </a:lnTo>
                <a:lnTo>
                  <a:pt x="7785" y="167500"/>
                </a:lnTo>
                <a:lnTo>
                  <a:pt x="7785" y="163220"/>
                </a:lnTo>
              </a:path>
              <a:path w="843280" h="854075">
                <a:moveTo>
                  <a:pt x="145554" y="170980"/>
                </a:moveTo>
                <a:lnTo>
                  <a:pt x="183692" y="170980"/>
                </a:lnTo>
              </a:path>
              <a:path w="843280" h="854075">
                <a:moveTo>
                  <a:pt x="137794" y="163220"/>
                </a:moveTo>
                <a:lnTo>
                  <a:pt x="137794" y="167500"/>
                </a:lnTo>
                <a:lnTo>
                  <a:pt x="141249" y="170980"/>
                </a:lnTo>
                <a:lnTo>
                  <a:pt x="145554" y="170980"/>
                </a:lnTo>
              </a:path>
              <a:path w="843280" h="854075">
                <a:moveTo>
                  <a:pt x="128930" y="174282"/>
                </a:moveTo>
                <a:lnTo>
                  <a:pt x="133896" y="174015"/>
                </a:lnTo>
                <a:lnTo>
                  <a:pt x="137794" y="169926"/>
                </a:lnTo>
                <a:lnTo>
                  <a:pt x="137794" y="164973"/>
                </a:lnTo>
              </a:path>
              <a:path w="843280" h="854075">
                <a:moveTo>
                  <a:pt x="121513" y="174663"/>
                </a:moveTo>
                <a:lnTo>
                  <a:pt x="113982" y="175056"/>
                </a:lnTo>
                <a:lnTo>
                  <a:pt x="108089" y="181267"/>
                </a:lnTo>
                <a:lnTo>
                  <a:pt x="108089" y="188772"/>
                </a:lnTo>
              </a:path>
              <a:path w="843280" h="854075">
                <a:moveTo>
                  <a:pt x="121513" y="174663"/>
                </a:moveTo>
                <a:lnTo>
                  <a:pt x="128930" y="174282"/>
                </a:lnTo>
              </a:path>
              <a:path w="843280" h="854075">
                <a:moveTo>
                  <a:pt x="191477" y="164973"/>
                </a:moveTo>
                <a:lnTo>
                  <a:pt x="191477" y="169926"/>
                </a:lnTo>
                <a:lnTo>
                  <a:pt x="195351" y="174015"/>
                </a:lnTo>
                <a:lnTo>
                  <a:pt x="200317" y="174282"/>
                </a:lnTo>
              </a:path>
              <a:path w="843280" h="854075">
                <a:moveTo>
                  <a:pt x="183692" y="170980"/>
                </a:moveTo>
                <a:lnTo>
                  <a:pt x="188010" y="170980"/>
                </a:lnTo>
                <a:lnTo>
                  <a:pt x="191477" y="167500"/>
                </a:lnTo>
                <a:lnTo>
                  <a:pt x="191477" y="163220"/>
                </a:lnTo>
              </a:path>
              <a:path w="843280" h="854075">
                <a:moveTo>
                  <a:pt x="321462" y="163220"/>
                </a:moveTo>
                <a:lnTo>
                  <a:pt x="321462" y="167500"/>
                </a:lnTo>
                <a:lnTo>
                  <a:pt x="324967" y="170980"/>
                </a:lnTo>
                <a:lnTo>
                  <a:pt x="329247" y="170980"/>
                </a:lnTo>
              </a:path>
              <a:path w="843280" h="854075">
                <a:moveTo>
                  <a:pt x="312648" y="174282"/>
                </a:moveTo>
                <a:lnTo>
                  <a:pt x="317601" y="174015"/>
                </a:lnTo>
                <a:lnTo>
                  <a:pt x="321462" y="169926"/>
                </a:lnTo>
                <a:lnTo>
                  <a:pt x="321462" y="164973"/>
                </a:lnTo>
              </a:path>
              <a:path w="843280" h="854075">
                <a:moveTo>
                  <a:pt x="221157" y="188772"/>
                </a:moveTo>
                <a:lnTo>
                  <a:pt x="221157" y="181267"/>
                </a:lnTo>
                <a:lnTo>
                  <a:pt x="215277" y="175056"/>
                </a:lnTo>
                <a:lnTo>
                  <a:pt x="207746" y="174663"/>
                </a:lnTo>
              </a:path>
              <a:path w="843280" h="854075">
                <a:moveTo>
                  <a:pt x="305193" y="174663"/>
                </a:moveTo>
                <a:lnTo>
                  <a:pt x="297700" y="175056"/>
                </a:lnTo>
                <a:lnTo>
                  <a:pt x="291782" y="181267"/>
                </a:lnTo>
                <a:lnTo>
                  <a:pt x="291782" y="188772"/>
                </a:lnTo>
              </a:path>
              <a:path w="843280" h="854075">
                <a:moveTo>
                  <a:pt x="305193" y="174663"/>
                </a:moveTo>
                <a:lnTo>
                  <a:pt x="312648" y="174282"/>
                </a:lnTo>
              </a:path>
              <a:path w="843280" h="854075">
                <a:moveTo>
                  <a:pt x="375196" y="164973"/>
                </a:moveTo>
                <a:lnTo>
                  <a:pt x="375196" y="169926"/>
                </a:lnTo>
                <a:lnTo>
                  <a:pt x="379069" y="174015"/>
                </a:lnTo>
                <a:lnTo>
                  <a:pt x="384022" y="174282"/>
                </a:lnTo>
              </a:path>
              <a:path w="843280" h="854075">
                <a:moveTo>
                  <a:pt x="367410" y="170980"/>
                </a:moveTo>
                <a:lnTo>
                  <a:pt x="371690" y="170980"/>
                </a:lnTo>
                <a:lnTo>
                  <a:pt x="375196" y="167500"/>
                </a:lnTo>
                <a:lnTo>
                  <a:pt x="375196" y="163220"/>
                </a:lnTo>
              </a:path>
              <a:path w="843280" h="854075">
                <a:moveTo>
                  <a:pt x="329247" y="170980"/>
                </a:moveTo>
                <a:lnTo>
                  <a:pt x="367410" y="170980"/>
                </a:lnTo>
              </a:path>
              <a:path w="843280" h="854075">
                <a:moveTo>
                  <a:pt x="391464" y="174663"/>
                </a:moveTo>
                <a:lnTo>
                  <a:pt x="384022" y="174282"/>
                </a:lnTo>
              </a:path>
              <a:path w="843280" h="854075">
                <a:moveTo>
                  <a:pt x="404837" y="188772"/>
                </a:moveTo>
                <a:lnTo>
                  <a:pt x="404837" y="181267"/>
                </a:lnTo>
                <a:lnTo>
                  <a:pt x="398957" y="175056"/>
                </a:lnTo>
                <a:lnTo>
                  <a:pt x="391464" y="174663"/>
                </a:lnTo>
              </a:path>
              <a:path w="843280" h="854075">
                <a:moveTo>
                  <a:pt x="200317" y="12268"/>
                </a:moveTo>
                <a:lnTo>
                  <a:pt x="226212" y="10909"/>
                </a:lnTo>
              </a:path>
              <a:path w="843280" h="854075">
                <a:moveTo>
                  <a:pt x="16611" y="12268"/>
                </a:moveTo>
                <a:lnTo>
                  <a:pt x="42506" y="10909"/>
                </a:lnTo>
              </a:path>
              <a:path w="843280" h="854075">
                <a:moveTo>
                  <a:pt x="16611" y="12268"/>
                </a:moveTo>
                <a:lnTo>
                  <a:pt x="11645" y="12522"/>
                </a:lnTo>
                <a:lnTo>
                  <a:pt x="7785" y="16611"/>
                </a:lnTo>
                <a:lnTo>
                  <a:pt x="7785" y="21564"/>
                </a:lnTo>
              </a:path>
              <a:path w="843280" h="854075">
                <a:moveTo>
                  <a:pt x="7785" y="23317"/>
                </a:moveTo>
                <a:lnTo>
                  <a:pt x="7785" y="19037"/>
                </a:lnTo>
                <a:lnTo>
                  <a:pt x="4317" y="15557"/>
                </a:lnTo>
                <a:lnTo>
                  <a:pt x="0" y="15557"/>
                </a:lnTo>
              </a:path>
              <a:path w="843280" h="854075">
                <a:moveTo>
                  <a:pt x="42506" y="10909"/>
                </a:moveTo>
                <a:lnTo>
                  <a:pt x="45504" y="10756"/>
                </a:lnTo>
                <a:lnTo>
                  <a:pt x="48310" y="9677"/>
                </a:lnTo>
                <a:lnTo>
                  <a:pt x="50647" y="7810"/>
                </a:lnTo>
              </a:path>
              <a:path w="843280" h="854075">
                <a:moveTo>
                  <a:pt x="145554" y="15557"/>
                </a:moveTo>
                <a:lnTo>
                  <a:pt x="183692" y="15557"/>
                </a:lnTo>
              </a:path>
              <a:path w="843280" h="854075">
                <a:moveTo>
                  <a:pt x="145554" y="15557"/>
                </a:moveTo>
                <a:lnTo>
                  <a:pt x="141249" y="15557"/>
                </a:lnTo>
                <a:lnTo>
                  <a:pt x="137794" y="19037"/>
                </a:lnTo>
                <a:lnTo>
                  <a:pt x="137794" y="23317"/>
                </a:lnTo>
              </a:path>
              <a:path w="843280" h="854075">
                <a:moveTo>
                  <a:pt x="137794" y="21564"/>
                </a:moveTo>
                <a:lnTo>
                  <a:pt x="137794" y="16611"/>
                </a:lnTo>
                <a:lnTo>
                  <a:pt x="133896" y="12522"/>
                </a:lnTo>
                <a:lnTo>
                  <a:pt x="128930" y="12268"/>
                </a:lnTo>
              </a:path>
              <a:path w="843280" h="854075">
                <a:moveTo>
                  <a:pt x="94919" y="7810"/>
                </a:moveTo>
                <a:lnTo>
                  <a:pt x="97218" y="9677"/>
                </a:lnTo>
                <a:lnTo>
                  <a:pt x="100075" y="10756"/>
                </a:lnTo>
                <a:lnTo>
                  <a:pt x="103035" y="10909"/>
                </a:lnTo>
              </a:path>
              <a:path w="843280" h="854075">
                <a:moveTo>
                  <a:pt x="128930" y="12268"/>
                </a:moveTo>
                <a:lnTo>
                  <a:pt x="103035" y="10909"/>
                </a:lnTo>
              </a:path>
              <a:path w="843280" h="854075">
                <a:moveTo>
                  <a:pt x="200317" y="12268"/>
                </a:moveTo>
                <a:lnTo>
                  <a:pt x="195351" y="12522"/>
                </a:lnTo>
                <a:lnTo>
                  <a:pt x="191477" y="16611"/>
                </a:lnTo>
                <a:lnTo>
                  <a:pt x="191477" y="21564"/>
                </a:lnTo>
              </a:path>
              <a:path w="843280" h="854075">
                <a:moveTo>
                  <a:pt x="191477" y="23317"/>
                </a:moveTo>
                <a:lnTo>
                  <a:pt x="191477" y="19037"/>
                </a:lnTo>
                <a:lnTo>
                  <a:pt x="188010" y="15557"/>
                </a:lnTo>
                <a:lnTo>
                  <a:pt x="183692" y="15557"/>
                </a:lnTo>
              </a:path>
              <a:path w="843280" h="854075">
                <a:moveTo>
                  <a:pt x="329247" y="15557"/>
                </a:moveTo>
                <a:lnTo>
                  <a:pt x="324967" y="15557"/>
                </a:lnTo>
                <a:lnTo>
                  <a:pt x="321462" y="19037"/>
                </a:lnTo>
                <a:lnTo>
                  <a:pt x="321462" y="23317"/>
                </a:lnTo>
              </a:path>
              <a:path w="843280" h="854075">
                <a:moveTo>
                  <a:pt x="321462" y="21564"/>
                </a:moveTo>
                <a:lnTo>
                  <a:pt x="321462" y="16611"/>
                </a:lnTo>
                <a:lnTo>
                  <a:pt x="317601" y="12522"/>
                </a:lnTo>
                <a:lnTo>
                  <a:pt x="312648" y="12268"/>
                </a:lnTo>
              </a:path>
              <a:path w="843280" h="854075">
                <a:moveTo>
                  <a:pt x="226212" y="10909"/>
                </a:moveTo>
                <a:lnTo>
                  <a:pt x="229196" y="10756"/>
                </a:lnTo>
                <a:lnTo>
                  <a:pt x="232028" y="9677"/>
                </a:lnTo>
                <a:lnTo>
                  <a:pt x="234327" y="7810"/>
                </a:lnTo>
              </a:path>
              <a:path w="843280" h="854075">
                <a:moveTo>
                  <a:pt x="278599" y="7810"/>
                </a:moveTo>
                <a:lnTo>
                  <a:pt x="280936" y="9677"/>
                </a:lnTo>
                <a:lnTo>
                  <a:pt x="283781" y="10756"/>
                </a:lnTo>
                <a:lnTo>
                  <a:pt x="286727" y="10909"/>
                </a:lnTo>
              </a:path>
              <a:path w="843280" h="854075">
                <a:moveTo>
                  <a:pt x="312648" y="12268"/>
                </a:moveTo>
                <a:lnTo>
                  <a:pt x="286727" y="10909"/>
                </a:lnTo>
              </a:path>
              <a:path w="843280" h="854075">
                <a:moveTo>
                  <a:pt x="384022" y="12268"/>
                </a:moveTo>
                <a:lnTo>
                  <a:pt x="379069" y="12522"/>
                </a:lnTo>
                <a:lnTo>
                  <a:pt x="375196" y="16611"/>
                </a:lnTo>
                <a:lnTo>
                  <a:pt x="375196" y="21564"/>
                </a:lnTo>
              </a:path>
              <a:path w="843280" h="854075">
                <a:moveTo>
                  <a:pt x="375196" y="23317"/>
                </a:moveTo>
                <a:lnTo>
                  <a:pt x="375196" y="19037"/>
                </a:lnTo>
                <a:lnTo>
                  <a:pt x="371690" y="15557"/>
                </a:lnTo>
                <a:lnTo>
                  <a:pt x="367410" y="15557"/>
                </a:lnTo>
              </a:path>
              <a:path w="843280" h="854075">
                <a:moveTo>
                  <a:pt x="329247" y="15557"/>
                </a:moveTo>
                <a:lnTo>
                  <a:pt x="367410" y="15557"/>
                </a:lnTo>
              </a:path>
              <a:path w="843280" h="854075">
                <a:moveTo>
                  <a:pt x="384022" y="12268"/>
                </a:moveTo>
                <a:lnTo>
                  <a:pt x="409930" y="10909"/>
                </a:lnTo>
              </a:path>
              <a:path w="843280" h="854075">
                <a:moveTo>
                  <a:pt x="409930" y="10909"/>
                </a:moveTo>
                <a:lnTo>
                  <a:pt x="412876" y="10756"/>
                </a:lnTo>
                <a:lnTo>
                  <a:pt x="415721" y="9677"/>
                </a:lnTo>
                <a:lnTo>
                  <a:pt x="418020" y="7810"/>
                </a:lnTo>
              </a:path>
              <a:path w="843280" h="854075">
                <a:moveTo>
                  <a:pt x="742581" y="164973"/>
                </a:moveTo>
                <a:lnTo>
                  <a:pt x="742581" y="21564"/>
                </a:lnTo>
              </a:path>
              <a:path w="843280" h="854075">
                <a:moveTo>
                  <a:pt x="742581" y="164973"/>
                </a:moveTo>
                <a:lnTo>
                  <a:pt x="742581" y="21564"/>
                </a:lnTo>
              </a:path>
              <a:path w="843280" h="854075">
                <a:moveTo>
                  <a:pt x="688886" y="164973"/>
                </a:moveTo>
                <a:lnTo>
                  <a:pt x="688886" y="21564"/>
                </a:lnTo>
              </a:path>
              <a:path w="843280" h="854075">
                <a:moveTo>
                  <a:pt x="688886" y="21564"/>
                </a:moveTo>
                <a:lnTo>
                  <a:pt x="688886" y="164973"/>
                </a:lnTo>
              </a:path>
              <a:path w="843280" h="854075">
                <a:moveTo>
                  <a:pt x="742581" y="164973"/>
                </a:moveTo>
                <a:lnTo>
                  <a:pt x="742581" y="21564"/>
                </a:lnTo>
              </a:path>
              <a:path w="843280" h="854075">
                <a:moveTo>
                  <a:pt x="742581" y="23317"/>
                </a:moveTo>
                <a:lnTo>
                  <a:pt x="742581" y="163220"/>
                </a:lnTo>
              </a:path>
              <a:path w="843280" h="854075">
                <a:moveTo>
                  <a:pt x="659193" y="35331"/>
                </a:moveTo>
                <a:lnTo>
                  <a:pt x="656416" y="21581"/>
                </a:lnTo>
                <a:lnTo>
                  <a:pt x="648844" y="10350"/>
                </a:lnTo>
                <a:lnTo>
                  <a:pt x="637617" y="2777"/>
                </a:lnTo>
                <a:lnTo>
                  <a:pt x="623874" y="0"/>
                </a:lnTo>
              </a:path>
              <a:path w="843280" h="854075">
                <a:moveTo>
                  <a:pt x="623874" y="0"/>
                </a:moveTo>
                <a:lnTo>
                  <a:pt x="610117" y="2777"/>
                </a:lnTo>
                <a:lnTo>
                  <a:pt x="598882" y="10350"/>
                </a:lnTo>
                <a:lnTo>
                  <a:pt x="591308" y="21581"/>
                </a:lnTo>
                <a:lnTo>
                  <a:pt x="588530" y="35331"/>
                </a:lnTo>
              </a:path>
              <a:path w="843280" h="854075">
                <a:moveTo>
                  <a:pt x="558888" y="164973"/>
                </a:moveTo>
                <a:lnTo>
                  <a:pt x="558888" y="21564"/>
                </a:lnTo>
              </a:path>
              <a:path w="843280" h="854075">
                <a:moveTo>
                  <a:pt x="558888" y="164973"/>
                </a:moveTo>
                <a:lnTo>
                  <a:pt x="558888" y="21564"/>
                </a:lnTo>
              </a:path>
              <a:path w="843280" h="854075">
                <a:moveTo>
                  <a:pt x="688886" y="164973"/>
                </a:moveTo>
                <a:lnTo>
                  <a:pt x="688886" y="21564"/>
                </a:lnTo>
              </a:path>
              <a:path w="843280" h="854075">
                <a:moveTo>
                  <a:pt x="505167" y="164973"/>
                </a:moveTo>
                <a:lnTo>
                  <a:pt x="505167" y="21564"/>
                </a:lnTo>
              </a:path>
              <a:path w="843280" h="854075">
                <a:moveTo>
                  <a:pt x="505167" y="21564"/>
                </a:moveTo>
                <a:lnTo>
                  <a:pt x="505167" y="164973"/>
                </a:lnTo>
              </a:path>
              <a:path w="843280" h="854075">
                <a:moveTo>
                  <a:pt x="558888" y="164973"/>
                </a:moveTo>
                <a:lnTo>
                  <a:pt x="558888" y="21564"/>
                </a:lnTo>
              </a:path>
              <a:path w="843280" h="854075">
                <a:moveTo>
                  <a:pt x="558888" y="23317"/>
                </a:moveTo>
                <a:lnTo>
                  <a:pt x="558888" y="163220"/>
                </a:lnTo>
              </a:path>
              <a:path w="843280" h="854075">
                <a:moveTo>
                  <a:pt x="475500" y="35331"/>
                </a:moveTo>
                <a:lnTo>
                  <a:pt x="472723" y="21581"/>
                </a:lnTo>
                <a:lnTo>
                  <a:pt x="465148" y="10350"/>
                </a:lnTo>
                <a:lnTo>
                  <a:pt x="453914" y="2777"/>
                </a:lnTo>
                <a:lnTo>
                  <a:pt x="440156" y="0"/>
                </a:lnTo>
              </a:path>
              <a:path w="843280" h="854075">
                <a:moveTo>
                  <a:pt x="505167" y="164973"/>
                </a:moveTo>
                <a:lnTo>
                  <a:pt x="505167" y="21564"/>
                </a:lnTo>
              </a:path>
              <a:path w="843280" h="854075">
                <a:moveTo>
                  <a:pt x="672604" y="174663"/>
                </a:moveTo>
                <a:lnTo>
                  <a:pt x="665073" y="175056"/>
                </a:lnTo>
                <a:lnTo>
                  <a:pt x="659193" y="181267"/>
                </a:lnTo>
                <a:lnTo>
                  <a:pt x="659193" y="188772"/>
                </a:lnTo>
              </a:path>
              <a:path w="843280" h="854075">
                <a:moveTo>
                  <a:pt x="551103" y="170980"/>
                </a:moveTo>
                <a:lnTo>
                  <a:pt x="555383" y="170980"/>
                </a:lnTo>
                <a:lnTo>
                  <a:pt x="558888" y="167500"/>
                </a:lnTo>
                <a:lnTo>
                  <a:pt x="558888" y="163220"/>
                </a:lnTo>
              </a:path>
              <a:path w="843280" h="854075">
                <a:moveTo>
                  <a:pt x="488886" y="174663"/>
                </a:moveTo>
                <a:lnTo>
                  <a:pt x="496341" y="174282"/>
                </a:lnTo>
              </a:path>
              <a:path w="843280" h="854075">
                <a:moveTo>
                  <a:pt x="488886" y="174663"/>
                </a:moveTo>
                <a:lnTo>
                  <a:pt x="481393" y="175056"/>
                </a:lnTo>
                <a:lnTo>
                  <a:pt x="475500" y="181267"/>
                </a:lnTo>
                <a:lnTo>
                  <a:pt x="475500" y="188772"/>
                </a:lnTo>
              </a:path>
              <a:path w="843280" h="854075">
                <a:moveTo>
                  <a:pt x="512927" y="170980"/>
                </a:moveTo>
                <a:lnTo>
                  <a:pt x="551103" y="170980"/>
                </a:lnTo>
              </a:path>
              <a:path w="843280" h="854075">
                <a:moveTo>
                  <a:pt x="505167" y="163220"/>
                </a:moveTo>
                <a:lnTo>
                  <a:pt x="505167" y="167500"/>
                </a:lnTo>
                <a:lnTo>
                  <a:pt x="508660" y="170980"/>
                </a:lnTo>
                <a:lnTo>
                  <a:pt x="512927" y="170980"/>
                </a:lnTo>
              </a:path>
              <a:path w="843280" h="854075">
                <a:moveTo>
                  <a:pt x="496341" y="174282"/>
                </a:moveTo>
                <a:lnTo>
                  <a:pt x="501269" y="174015"/>
                </a:lnTo>
                <a:lnTo>
                  <a:pt x="505167" y="169926"/>
                </a:lnTo>
                <a:lnTo>
                  <a:pt x="505167" y="164973"/>
                </a:lnTo>
              </a:path>
              <a:path w="843280" h="854075">
                <a:moveTo>
                  <a:pt x="575157" y="174663"/>
                </a:moveTo>
                <a:lnTo>
                  <a:pt x="567715" y="174282"/>
                </a:lnTo>
              </a:path>
              <a:path w="843280" h="854075">
                <a:moveTo>
                  <a:pt x="588530" y="188772"/>
                </a:moveTo>
                <a:lnTo>
                  <a:pt x="588530" y="181267"/>
                </a:lnTo>
                <a:lnTo>
                  <a:pt x="582650" y="175056"/>
                </a:lnTo>
                <a:lnTo>
                  <a:pt x="575157" y="174663"/>
                </a:lnTo>
              </a:path>
              <a:path w="843280" h="854075">
                <a:moveTo>
                  <a:pt x="558888" y="164973"/>
                </a:moveTo>
                <a:lnTo>
                  <a:pt x="558888" y="169926"/>
                </a:lnTo>
                <a:lnTo>
                  <a:pt x="562762" y="174015"/>
                </a:lnTo>
                <a:lnTo>
                  <a:pt x="567715" y="174282"/>
                </a:lnTo>
              </a:path>
              <a:path w="843280" h="854075">
                <a:moveTo>
                  <a:pt x="696620" y="170980"/>
                </a:moveTo>
                <a:lnTo>
                  <a:pt x="734783" y="170980"/>
                </a:lnTo>
              </a:path>
              <a:path w="843280" h="854075">
                <a:moveTo>
                  <a:pt x="688886" y="163220"/>
                </a:moveTo>
                <a:lnTo>
                  <a:pt x="688886" y="167500"/>
                </a:lnTo>
                <a:lnTo>
                  <a:pt x="692340" y="170980"/>
                </a:lnTo>
                <a:lnTo>
                  <a:pt x="696620" y="170980"/>
                </a:lnTo>
              </a:path>
              <a:path w="843280" h="854075">
                <a:moveTo>
                  <a:pt x="680021" y="174282"/>
                </a:moveTo>
                <a:lnTo>
                  <a:pt x="684974" y="174015"/>
                </a:lnTo>
                <a:lnTo>
                  <a:pt x="688886" y="169926"/>
                </a:lnTo>
                <a:lnTo>
                  <a:pt x="688886" y="164973"/>
                </a:lnTo>
              </a:path>
              <a:path w="843280" h="854075">
                <a:moveTo>
                  <a:pt x="672604" y="174663"/>
                </a:moveTo>
                <a:lnTo>
                  <a:pt x="680021" y="174282"/>
                </a:lnTo>
              </a:path>
              <a:path w="843280" h="854075">
                <a:moveTo>
                  <a:pt x="734783" y="170980"/>
                </a:moveTo>
                <a:lnTo>
                  <a:pt x="739089" y="170980"/>
                </a:lnTo>
                <a:lnTo>
                  <a:pt x="742581" y="167500"/>
                </a:lnTo>
                <a:lnTo>
                  <a:pt x="742581" y="163220"/>
                </a:lnTo>
              </a:path>
              <a:path w="843280" h="854075">
                <a:moveTo>
                  <a:pt x="680021" y="12268"/>
                </a:moveTo>
                <a:lnTo>
                  <a:pt x="654113" y="10909"/>
                </a:lnTo>
              </a:path>
              <a:path w="843280" h="854075">
                <a:moveTo>
                  <a:pt x="558888" y="23317"/>
                </a:moveTo>
                <a:lnTo>
                  <a:pt x="558888" y="19037"/>
                </a:lnTo>
                <a:lnTo>
                  <a:pt x="555383" y="15557"/>
                </a:lnTo>
                <a:lnTo>
                  <a:pt x="551103" y="15557"/>
                </a:lnTo>
              </a:path>
              <a:path w="843280" h="854075">
                <a:moveTo>
                  <a:pt x="496341" y="12268"/>
                </a:moveTo>
                <a:lnTo>
                  <a:pt x="470407" y="10909"/>
                </a:lnTo>
              </a:path>
              <a:path w="843280" h="854075">
                <a:moveTo>
                  <a:pt x="462292" y="7810"/>
                </a:moveTo>
                <a:lnTo>
                  <a:pt x="464629" y="9677"/>
                </a:lnTo>
                <a:lnTo>
                  <a:pt x="467486" y="10756"/>
                </a:lnTo>
                <a:lnTo>
                  <a:pt x="470407" y="10909"/>
                </a:lnTo>
              </a:path>
              <a:path w="843280" h="854075">
                <a:moveTo>
                  <a:pt x="512927" y="15557"/>
                </a:moveTo>
                <a:lnTo>
                  <a:pt x="551103" y="15557"/>
                </a:lnTo>
              </a:path>
              <a:path w="843280" h="854075">
                <a:moveTo>
                  <a:pt x="512927" y="15557"/>
                </a:moveTo>
                <a:lnTo>
                  <a:pt x="508660" y="15557"/>
                </a:lnTo>
                <a:lnTo>
                  <a:pt x="505167" y="19037"/>
                </a:lnTo>
                <a:lnTo>
                  <a:pt x="505167" y="23317"/>
                </a:lnTo>
              </a:path>
              <a:path w="843280" h="854075">
                <a:moveTo>
                  <a:pt x="505167" y="21564"/>
                </a:moveTo>
                <a:lnTo>
                  <a:pt x="505167" y="16611"/>
                </a:lnTo>
                <a:lnTo>
                  <a:pt x="501269" y="12522"/>
                </a:lnTo>
                <a:lnTo>
                  <a:pt x="496341" y="12268"/>
                </a:lnTo>
              </a:path>
              <a:path w="843280" h="854075">
                <a:moveTo>
                  <a:pt x="567715" y="12268"/>
                </a:moveTo>
                <a:lnTo>
                  <a:pt x="593623" y="10909"/>
                </a:lnTo>
              </a:path>
              <a:path w="843280" h="854075">
                <a:moveTo>
                  <a:pt x="593623" y="10909"/>
                </a:moveTo>
                <a:lnTo>
                  <a:pt x="596569" y="10756"/>
                </a:lnTo>
                <a:lnTo>
                  <a:pt x="599414" y="9677"/>
                </a:lnTo>
                <a:lnTo>
                  <a:pt x="601738" y="7810"/>
                </a:lnTo>
              </a:path>
              <a:path w="843280" h="854075">
                <a:moveTo>
                  <a:pt x="567715" y="12268"/>
                </a:moveTo>
                <a:lnTo>
                  <a:pt x="562762" y="12522"/>
                </a:lnTo>
                <a:lnTo>
                  <a:pt x="558888" y="16611"/>
                </a:lnTo>
                <a:lnTo>
                  <a:pt x="558888" y="21564"/>
                </a:lnTo>
              </a:path>
              <a:path w="843280" h="854075">
                <a:moveTo>
                  <a:pt x="646023" y="7810"/>
                </a:moveTo>
                <a:lnTo>
                  <a:pt x="648309" y="9677"/>
                </a:lnTo>
                <a:lnTo>
                  <a:pt x="651154" y="10756"/>
                </a:lnTo>
                <a:lnTo>
                  <a:pt x="654113" y="10909"/>
                </a:lnTo>
              </a:path>
              <a:path w="843280" h="854075">
                <a:moveTo>
                  <a:pt x="696620" y="15557"/>
                </a:moveTo>
                <a:lnTo>
                  <a:pt x="734783" y="15557"/>
                </a:lnTo>
              </a:path>
              <a:path w="843280" h="854075">
                <a:moveTo>
                  <a:pt x="696620" y="15557"/>
                </a:moveTo>
                <a:lnTo>
                  <a:pt x="692340" y="15557"/>
                </a:lnTo>
                <a:lnTo>
                  <a:pt x="688886" y="19037"/>
                </a:lnTo>
                <a:lnTo>
                  <a:pt x="688886" y="23317"/>
                </a:lnTo>
              </a:path>
              <a:path w="843280" h="854075">
                <a:moveTo>
                  <a:pt x="688886" y="21564"/>
                </a:moveTo>
                <a:lnTo>
                  <a:pt x="688886" y="16611"/>
                </a:lnTo>
                <a:lnTo>
                  <a:pt x="684974" y="12522"/>
                </a:lnTo>
                <a:lnTo>
                  <a:pt x="680021" y="12268"/>
                </a:lnTo>
              </a:path>
              <a:path w="843280" h="854075">
                <a:moveTo>
                  <a:pt x="742581" y="23317"/>
                </a:moveTo>
                <a:lnTo>
                  <a:pt x="742581" y="19037"/>
                </a:lnTo>
                <a:lnTo>
                  <a:pt x="739089" y="15557"/>
                </a:lnTo>
                <a:lnTo>
                  <a:pt x="734783" y="15557"/>
                </a:lnTo>
              </a:path>
              <a:path w="843280" h="854075">
                <a:moveTo>
                  <a:pt x="772248" y="818781"/>
                </a:moveTo>
                <a:lnTo>
                  <a:pt x="772248" y="35331"/>
                </a:lnTo>
              </a:path>
              <a:path w="843280" h="854075">
                <a:moveTo>
                  <a:pt x="842899" y="818172"/>
                </a:moveTo>
                <a:lnTo>
                  <a:pt x="842899" y="35331"/>
                </a:lnTo>
              </a:path>
            </a:pathLst>
          </a:custGeom>
          <a:ln w="10058">
            <a:solidFill>
              <a:srgbClr val="000000"/>
            </a:solidFill>
          </a:ln>
        </xdr:spPr>
      </xdr:sp>
      <xdr:pic>
        <xdr:nvPicPr>
          <xdr:cNvPr id="211" name="image81.png">
            <a:extLst>
              <a:ext uri="{FF2B5EF4-FFF2-40B4-BE49-F238E27FC236}">
                <a16:creationId xmlns:a16="http://schemas.microsoft.com/office/drawing/2014/main" id="{530D2FC3-E89E-0272-54A8-3CAFD8E7AF3D}"/>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1623555" y="1144027"/>
            <a:ext cx="179628" cy="198833"/>
          </a:xfrm>
          <a:prstGeom prst="rect">
            <a:avLst/>
          </a:prstGeom>
        </xdr:spPr>
      </xdr:pic>
      <xdr:pic>
        <xdr:nvPicPr>
          <xdr:cNvPr id="212" name="image82.png">
            <a:extLst>
              <a:ext uri="{FF2B5EF4-FFF2-40B4-BE49-F238E27FC236}">
                <a16:creationId xmlns:a16="http://schemas.microsoft.com/office/drawing/2014/main" id="{9E011032-143A-3462-BDB7-79D58601DB71}"/>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1623557" y="479309"/>
            <a:ext cx="179622" cy="198818"/>
          </a:xfrm>
          <a:prstGeom prst="rect">
            <a:avLst/>
          </a:prstGeom>
        </xdr:spPr>
      </xdr:pic>
      <xdr:sp macro="" textlink="">
        <xdr:nvSpPr>
          <xdr:cNvPr id="213" name="Shape 712">
            <a:extLst>
              <a:ext uri="{FF2B5EF4-FFF2-40B4-BE49-F238E27FC236}">
                <a16:creationId xmlns:a16="http://schemas.microsoft.com/office/drawing/2014/main" id="{8EB35E8D-0C46-8CD0-F54C-660245DAFAF8}"/>
              </a:ext>
            </a:extLst>
          </xdr:cNvPr>
          <xdr:cNvSpPr/>
        </xdr:nvSpPr>
        <xdr:spPr>
          <a:xfrm>
            <a:off x="41846" y="42429"/>
            <a:ext cx="1984375" cy="1562735"/>
          </a:xfrm>
          <a:custGeom>
            <a:avLst/>
            <a:gdLst/>
            <a:ahLst/>
            <a:cxnLst/>
            <a:rect l="0" t="0" r="0" b="0"/>
            <a:pathLst>
              <a:path w="1984375" h="1562735">
                <a:moveTo>
                  <a:pt x="484543" y="407111"/>
                </a:moveTo>
                <a:lnTo>
                  <a:pt x="484543" y="171170"/>
                </a:lnTo>
              </a:path>
              <a:path w="1984375" h="1562735">
                <a:moveTo>
                  <a:pt x="444982" y="424408"/>
                </a:moveTo>
                <a:lnTo>
                  <a:pt x="444982" y="0"/>
                </a:lnTo>
              </a:path>
              <a:path w="1984375" h="1562735">
                <a:moveTo>
                  <a:pt x="541058" y="227698"/>
                </a:moveTo>
                <a:lnTo>
                  <a:pt x="626097" y="227698"/>
                </a:lnTo>
              </a:path>
              <a:path w="1984375" h="1562735">
                <a:moveTo>
                  <a:pt x="388454" y="227698"/>
                </a:moveTo>
                <a:lnTo>
                  <a:pt x="215087" y="227698"/>
                </a:lnTo>
              </a:path>
              <a:path w="1984375" h="1562735">
                <a:moveTo>
                  <a:pt x="1717535" y="407111"/>
                </a:moveTo>
                <a:lnTo>
                  <a:pt x="1717535" y="171170"/>
                </a:lnTo>
              </a:path>
              <a:path w="1984375" h="1562735">
                <a:moveTo>
                  <a:pt x="1757083" y="424408"/>
                </a:moveTo>
                <a:lnTo>
                  <a:pt x="1757083" y="0"/>
                </a:lnTo>
              </a:path>
              <a:path w="1984375" h="1562735">
                <a:moveTo>
                  <a:pt x="1661020" y="227698"/>
                </a:moveTo>
                <a:lnTo>
                  <a:pt x="1575968" y="227698"/>
                </a:lnTo>
              </a:path>
              <a:path w="1984375" h="1562735">
                <a:moveTo>
                  <a:pt x="1813598" y="227698"/>
                </a:moveTo>
                <a:lnTo>
                  <a:pt x="1983879" y="227698"/>
                </a:lnTo>
              </a:path>
              <a:path w="1984375" h="1562735">
                <a:moveTo>
                  <a:pt x="444982" y="227698"/>
                </a:moveTo>
                <a:lnTo>
                  <a:pt x="484543" y="227698"/>
                </a:lnTo>
              </a:path>
              <a:path w="1984375" h="1562735">
                <a:moveTo>
                  <a:pt x="1717535" y="227698"/>
                </a:moveTo>
                <a:lnTo>
                  <a:pt x="1757083" y="227698"/>
                </a:lnTo>
              </a:path>
              <a:path w="1984375" h="1562735">
                <a:moveTo>
                  <a:pt x="493026" y="442074"/>
                </a:moveTo>
                <a:lnTo>
                  <a:pt x="0" y="442074"/>
                </a:lnTo>
              </a:path>
              <a:path w="1984375" h="1562735">
                <a:moveTo>
                  <a:pt x="493026" y="1295552"/>
                </a:moveTo>
                <a:lnTo>
                  <a:pt x="0" y="1295552"/>
                </a:lnTo>
              </a:path>
              <a:path w="1984375" h="1562735">
                <a:moveTo>
                  <a:pt x="56527" y="498589"/>
                </a:moveTo>
                <a:lnTo>
                  <a:pt x="56527" y="1239024"/>
                </a:lnTo>
              </a:path>
              <a:path w="1984375" h="1562735">
                <a:moveTo>
                  <a:pt x="484543" y="407111"/>
                </a:moveTo>
                <a:lnTo>
                  <a:pt x="484543" y="171170"/>
                </a:lnTo>
              </a:path>
              <a:path w="1984375" h="1562735">
                <a:moveTo>
                  <a:pt x="1717535" y="407111"/>
                </a:moveTo>
                <a:lnTo>
                  <a:pt x="1717535" y="171170"/>
                </a:lnTo>
              </a:path>
              <a:path w="1984375" h="1562735">
                <a:moveTo>
                  <a:pt x="541058" y="56527"/>
                </a:moveTo>
                <a:lnTo>
                  <a:pt x="1661020" y="56527"/>
                </a:lnTo>
              </a:path>
              <a:path w="1984375" h="1562735">
                <a:moveTo>
                  <a:pt x="388454" y="1201166"/>
                </a:moveTo>
                <a:lnTo>
                  <a:pt x="169570" y="1201166"/>
                </a:lnTo>
              </a:path>
              <a:path w="1984375" h="1562735">
                <a:moveTo>
                  <a:pt x="388454" y="534200"/>
                </a:moveTo>
                <a:lnTo>
                  <a:pt x="169570" y="534200"/>
                </a:lnTo>
              </a:path>
              <a:path w="1984375" h="1562735">
                <a:moveTo>
                  <a:pt x="226098" y="1144651"/>
                </a:moveTo>
                <a:lnTo>
                  <a:pt x="226098" y="590727"/>
                </a:lnTo>
              </a:path>
              <a:path w="1984375" h="1562735">
                <a:moveTo>
                  <a:pt x="614540" y="1328597"/>
                </a:moveTo>
                <a:lnTo>
                  <a:pt x="614540" y="1562417"/>
                </a:lnTo>
              </a:path>
              <a:path w="1984375" h="1562735">
                <a:moveTo>
                  <a:pt x="798258" y="1328597"/>
                </a:moveTo>
                <a:lnTo>
                  <a:pt x="798258" y="1562417"/>
                </a:lnTo>
              </a:path>
              <a:path w="1984375" h="1562735">
                <a:moveTo>
                  <a:pt x="614832" y="1505902"/>
                </a:moveTo>
                <a:lnTo>
                  <a:pt x="797331" y="1505902"/>
                </a:lnTo>
              </a:path>
              <a:path w="1984375" h="1562735">
                <a:moveTo>
                  <a:pt x="473202" y="1505902"/>
                </a:moveTo>
                <a:lnTo>
                  <a:pt x="543890" y="1505902"/>
                </a:lnTo>
              </a:path>
              <a:path w="1984375" h="1562735">
                <a:moveTo>
                  <a:pt x="871118" y="1505902"/>
                </a:moveTo>
                <a:lnTo>
                  <a:pt x="941806" y="1505902"/>
                </a:lnTo>
              </a:path>
              <a:path w="1984375" h="1562735">
                <a:moveTo>
                  <a:pt x="1165618" y="1328597"/>
                </a:moveTo>
                <a:lnTo>
                  <a:pt x="1165618" y="1562417"/>
                </a:lnTo>
              </a:path>
              <a:path w="1984375" h="1562735">
                <a:moveTo>
                  <a:pt x="1219352" y="1328597"/>
                </a:moveTo>
                <a:lnTo>
                  <a:pt x="1219352" y="1562417"/>
                </a:lnTo>
              </a:path>
              <a:path w="1984375" h="1562735">
                <a:moveTo>
                  <a:pt x="1086459" y="1505902"/>
                </a:moveTo>
                <a:lnTo>
                  <a:pt x="1029931" y="1505902"/>
                </a:lnTo>
              </a:path>
              <a:path w="1984375" h="1562735">
                <a:moveTo>
                  <a:pt x="1275842" y="1505902"/>
                </a:moveTo>
                <a:lnTo>
                  <a:pt x="1475003" y="1505902"/>
                </a:lnTo>
              </a:path>
              <a:path w="1984375" h="1562735">
                <a:moveTo>
                  <a:pt x="1165618" y="1505902"/>
                </a:moveTo>
                <a:lnTo>
                  <a:pt x="1219352" y="1505902"/>
                </a:lnTo>
              </a:path>
            </a:pathLst>
          </a:custGeom>
          <a:ln w="6032">
            <a:solidFill>
              <a:srgbClr val="000000"/>
            </a:solidFill>
          </a:ln>
        </xdr:spPr>
      </xdr:sp>
      <xdr:sp macro="" textlink="">
        <xdr:nvSpPr>
          <xdr:cNvPr id="214" name="Shape 713">
            <a:extLst>
              <a:ext uri="{FF2B5EF4-FFF2-40B4-BE49-F238E27FC236}">
                <a16:creationId xmlns:a16="http://schemas.microsoft.com/office/drawing/2014/main" id="{7E2BA2A8-255B-7BDC-CD24-47395D61C40A}"/>
              </a:ext>
            </a:extLst>
          </xdr:cNvPr>
          <xdr:cNvSpPr/>
        </xdr:nvSpPr>
        <xdr:spPr>
          <a:xfrm>
            <a:off x="-5" y="0"/>
            <a:ext cx="2005964" cy="1568450"/>
          </a:xfrm>
          <a:custGeom>
            <a:avLst/>
            <a:gdLst/>
            <a:ahLst/>
            <a:cxnLst/>
            <a:rect l="0" t="0" r="0" b="0"/>
            <a:pathLst>
              <a:path w="2005964" h="1568450">
                <a:moveTo>
                  <a:pt x="71856" y="881265"/>
                </a:moveTo>
                <a:lnTo>
                  <a:pt x="0" y="881265"/>
                </a:lnTo>
                <a:lnTo>
                  <a:pt x="0" y="890816"/>
                </a:lnTo>
                <a:lnTo>
                  <a:pt x="30886" y="890816"/>
                </a:lnTo>
                <a:lnTo>
                  <a:pt x="30886" y="928649"/>
                </a:lnTo>
                <a:lnTo>
                  <a:pt x="0" y="928649"/>
                </a:lnTo>
                <a:lnTo>
                  <a:pt x="0" y="938225"/>
                </a:lnTo>
                <a:lnTo>
                  <a:pt x="71856" y="938225"/>
                </a:lnTo>
                <a:lnTo>
                  <a:pt x="71856" y="928649"/>
                </a:lnTo>
                <a:lnTo>
                  <a:pt x="38950" y="928649"/>
                </a:lnTo>
                <a:lnTo>
                  <a:pt x="38950" y="890816"/>
                </a:lnTo>
                <a:lnTo>
                  <a:pt x="71856" y="890816"/>
                </a:lnTo>
                <a:lnTo>
                  <a:pt x="71856" y="881265"/>
                </a:lnTo>
                <a:close/>
              </a:path>
              <a:path w="2005964" h="1568450">
                <a:moveTo>
                  <a:pt x="118338" y="1238135"/>
                </a:moveTo>
                <a:lnTo>
                  <a:pt x="78409" y="1238135"/>
                </a:lnTo>
                <a:lnTo>
                  <a:pt x="98361" y="1337995"/>
                </a:lnTo>
                <a:lnTo>
                  <a:pt x="118338" y="1238135"/>
                </a:lnTo>
                <a:close/>
              </a:path>
              <a:path w="2005964" h="1568450">
                <a:moveTo>
                  <a:pt x="118338" y="584352"/>
                </a:moveTo>
                <a:lnTo>
                  <a:pt x="98361" y="484505"/>
                </a:lnTo>
                <a:lnTo>
                  <a:pt x="78409" y="584352"/>
                </a:lnTo>
                <a:lnTo>
                  <a:pt x="118338" y="584352"/>
                </a:lnTo>
                <a:close/>
              </a:path>
              <a:path w="2005964" h="1568450">
                <a:moveTo>
                  <a:pt x="241414" y="881354"/>
                </a:moveTo>
                <a:lnTo>
                  <a:pt x="169557" y="881354"/>
                </a:lnTo>
                <a:lnTo>
                  <a:pt x="169557" y="890409"/>
                </a:lnTo>
                <a:lnTo>
                  <a:pt x="227838" y="890409"/>
                </a:lnTo>
                <a:lnTo>
                  <a:pt x="227838" y="890625"/>
                </a:lnTo>
                <a:lnTo>
                  <a:pt x="169557" y="928471"/>
                </a:lnTo>
                <a:lnTo>
                  <a:pt x="169557" y="938631"/>
                </a:lnTo>
                <a:lnTo>
                  <a:pt x="241414" y="938631"/>
                </a:lnTo>
                <a:lnTo>
                  <a:pt x="241414" y="929576"/>
                </a:lnTo>
                <a:lnTo>
                  <a:pt x="183743" y="929576"/>
                </a:lnTo>
                <a:lnTo>
                  <a:pt x="183743" y="929373"/>
                </a:lnTo>
                <a:lnTo>
                  <a:pt x="241414" y="891832"/>
                </a:lnTo>
                <a:lnTo>
                  <a:pt x="241414" y="881354"/>
                </a:lnTo>
                <a:close/>
              </a:path>
              <a:path w="2005964" h="1568450">
                <a:moveTo>
                  <a:pt x="287896" y="1143736"/>
                </a:moveTo>
                <a:lnTo>
                  <a:pt x="247967" y="1143736"/>
                </a:lnTo>
                <a:lnTo>
                  <a:pt x="267944" y="1243596"/>
                </a:lnTo>
                <a:lnTo>
                  <a:pt x="287896" y="1143736"/>
                </a:lnTo>
                <a:close/>
              </a:path>
              <a:path w="2005964" h="1568450">
                <a:moveTo>
                  <a:pt x="287896" y="676490"/>
                </a:moveTo>
                <a:lnTo>
                  <a:pt x="267944" y="576630"/>
                </a:lnTo>
                <a:lnTo>
                  <a:pt x="247967" y="676490"/>
                </a:lnTo>
                <a:lnTo>
                  <a:pt x="287896" y="676490"/>
                </a:lnTo>
                <a:close/>
              </a:path>
              <a:path w="2005964" h="1568450">
                <a:moveTo>
                  <a:pt x="304711" y="171615"/>
                </a:moveTo>
                <a:lnTo>
                  <a:pt x="298170" y="171615"/>
                </a:lnTo>
                <a:lnTo>
                  <a:pt x="296252" y="182384"/>
                </a:lnTo>
                <a:lnTo>
                  <a:pt x="287388" y="185013"/>
                </a:lnTo>
                <a:lnTo>
                  <a:pt x="277609" y="185013"/>
                </a:lnTo>
                <a:lnTo>
                  <a:pt x="277609" y="191858"/>
                </a:lnTo>
                <a:lnTo>
                  <a:pt x="296151" y="191858"/>
                </a:lnTo>
                <a:lnTo>
                  <a:pt x="296151" y="243039"/>
                </a:lnTo>
                <a:lnTo>
                  <a:pt x="304711" y="243039"/>
                </a:lnTo>
                <a:lnTo>
                  <a:pt x="304711" y="171615"/>
                </a:lnTo>
                <a:close/>
              </a:path>
              <a:path w="2005964" h="1568450">
                <a:moveTo>
                  <a:pt x="370522" y="213906"/>
                </a:moveTo>
                <a:lnTo>
                  <a:pt x="366293" y="207060"/>
                </a:lnTo>
                <a:lnTo>
                  <a:pt x="357632" y="205143"/>
                </a:lnTo>
                <a:lnTo>
                  <a:pt x="357632" y="204939"/>
                </a:lnTo>
                <a:lnTo>
                  <a:pt x="363067" y="202425"/>
                </a:lnTo>
                <a:lnTo>
                  <a:pt x="367499" y="196989"/>
                </a:lnTo>
                <a:lnTo>
                  <a:pt x="367499" y="190728"/>
                </a:lnTo>
                <a:lnTo>
                  <a:pt x="365836" y="182168"/>
                </a:lnTo>
                <a:lnTo>
                  <a:pt x="361251" y="176212"/>
                </a:lnTo>
                <a:lnTo>
                  <a:pt x="354355" y="172732"/>
                </a:lnTo>
                <a:lnTo>
                  <a:pt x="345732" y="171602"/>
                </a:lnTo>
                <a:lnTo>
                  <a:pt x="336321" y="173291"/>
                </a:lnTo>
                <a:lnTo>
                  <a:pt x="329526" y="178028"/>
                </a:lnTo>
                <a:lnTo>
                  <a:pt x="325310" y="185318"/>
                </a:lnTo>
                <a:lnTo>
                  <a:pt x="323684" y="194665"/>
                </a:lnTo>
                <a:lnTo>
                  <a:pt x="332232" y="194665"/>
                </a:lnTo>
                <a:lnTo>
                  <a:pt x="332333" y="186296"/>
                </a:lnTo>
                <a:lnTo>
                  <a:pt x="336359" y="179146"/>
                </a:lnTo>
                <a:lnTo>
                  <a:pt x="352983" y="179146"/>
                </a:lnTo>
                <a:lnTo>
                  <a:pt x="358432" y="183172"/>
                </a:lnTo>
                <a:lnTo>
                  <a:pt x="358432" y="198386"/>
                </a:lnTo>
                <a:lnTo>
                  <a:pt x="352069" y="202323"/>
                </a:lnTo>
                <a:lnTo>
                  <a:pt x="341096" y="202222"/>
                </a:lnTo>
                <a:lnTo>
                  <a:pt x="341096" y="209473"/>
                </a:lnTo>
                <a:lnTo>
                  <a:pt x="344512" y="209169"/>
                </a:lnTo>
                <a:lnTo>
                  <a:pt x="354698" y="209169"/>
                </a:lnTo>
                <a:lnTo>
                  <a:pt x="361467" y="213906"/>
                </a:lnTo>
                <a:lnTo>
                  <a:pt x="361467" y="231533"/>
                </a:lnTo>
                <a:lnTo>
                  <a:pt x="354304" y="236664"/>
                </a:lnTo>
                <a:lnTo>
                  <a:pt x="336169" y="236664"/>
                </a:lnTo>
                <a:lnTo>
                  <a:pt x="331038" y="230225"/>
                </a:lnTo>
                <a:lnTo>
                  <a:pt x="330720" y="220954"/>
                </a:lnTo>
                <a:lnTo>
                  <a:pt x="322173" y="220954"/>
                </a:lnTo>
                <a:lnTo>
                  <a:pt x="323710" y="230797"/>
                </a:lnTo>
                <a:lnTo>
                  <a:pt x="328485" y="238112"/>
                </a:lnTo>
                <a:lnTo>
                  <a:pt x="336054" y="242658"/>
                </a:lnTo>
                <a:lnTo>
                  <a:pt x="345935" y="244233"/>
                </a:lnTo>
                <a:lnTo>
                  <a:pt x="355422" y="242836"/>
                </a:lnTo>
                <a:lnTo>
                  <a:pt x="363245" y="238709"/>
                </a:lnTo>
                <a:lnTo>
                  <a:pt x="368554" y="231902"/>
                </a:lnTo>
                <a:lnTo>
                  <a:pt x="370522" y="222465"/>
                </a:lnTo>
                <a:lnTo>
                  <a:pt x="370522" y="213906"/>
                </a:lnTo>
                <a:close/>
              </a:path>
              <a:path w="2005964" h="1568450">
                <a:moveTo>
                  <a:pt x="486829" y="270141"/>
                </a:moveTo>
                <a:lnTo>
                  <a:pt x="386981" y="250164"/>
                </a:lnTo>
                <a:lnTo>
                  <a:pt x="386981" y="290093"/>
                </a:lnTo>
                <a:lnTo>
                  <a:pt x="486829" y="270141"/>
                </a:lnTo>
                <a:close/>
              </a:path>
              <a:path w="2005964" h="1568450">
                <a:moveTo>
                  <a:pt x="583450" y="78994"/>
                </a:moveTo>
                <a:lnTo>
                  <a:pt x="483590" y="98971"/>
                </a:lnTo>
                <a:lnTo>
                  <a:pt x="583450" y="118922"/>
                </a:lnTo>
                <a:lnTo>
                  <a:pt x="583450" y="78994"/>
                </a:lnTo>
                <a:close/>
              </a:path>
              <a:path w="2005964" h="1568450">
                <a:moveTo>
                  <a:pt x="626249" y="250164"/>
                </a:moveTo>
                <a:lnTo>
                  <a:pt x="526389" y="270141"/>
                </a:lnTo>
                <a:lnTo>
                  <a:pt x="626249" y="290093"/>
                </a:lnTo>
                <a:lnTo>
                  <a:pt x="626249" y="250164"/>
                </a:lnTo>
                <a:close/>
              </a:path>
              <a:path w="2005964" h="1568450">
                <a:moveTo>
                  <a:pt x="652119" y="1548358"/>
                </a:moveTo>
                <a:lnTo>
                  <a:pt x="552259" y="1528368"/>
                </a:lnTo>
                <a:lnTo>
                  <a:pt x="552259" y="1568297"/>
                </a:lnTo>
                <a:lnTo>
                  <a:pt x="652119" y="1548358"/>
                </a:lnTo>
                <a:close/>
              </a:path>
              <a:path w="2005964" h="1568450">
                <a:moveTo>
                  <a:pt x="746836" y="1498981"/>
                </a:moveTo>
                <a:lnTo>
                  <a:pt x="745490" y="1490726"/>
                </a:lnTo>
                <a:lnTo>
                  <a:pt x="745464" y="1490522"/>
                </a:lnTo>
                <a:lnTo>
                  <a:pt x="745337" y="1489798"/>
                </a:lnTo>
                <a:lnTo>
                  <a:pt x="741578" y="1483372"/>
                </a:lnTo>
                <a:lnTo>
                  <a:pt x="741045" y="1482458"/>
                </a:lnTo>
                <a:lnTo>
                  <a:pt x="737768" y="1480146"/>
                </a:lnTo>
                <a:lnTo>
                  <a:pt x="737768" y="1490726"/>
                </a:lnTo>
                <a:lnTo>
                  <a:pt x="737768" y="1508036"/>
                </a:lnTo>
                <a:lnTo>
                  <a:pt x="732637" y="1515376"/>
                </a:lnTo>
                <a:lnTo>
                  <a:pt x="714019" y="1515376"/>
                </a:lnTo>
                <a:lnTo>
                  <a:pt x="708596" y="1508340"/>
                </a:lnTo>
                <a:lnTo>
                  <a:pt x="708596" y="1490522"/>
                </a:lnTo>
                <a:lnTo>
                  <a:pt x="712508" y="1485176"/>
                </a:lnTo>
                <a:lnTo>
                  <a:pt x="713828" y="1483372"/>
                </a:lnTo>
                <a:lnTo>
                  <a:pt x="733145" y="1483372"/>
                </a:lnTo>
                <a:lnTo>
                  <a:pt x="737768" y="1490726"/>
                </a:lnTo>
                <a:lnTo>
                  <a:pt x="737768" y="1480146"/>
                </a:lnTo>
                <a:lnTo>
                  <a:pt x="734174" y="1477594"/>
                </a:lnTo>
                <a:lnTo>
                  <a:pt x="724992" y="1475828"/>
                </a:lnTo>
                <a:lnTo>
                  <a:pt x="717245" y="1475828"/>
                </a:lnTo>
                <a:lnTo>
                  <a:pt x="711212" y="1478661"/>
                </a:lnTo>
                <a:lnTo>
                  <a:pt x="707301" y="1484985"/>
                </a:lnTo>
                <a:lnTo>
                  <a:pt x="707186" y="1485176"/>
                </a:lnTo>
                <a:lnTo>
                  <a:pt x="706983" y="1484985"/>
                </a:lnTo>
                <a:lnTo>
                  <a:pt x="707796" y="1476133"/>
                </a:lnTo>
                <a:lnTo>
                  <a:pt x="710311" y="1467345"/>
                </a:lnTo>
                <a:lnTo>
                  <a:pt x="715479" y="1460614"/>
                </a:lnTo>
                <a:lnTo>
                  <a:pt x="724281" y="1457921"/>
                </a:lnTo>
                <a:lnTo>
                  <a:pt x="731024" y="1457921"/>
                </a:lnTo>
                <a:lnTo>
                  <a:pt x="735469" y="1462138"/>
                </a:lnTo>
                <a:lnTo>
                  <a:pt x="736269" y="1468589"/>
                </a:lnTo>
                <a:lnTo>
                  <a:pt x="744829" y="1468589"/>
                </a:lnTo>
                <a:lnTo>
                  <a:pt x="724700" y="1450365"/>
                </a:lnTo>
                <a:lnTo>
                  <a:pt x="712012" y="1453591"/>
                </a:lnTo>
                <a:lnTo>
                  <a:pt x="703935" y="1462138"/>
                </a:lnTo>
                <a:lnTo>
                  <a:pt x="699668" y="1474355"/>
                </a:lnTo>
                <a:lnTo>
                  <a:pt x="698436" y="1488617"/>
                </a:lnTo>
                <a:lnTo>
                  <a:pt x="699198" y="1498981"/>
                </a:lnTo>
                <a:lnTo>
                  <a:pt x="699300" y="1500301"/>
                </a:lnTo>
                <a:lnTo>
                  <a:pt x="702779" y="1511388"/>
                </a:lnTo>
                <a:lnTo>
                  <a:pt x="710222" y="1519669"/>
                </a:lnTo>
                <a:lnTo>
                  <a:pt x="722985" y="1522920"/>
                </a:lnTo>
                <a:lnTo>
                  <a:pt x="734301" y="1520647"/>
                </a:lnTo>
                <a:lnTo>
                  <a:pt x="740968" y="1515376"/>
                </a:lnTo>
                <a:lnTo>
                  <a:pt x="741654" y="1514843"/>
                </a:lnTo>
                <a:lnTo>
                  <a:pt x="745629" y="1507096"/>
                </a:lnTo>
                <a:lnTo>
                  <a:pt x="746836" y="1498981"/>
                </a:lnTo>
                <a:close/>
              </a:path>
              <a:path w="2005964" h="1568450">
                <a:moveTo>
                  <a:pt x="801789" y="1499171"/>
                </a:moveTo>
                <a:lnTo>
                  <a:pt x="799973" y="1488478"/>
                </a:lnTo>
                <a:lnTo>
                  <a:pt x="795007" y="1480845"/>
                </a:lnTo>
                <a:lnTo>
                  <a:pt x="787679" y="1476260"/>
                </a:lnTo>
                <a:lnTo>
                  <a:pt x="778725" y="1474724"/>
                </a:lnTo>
                <a:lnTo>
                  <a:pt x="773912" y="1474724"/>
                </a:lnTo>
                <a:lnTo>
                  <a:pt x="768565" y="1476336"/>
                </a:lnTo>
                <a:lnTo>
                  <a:pt x="765441" y="1479854"/>
                </a:lnTo>
                <a:lnTo>
                  <a:pt x="765238" y="1479651"/>
                </a:lnTo>
                <a:lnTo>
                  <a:pt x="769073" y="1459115"/>
                </a:lnTo>
                <a:lnTo>
                  <a:pt x="797852" y="1459115"/>
                </a:lnTo>
                <a:lnTo>
                  <a:pt x="797852" y="1451571"/>
                </a:lnTo>
                <a:lnTo>
                  <a:pt x="762622" y="1451571"/>
                </a:lnTo>
                <a:lnTo>
                  <a:pt x="755980" y="1488617"/>
                </a:lnTo>
                <a:lnTo>
                  <a:pt x="763333" y="1489011"/>
                </a:lnTo>
                <a:lnTo>
                  <a:pt x="766660" y="1484985"/>
                </a:lnTo>
                <a:lnTo>
                  <a:pt x="771182" y="1482267"/>
                </a:lnTo>
                <a:lnTo>
                  <a:pt x="786180" y="1482267"/>
                </a:lnTo>
                <a:lnTo>
                  <a:pt x="792721" y="1489011"/>
                </a:lnTo>
                <a:lnTo>
                  <a:pt x="792721" y="1509852"/>
                </a:lnTo>
                <a:lnTo>
                  <a:pt x="785787" y="1515376"/>
                </a:lnTo>
                <a:lnTo>
                  <a:pt x="769073" y="1515376"/>
                </a:lnTo>
                <a:lnTo>
                  <a:pt x="763143" y="1509852"/>
                </a:lnTo>
                <a:lnTo>
                  <a:pt x="762622" y="1502498"/>
                </a:lnTo>
                <a:lnTo>
                  <a:pt x="754075" y="1502498"/>
                </a:lnTo>
                <a:lnTo>
                  <a:pt x="756018" y="1511122"/>
                </a:lnTo>
                <a:lnTo>
                  <a:pt x="760920" y="1517548"/>
                </a:lnTo>
                <a:lnTo>
                  <a:pt x="768083" y="1521548"/>
                </a:lnTo>
                <a:lnTo>
                  <a:pt x="776820" y="1522920"/>
                </a:lnTo>
                <a:lnTo>
                  <a:pt x="787730" y="1520913"/>
                </a:lnTo>
                <a:lnTo>
                  <a:pt x="795540" y="1515579"/>
                </a:lnTo>
                <a:lnTo>
                  <a:pt x="800227" y="1507985"/>
                </a:lnTo>
                <a:lnTo>
                  <a:pt x="801789" y="1499171"/>
                </a:lnTo>
                <a:close/>
              </a:path>
              <a:path w="2005964" h="1568450">
                <a:moveTo>
                  <a:pt x="941882" y="1528368"/>
                </a:moveTo>
                <a:lnTo>
                  <a:pt x="842022" y="1548358"/>
                </a:lnTo>
                <a:lnTo>
                  <a:pt x="941882" y="1568297"/>
                </a:lnTo>
                <a:lnTo>
                  <a:pt x="941882" y="1528368"/>
                </a:lnTo>
                <a:close/>
              </a:path>
              <a:path w="2005964" h="1568450">
                <a:moveTo>
                  <a:pt x="1171105" y="63804"/>
                </a:moveTo>
                <a:lnTo>
                  <a:pt x="1133068" y="63804"/>
                </a:lnTo>
                <a:lnTo>
                  <a:pt x="1133068" y="0"/>
                </a:lnTo>
                <a:lnTo>
                  <a:pt x="1123492" y="0"/>
                </a:lnTo>
                <a:lnTo>
                  <a:pt x="1123492" y="71856"/>
                </a:lnTo>
                <a:lnTo>
                  <a:pt x="1171105" y="71856"/>
                </a:lnTo>
                <a:lnTo>
                  <a:pt x="1171105" y="63804"/>
                </a:lnTo>
                <a:close/>
              </a:path>
              <a:path w="2005964" h="1568450">
                <a:moveTo>
                  <a:pt x="1207477" y="1548358"/>
                </a:moveTo>
                <a:lnTo>
                  <a:pt x="1107617" y="1528368"/>
                </a:lnTo>
                <a:lnTo>
                  <a:pt x="1107617" y="1568297"/>
                </a:lnTo>
                <a:lnTo>
                  <a:pt x="1207477" y="1548358"/>
                </a:lnTo>
                <a:close/>
              </a:path>
              <a:path w="2005964" h="1568450">
                <a:moveTo>
                  <a:pt x="1361046" y="1528368"/>
                </a:moveTo>
                <a:lnTo>
                  <a:pt x="1261186" y="1548358"/>
                </a:lnTo>
                <a:lnTo>
                  <a:pt x="1361046" y="1568297"/>
                </a:lnTo>
                <a:lnTo>
                  <a:pt x="1361046" y="1528368"/>
                </a:lnTo>
                <a:close/>
              </a:path>
              <a:path w="2005964" h="1568450">
                <a:moveTo>
                  <a:pt x="1410119" y="1450365"/>
                </a:moveTo>
                <a:lnTo>
                  <a:pt x="1403578" y="1450365"/>
                </a:lnTo>
                <a:lnTo>
                  <a:pt x="1401660" y="1461147"/>
                </a:lnTo>
                <a:lnTo>
                  <a:pt x="1392796" y="1463751"/>
                </a:lnTo>
                <a:lnTo>
                  <a:pt x="1383030" y="1463751"/>
                </a:lnTo>
                <a:lnTo>
                  <a:pt x="1383030" y="1470596"/>
                </a:lnTo>
                <a:lnTo>
                  <a:pt x="1401572" y="1470596"/>
                </a:lnTo>
                <a:lnTo>
                  <a:pt x="1401572" y="1521726"/>
                </a:lnTo>
                <a:lnTo>
                  <a:pt x="1410119" y="1521726"/>
                </a:lnTo>
                <a:lnTo>
                  <a:pt x="1410119" y="1450365"/>
                </a:lnTo>
                <a:close/>
              </a:path>
              <a:path w="2005964" h="1568450">
                <a:moveTo>
                  <a:pt x="1481569" y="1484490"/>
                </a:moveTo>
                <a:lnTo>
                  <a:pt x="1479613" y="1467777"/>
                </a:lnTo>
                <a:lnTo>
                  <a:pt x="1474635" y="1457921"/>
                </a:lnTo>
                <a:lnTo>
                  <a:pt x="1474330" y="1457312"/>
                </a:lnTo>
                <a:lnTo>
                  <a:pt x="1471409" y="1455293"/>
                </a:lnTo>
                <a:lnTo>
                  <a:pt x="1471409" y="1465465"/>
                </a:lnTo>
                <a:lnTo>
                  <a:pt x="1471409" y="1482661"/>
                </a:lnTo>
                <a:lnTo>
                  <a:pt x="1465770" y="1489913"/>
                </a:lnTo>
                <a:lnTo>
                  <a:pt x="1448562" y="1489913"/>
                </a:lnTo>
                <a:lnTo>
                  <a:pt x="1442720" y="1482661"/>
                </a:lnTo>
                <a:lnTo>
                  <a:pt x="1442720" y="1466075"/>
                </a:lnTo>
                <a:lnTo>
                  <a:pt x="1446542" y="1457921"/>
                </a:lnTo>
                <a:lnTo>
                  <a:pt x="1466278" y="1457921"/>
                </a:lnTo>
                <a:lnTo>
                  <a:pt x="1471409" y="1465465"/>
                </a:lnTo>
                <a:lnTo>
                  <a:pt x="1471409" y="1455293"/>
                </a:lnTo>
                <a:lnTo>
                  <a:pt x="1466545" y="1451902"/>
                </a:lnTo>
                <a:lnTo>
                  <a:pt x="1457109" y="1450365"/>
                </a:lnTo>
                <a:lnTo>
                  <a:pt x="1447634" y="1452067"/>
                </a:lnTo>
                <a:lnTo>
                  <a:pt x="1440218" y="1456817"/>
                </a:lnTo>
                <a:lnTo>
                  <a:pt x="1435392" y="1464170"/>
                </a:lnTo>
                <a:lnTo>
                  <a:pt x="1433664" y="1473619"/>
                </a:lnTo>
                <a:lnTo>
                  <a:pt x="1435049" y="1482661"/>
                </a:lnTo>
                <a:lnTo>
                  <a:pt x="1435150" y="1483283"/>
                </a:lnTo>
                <a:lnTo>
                  <a:pt x="1439494" y="1490827"/>
                </a:lnTo>
                <a:lnTo>
                  <a:pt x="1446568" y="1495729"/>
                </a:lnTo>
                <a:lnTo>
                  <a:pt x="1456207" y="1497469"/>
                </a:lnTo>
                <a:lnTo>
                  <a:pt x="1463154" y="1497469"/>
                </a:lnTo>
                <a:lnTo>
                  <a:pt x="1469504" y="1493659"/>
                </a:lnTo>
                <a:lnTo>
                  <a:pt x="1471485" y="1489913"/>
                </a:lnTo>
                <a:lnTo>
                  <a:pt x="1472590" y="1487817"/>
                </a:lnTo>
                <a:lnTo>
                  <a:pt x="1472704" y="1487601"/>
                </a:lnTo>
                <a:lnTo>
                  <a:pt x="1456804" y="1515376"/>
                </a:lnTo>
                <a:lnTo>
                  <a:pt x="1449959" y="1515376"/>
                </a:lnTo>
                <a:lnTo>
                  <a:pt x="1444332" y="1511465"/>
                </a:lnTo>
                <a:lnTo>
                  <a:pt x="1443723" y="1504505"/>
                </a:lnTo>
                <a:lnTo>
                  <a:pt x="1435176" y="1504505"/>
                </a:lnTo>
                <a:lnTo>
                  <a:pt x="1437335" y="1512570"/>
                </a:lnTo>
                <a:lnTo>
                  <a:pt x="1441919" y="1518323"/>
                </a:lnTo>
                <a:lnTo>
                  <a:pt x="1448536" y="1521777"/>
                </a:lnTo>
                <a:lnTo>
                  <a:pt x="1456804" y="1522920"/>
                </a:lnTo>
                <a:lnTo>
                  <a:pt x="1467980" y="1520380"/>
                </a:lnTo>
                <a:lnTo>
                  <a:pt x="1473161" y="1515376"/>
                </a:lnTo>
                <a:lnTo>
                  <a:pt x="1475676" y="1512951"/>
                </a:lnTo>
                <a:lnTo>
                  <a:pt x="1480134" y="1500898"/>
                </a:lnTo>
                <a:lnTo>
                  <a:pt x="1481277" y="1487817"/>
                </a:lnTo>
                <a:lnTo>
                  <a:pt x="1481302" y="1487601"/>
                </a:lnTo>
                <a:lnTo>
                  <a:pt x="1481569" y="1484490"/>
                </a:lnTo>
                <a:close/>
              </a:path>
              <a:path w="2005964" h="1568450">
                <a:moveTo>
                  <a:pt x="1759381" y="270141"/>
                </a:moveTo>
                <a:lnTo>
                  <a:pt x="1659521" y="250164"/>
                </a:lnTo>
                <a:lnTo>
                  <a:pt x="1659521" y="290093"/>
                </a:lnTo>
                <a:lnTo>
                  <a:pt x="1759381" y="270141"/>
                </a:lnTo>
                <a:close/>
              </a:path>
              <a:path w="2005964" h="1568450">
                <a:moveTo>
                  <a:pt x="1802180" y="98971"/>
                </a:moveTo>
                <a:lnTo>
                  <a:pt x="1702320" y="78994"/>
                </a:lnTo>
                <a:lnTo>
                  <a:pt x="1702320" y="118922"/>
                </a:lnTo>
                <a:lnTo>
                  <a:pt x="1802180" y="98971"/>
                </a:lnTo>
                <a:close/>
              </a:path>
              <a:path w="2005964" h="1568450">
                <a:moveTo>
                  <a:pt x="1898815" y="250164"/>
                </a:moveTo>
                <a:lnTo>
                  <a:pt x="1798942" y="270141"/>
                </a:lnTo>
                <a:lnTo>
                  <a:pt x="1898815" y="290093"/>
                </a:lnTo>
                <a:lnTo>
                  <a:pt x="1898815" y="250164"/>
                </a:lnTo>
                <a:close/>
              </a:path>
              <a:path w="2005964" h="1568450">
                <a:moveTo>
                  <a:pt x="1939658" y="171615"/>
                </a:moveTo>
                <a:lnTo>
                  <a:pt x="1933117" y="171615"/>
                </a:lnTo>
                <a:lnTo>
                  <a:pt x="1931187" y="182384"/>
                </a:lnTo>
                <a:lnTo>
                  <a:pt x="1922322" y="185013"/>
                </a:lnTo>
                <a:lnTo>
                  <a:pt x="1912556" y="185013"/>
                </a:lnTo>
                <a:lnTo>
                  <a:pt x="1912556" y="191858"/>
                </a:lnTo>
                <a:lnTo>
                  <a:pt x="1931085" y="191858"/>
                </a:lnTo>
                <a:lnTo>
                  <a:pt x="1931085" y="243039"/>
                </a:lnTo>
                <a:lnTo>
                  <a:pt x="1939658" y="243039"/>
                </a:lnTo>
                <a:lnTo>
                  <a:pt x="1939658" y="171615"/>
                </a:lnTo>
                <a:close/>
              </a:path>
              <a:path w="2005964" h="1568450">
                <a:moveTo>
                  <a:pt x="2005469" y="213906"/>
                </a:moveTo>
                <a:lnTo>
                  <a:pt x="2001240" y="207060"/>
                </a:lnTo>
                <a:lnTo>
                  <a:pt x="1992566" y="205143"/>
                </a:lnTo>
                <a:lnTo>
                  <a:pt x="1992566" y="204939"/>
                </a:lnTo>
                <a:lnTo>
                  <a:pt x="1998027" y="202425"/>
                </a:lnTo>
                <a:lnTo>
                  <a:pt x="2002434" y="196989"/>
                </a:lnTo>
                <a:lnTo>
                  <a:pt x="2002434" y="190728"/>
                </a:lnTo>
                <a:lnTo>
                  <a:pt x="2000783" y="182168"/>
                </a:lnTo>
                <a:lnTo>
                  <a:pt x="1996211" y="176212"/>
                </a:lnTo>
                <a:lnTo>
                  <a:pt x="1989315" y="172732"/>
                </a:lnTo>
                <a:lnTo>
                  <a:pt x="1980679" y="171602"/>
                </a:lnTo>
                <a:lnTo>
                  <a:pt x="1971268" y="173291"/>
                </a:lnTo>
                <a:lnTo>
                  <a:pt x="1964474" y="178028"/>
                </a:lnTo>
                <a:lnTo>
                  <a:pt x="1960270" y="185318"/>
                </a:lnTo>
                <a:lnTo>
                  <a:pt x="1958632" y="194665"/>
                </a:lnTo>
                <a:lnTo>
                  <a:pt x="1967191" y="194665"/>
                </a:lnTo>
                <a:lnTo>
                  <a:pt x="1967268" y="186296"/>
                </a:lnTo>
                <a:lnTo>
                  <a:pt x="1971319" y="179146"/>
                </a:lnTo>
                <a:lnTo>
                  <a:pt x="1987943" y="179146"/>
                </a:lnTo>
                <a:lnTo>
                  <a:pt x="1993379" y="183172"/>
                </a:lnTo>
                <a:lnTo>
                  <a:pt x="1993379" y="198386"/>
                </a:lnTo>
                <a:lnTo>
                  <a:pt x="1987029" y="202323"/>
                </a:lnTo>
                <a:lnTo>
                  <a:pt x="1976043" y="202222"/>
                </a:lnTo>
                <a:lnTo>
                  <a:pt x="1976043" y="209473"/>
                </a:lnTo>
                <a:lnTo>
                  <a:pt x="1979460" y="209169"/>
                </a:lnTo>
                <a:lnTo>
                  <a:pt x="1989645" y="209169"/>
                </a:lnTo>
                <a:lnTo>
                  <a:pt x="1996414" y="213906"/>
                </a:lnTo>
                <a:lnTo>
                  <a:pt x="1996414" y="231533"/>
                </a:lnTo>
                <a:lnTo>
                  <a:pt x="1989251" y="236664"/>
                </a:lnTo>
                <a:lnTo>
                  <a:pt x="1971116" y="236664"/>
                </a:lnTo>
                <a:lnTo>
                  <a:pt x="1965985" y="230225"/>
                </a:lnTo>
                <a:lnTo>
                  <a:pt x="1965655" y="220954"/>
                </a:lnTo>
                <a:lnTo>
                  <a:pt x="1957120" y="220954"/>
                </a:lnTo>
                <a:lnTo>
                  <a:pt x="1958657" y="230797"/>
                </a:lnTo>
                <a:lnTo>
                  <a:pt x="1963445" y="238112"/>
                </a:lnTo>
                <a:lnTo>
                  <a:pt x="1971001" y="242658"/>
                </a:lnTo>
                <a:lnTo>
                  <a:pt x="1980869" y="244233"/>
                </a:lnTo>
                <a:lnTo>
                  <a:pt x="1990369" y="242836"/>
                </a:lnTo>
                <a:lnTo>
                  <a:pt x="1998205" y="238709"/>
                </a:lnTo>
                <a:lnTo>
                  <a:pt x="2003513" y="231902"/>
                </a:lnTo>
                <a:lnTo>
                  <a:pt x="2005469" y="222465"/>
                </a:lnTo>
                <a:lnTo>
                  <a:pt x="2005469" y="213906"/>
                </a:lnTo>
                <a:close/>
              </a:path>
            </a:pathLst>
          </a:custGeom>
          <a:solidFill>
            <a:srgbClr val="000000"/>
          </a:solidFill>
        </xdr:spPr>
      </xdr:sp>
    </xdr:grpSp>
    <xdr:clientData/>
  </xdr:oneCellAnchor>
  <xdr:oneCellAnchor>
    <xdr:from>
      <xdr:col>0</xdr:col>
      <xdr:colOff>60844</xdr:colOff>
      <xdr:row>190</xdr:row>
      <xdr:rowOff>2188381</xdr:rowOff>
    </xdr:from>
    <xdr:ext cx="1804424" cy="523843"/>
    <xdr:pic>
      <xdr:nvPicPr>
        <xdr:cNvPr id="215" name="image83.png">
          <a:extLst>
            <a:ext uri="{FF2B5EF4-FFF2-40B4-BE49-F238E27FC236}">
              <a16:creationId xmlns:a16="http://schemas.microsoft.com/office/drawing/2014/main" id="{CB7ED2C4-9700-4496-B067-DF062E6313C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60844" y="48359231"/>
          <a:ext cx="1804424" cy="523843"/>
        </a:xfrm>
        <a:prstGeom prst="rect">
          <a:avLst/>
        </a:prstGeom>
      </xdr:spPr>
    </xdr:pic>
    <xdr:clientData/>
  </xdr:oneCellAnchor>
  <xdr:oneCellAnchor>
    <xdr:from>
      <xdr:col>5</xdr:col>
      <xdr:colOff>0</xdr:colOff>
      <xdr:row>215</xdr:row>
      <xdr:rowOff>469766</xdr:rowOff>
    </xdr:from>
    <xdr:ext cx="620395" cy="1449070"/>
    <xdr:grpSp>
      <xdr:nvGrpSpPr>
        <xdr:cNvPr id="216" name="Group 715">
          <a:extLst>
            <a:ext uri="{FF2B5EF4-FFF2-40B4-BE49-F238E27FC236}">
              <a16:creationId xmlns:a16="http://schemas.microsoft.com/office/drawing/2014/main" id="{219BAB81-265E-489A-99B9-010540C97596}"/>
            </a:ext>
          </a:extLst>
        </xdr:cNvPr>
        <xdr:cNvGrpSpPr/>
      </xdr:nvGrpSpPr>
      <xdr:grpSpPr>
        <a:xfrm>
          <a:off x="2476500" y="52561991"/>
          <a:ext cx="620395" cy="1449070"/>
          <a:chOff x="0" y="0"/>
          <a:chExt cx="620395" cy="1449070"/>
        </a:xfrm>
      </xdr:grpSpPr>
      <xdr:sp macro="" textlink="">
        <xdr:nvSpPr>
          <xdr:cNvPr id="217" name="Shape 716">
            <a:extLst>
              <a:ext uri="{FF2B5EF4-FFF2-40B4-BE49-F238E27FC236}">
                <a16:creationId xmlns:a16="http://schemas.microsoft.com/office/drawing/2014/main" id="{1016A845-8ACA-CCF0-7518-412B08AD8331}"/>
              </a:ext>
            </a:extLst>
          </xdr:cNvPr>
          <xdr:cNvSpPr/>
        </xdr:nvSpPr>
        <xdr:spPr>
          <a:xfrm>
            <a:off x="122194" y="315018"/>
            <a:ext cx="492759" cy="859790"/>
          </a:xfrm>
          <a:custGeom>
            <a:avLst/>
            <a:gdLst/>
            <a:ahLst/>
            <a:cxnLst/>
            <a:rect l="0" t="0" r="0" b="0"/>
            <a:pathLst>
              <a:path w="492759" h="859790">
                <a:moveTo>
                  <a:pt x="456946" y="0"/>
                </a:moveTo>
                <a:lnTo>
                  <a:pt x="35585" y="0"/>
                </a:lnTo>
                <a:lnTo>
                  <a:pt x="21736" y="2795"/>
                </a:lnTo>
                <a:lnTo>
                  <a:pt x="10425" y="10420"/>
                </a:lnTo>
                <a:lnTo>
                  <a:pt x="2797" y="21731"/>
                </a:lnTo>
                <a:lnTo>
                  <a:pt x="0" y="35585"/>
                </a:lnTo>
                <a:lnTo>
                  <a:pt x="0" y="824179"/>
                </a:lnTo>
                <a:lnTo>
                  <a:pt x="2797" y="838027"/>
                </a:lnTo>
                <a:lnTo>
                  <a:pt x="10425" y="849339"/>
                </a:lnTo>
                <a:lnTo>
                  <a:pt x="21736" y="856967"/>
                </a:lnTo>
                <a:lnTo>
                  <a:pt x="35585" y="859764"/>
                </a:lnTo>
                <a:lnTo>
                  <a:pt x="456946" y="859764"/>
                </a:lnTo>
                <a:lnTo>
                  <a:pt x="470790" y="856967"/>
                </a:lnTo>
                <a:lnTo>
                  <a:pt x="482093" y="849339"/>
                </a:lnTo>
                <a:lnTo>
                  <a:pt x="489712" y="838027"/>
                </a:lnTo>
                <a:lnTo>
                  <a:pt x="492506" y="824179"/>
                </a:lnTo>
                <a:lnTo>
                  <a:pt x="492506" y="35585"/>
                </a:lnTo>
                <a:lnTo>
                  <a:pt x="489712" y="21731"/>
                </a:lnTo>
                <a:lnTo>
                  <a:pt x="482093" y="10420"/>
                </a:lnTo>
                <a:lnTo>
                  <a:pt x="470790" y="2795"/>
                </a:lnTo>
                <a:lnTo>
                  <a:pt x="456946" y="0"/>
                </a:lnTo>
                <a:close/>
              </a:path>
            </a:pathLst>
          </a:custGeom>
          <a:solidFill>
            <a:srgbClr val="E3E3E3"/>
          </a:solidFill>
        </xdr:spPr>
      </xdr:sp>
      <xdr:sp macro="" textlink="">
        <xdr:nvSpPr>
          <xdr:cNvPr id="218" name="Shape 717">
            <a:extLst>
              <a:ext uri="{FF2B5EF4-FFF2-40B4-BE49-F238E27FC236}">
                <a16:creationId xmlns:a16="http://schemas.microsoft.com/office/drawing/2014/main" id="{35EEB690-DC87-2A18-DE79-6FB1508BAC55}"/>
              </a:ext>
            </a:extLst>
          </xdr:cNvPr>
          <xdr:cNvSpPr/>
        </xdr:nvSpPr>
        <xdr:spPr>
          <a:xfrm>
            <a:off x="193383" y="513159"/>
            <a:ext cx="350520" cy="461645"/>
          </a:xfrm>
          <a:custGeom>
            <a:avLst/>
            <a:gdLst/>
            <a:ahLst/>
            <a:cxnLst/>
            <a:rect l="0" t="0" r="0" b="0"/>
            <a:pathLst>
              <a:path w="350520" h="461645">
                <a:moveTo>
                  <a:pt x="34163" y="7670"/>
                </a:moveTo>
                <a:lnTo>
                  <a:pt x="26492" y="0"/>
                </a:lnTo>
                <a:lnTo>
                  <a:pt x="7645" y="0"/>
                </a:lnTo>
                <a:lnTo>
                  <a:pt x="0" y="7670"/>
                </a:lnTo>
                <a:lnTo>
                  <a:pt x="0" y="453542"/>
                </a:lnTo>
                <a:lnTo>
                  <a:pt x="7645" y="461213"/>
                </a:lnTo>
                <a:lnTo>
                  <a:pt x="26492" y="461213"/>
                </a:lnTo>
                <a:lnTo>
                  <a:pt x="34163" y="453542"/>
                </a:lnTo>
                <a:lnTo>
                  <a:pt x="34163" y="17094"/>
                </a:lnTo>
                <a:lnTo>
                  <a:pt x="34163" y="7670"/>
                </a:lnTo>
                <a:close/>
              </a:path>
              <a:path w="350520" h="461645">
                <a:moveTo>
                  <a:pt x="139433" y="7670"/>
                </a:moveTo>
                <a:lnTo>
                  <a:pt x="131762" y="0"/>
                </a:lnTo>
                <a:lnTo>
                  <a:pt x="112915" y="0"/>
                </a:lnTo>
                <a:lnTo>
                  <a:pt x="105270" y="7670"/>
                </a:lnTo>
                <a:lnTo>
                  <a:pt x="105270" y="453542"/>
                </a:lnTo>
                <a:lnTo>
                  <a:pt x="112915" y="461213"/>
                </a:lnTo>
                <a:lnTo>
                  <a:pt x="131762" y="461213"/>
                </a:lnTo>
                <a:lnTo>
                  <a:pt x="139433" y="453542"/>
                </a:lnTo>
                <a:lnTo>
                  <a:pt x="139433" y="17094"/>
                </a:lnTo>
                <a:lnTo>
                  <a:pt x="139433" y="7670"/>
                </a:lnTo>
                <a:close/>
              </a:path>
              <a:path w="350520" h="461645">
                <a:moveTo>
                  <a:pt x="244817" y="7670"/>
                </a:moveTo>
                <a:lnTo>
                  <a:pt x="237147" y="0"/>
                </a:lnTo>
                <a:lnTo>
                  <a:pt x="218313" y="0"/>
                </a:lnTo>
                <a:lnTo>
                  <a:pt x="210667" y="7670"/>
                </a:lnTo>
                <a:lnTo>
                  <a:pt x="210667" y="453542"/>
                </a:lnTo>
                <a:lnTo>
                  <a:pt x="218313" y="461213"/>
                </a:lnTo>
                <a:lnTo>
                  <a:pt x="237147" y="461213"/>
                </a:lnTo>
                <a:lnTo>
                  <a:pt x="244817" y="453542"/>
                </a:lnTo>
                <a:lnTo>
                  <a:pt x="244817" y="17094"/>
                </a:lnTo>
                <a:lnTo>
                  <a:pt x="244817" y="7670"/>
                </a:lnTo>
                <a:close/>
              </a:path>
              <a:path w="350520" h="461645">
                <a:moveTo>
                  <a:pt x="350139" y="7670"/>
                </a:moveTo>
                <a:lnTo>
                  <a:pt x="342468" y="0"/>
                </a:lnTo>
                <a:lnTo>
                  <a:pt x="323621" y="0"/>
                </a:lnTo>
                <a:lnTo>
                  <a:pt x="315976" y="7670"/>
                </a:lnTo>
                <a:lnTo>
                  <a:pt x="315976" y="453542"/>
                </a:lnTo>
                <a:lnTo>
                  <a:pt x="323621" y="461213"/>
                </a:lnTo>
                <a:lnTo>
                  <a:pt x="342468" y="461213"/>
                </a:lnTo>
                <a:lnTo>
                  <a:pt x="350139" y="453542"/>
                </a:lnTo>
                <a:lnTo>
                  <a:pt x="350139" y="17094"/>
                </a:lnTo>
                <a:lnTo>
                  <a:pt x="350139" y="7670"/>
                </a:lnTo>
                <a:close/>
              </a:path>
            </a:pathLst>
          </a:custGeom>
          <a:solidFill>
            <a:srgbClr val="FFFFFF"/>
          </a:solidFill>
        </xdr:spPr>
      </xdr:sp>
      <xdr:sp macro="" textlink="">
        <xdr:nvSpPr>
          <xdr:cNvPr id="219" name="Shape 718">
            <a:extLst>
              <a:ext uri="{FF2B5EF4-FFF2-40B4-BE49-F238E27FC236}">
                <a16:creationId xmlns:a16="http://schemas.microsoft.com/office/drawing/2014/main" id="{6F1D52E0-0DDF-D790-08B2-1D7254D1A9F9}"/>
              </a:ext>
            </a:extLst>
          </xdr:cNvPr>
          <xdr:cNvSpPr/>
        </xdr:nvSpPr>
        <xdr:spPr>
          <a:xfrm>
            <a:off x="122173" y="315098"/>
            <a:ext cx="492759" cy="860425"/>
          </a:xfrm>
          <a:custGeom>
            <a:avLst/>
            <a:gdLst/>
            <a:ahLst/>
            <a:cxnLst/>
            <a:rect l="0" t="0" r="0" b="0"/>
            <a:pathLst>
              <a:path w="492759" h="860425">
                <a:moveTo>
                  <a:pt x="163067" y="93979"/>
                </a:moveTo>
                <a:lnTo>
                  <a:pt x="329463" y="93979"/>
                </a:lnTo>
              </a:path>
              <a:path w="492759" h="860425">
                <a:moveTo>
                  <a:pt x="246278" y="181978"/>
                </a:moveTo>
                <a:lnTo>
                  <a:pt x="246278" y="5664"/>
                </a:lnTo>
              </a:path>
              <a:path w="492759" h="860425">
                <a:moveTo>
                  <a:pt x="246278" y="677824"/>
                </a:moveTo>
                <a:lnTo>
                  <a:pt x="246278" y="854138"/>
                </a:lnTo>
              </a:path>
              <a:path w="492759" h="860425">
                <a:moveTo>
                  <a:pt x="163067" y="765822"/>
                </a:moveTo>
                <a:lnTo>
                  <a:pt x="329463" y="765822"/>
                </a:lnTo>
              </a:path>
              <a:path w="492759" h="860425">
                <a:moveTo>
                  <a:pt x="213537" y="37274"/>
                </a:moveTo>
                <a:lnTo>
                  <a:pt x="180784" y="93979"/>
                </a:lnTo>
              </a:path>
              <a:path w="492759" h="860425">
                <a:moveTo>
                  <a:pt x="279006" y="37274"/>
                </a:moveTo>
                <a:lnTo>
                  <a:pt x="213537" y="37274"/>
                </a:lnTo>
              </a:path>
              <a:path w="492759" h="860425">
                <a:moveTo>
                  <a:pt x="180784" y="93979"/>
                </a:moveTo>
                <a:lnTo>
                  <a:pt x="213537" y="150660"/>
                </a:lnTo>
              </a:path>
              <a:path w="492759" h="860425">
                <a:moveTo>
                  <a:pt x="213537" y="150660"/>
                </a:moveTo>
                <a:lnTo>
                  <a:pt x="279006" y="150660"/>
                </a:lnTo>
              </a:path>
              <a:path w="492759" h="860425">
                <a:moveTo>
                  <a:pt x="279006" y="150660"/>
                </a:moveTo>
                <a:lnTo>
                  <a:pt x="311734" y="93979"/>
                </a:lnTo>
              </a:path>
              <a:path w="492759" h="860425">
                <a:moveTo>
                  <a:pt x="311734" y="93979"/>
                </a:moveTo>
                <a:lnTo>
                  <a:pt x="279006" y="37274"/>
                </a:lnTo>
              </a:path>
              <a:path w="492759" h="860425">
                <a:moveTo>
                  <a:pt x="311734" y="765822"/>
                </a:moveTo>
                <a:lnTo>
                  <a:pt x="279006" y="709155"/>
                </a:lnTo>
              </a:path>
              <a:path w="492759" h="860425">
                <a:moveTo>
                  <a:pt x="213537" y="709155"/>
                </a:moveTo>
                <a:lnTo>
                  <a:pt x="180784" y="765822"/>
                </a:lnTo>
              </a:path>
              <a:path w="492759" h="860425">
                <a:moveTo>
                  <a:pt x="213537" y="822540"/>
                </a:moveTo>
                <a:lnTo>
                  <a:pt x="279006" y="822540"/>
                </a:lnTo>
              </a:path>
              <a:path w="492759" h="860425">
                <a:moveTo>
                  <a:pt x="180784" y="765822"/>
                </a:moveTo>
                <a:lnTo>
                  <a:pt x="213537" y="822540"/>
                </a:lnTo>
              </a:path>
              <a:path w="492759" h="860425">
                <a:moveTo>
                  <a:pt x="279006" y="822540"/>
                </a:moveTo>
                <a:lnTo>
                  <a:pt x="311734" y="765822"/>
                </a:lnTo>
              </a:path>
              <a:path w="492759" h="860425">
                <a:moveTo>
                  <a:pt x="279006" y="709155"/>
                </a:moveTo>
                <a:lnTo>
                  <a:pt x="213537" y="709155"/>
                </a:lnTo>
              </a:path>
              <a:path w="492759" h="860425">
                <a:moveTo>
                  <a:pt x="0" y="824204"/>
                </a:moveTo>
                <a:lnTo>
                  <a:pt x="0" y="35610"/>
                </a:lnTo>
              </a:path>
              <a:path w="492759" h="860425">
                <a:moveTo>
                  <a:pt x="105359" y="216395"/>
                </a:moveTo>
                <a:lnTo>
                  <a:pt x="105359" y="206933"/>
                </a:lnTo>
                <a:lnTo>
                  <a:pt x="97713" y="199288"/>
                </a:lnTo>
                <a:lnTo>
                  <a:pt x="88264" y="199288"/>
                </a:lnTo>
                <a:lnTo>
                  <a:pt x="78828" y="199288"/>
                </a:lnTo>
                <a:lnTo>
                  <a:pt x="71183" y="206933"/>
                </a:lnTo>
                <a:lnTo>
                  <a:pt x="71183" y="216395"/>
                </a:lnTo>
              </a:path>
              <a:path w="492759" h="860425">
                <a:moveTo>
                  <a:pt x="210680" y="216395"/>
                </a:moveTo>
                <a:lnTo>
                  <a:pt x="210680" y="206933"/>
                </a:lnTo>
                <a:lnTo>
                  <a:pt x="203034" y="199288"/>
                </a:lnTo>
                <a:lnTo>
                  <a:pt x="193598" y="199288"/>
                </a:lnTo>
                <a:lnTo>
                  <a:pt x="184150" y="199288"/>
                </a:lnTo>
                <a:lnTo>
                  <a:pt x="176504" y="206933"/>
                </a:lnTo>
                <a:lnTo>
                  <a:pt x="176504" y="216395"/>
                </a:lnTo>
              </a:path>
              <a:path w="492759" h="860425">
                <a:moveTo>
                  <a:pt x="316014" y="216395"/>
                </a:moveTo>
                <a:lnTo>
                  <a:pt x="316014" y="206933"/>
                </a:lnTo>
                <a:lnTo>
                  <a:pt x="308368" y="199288"/>
                </a:lnTo>
                <a:lnTo>
                  <a:pt x="298945" y="199288"/>
                </a:lnTo>
                <a:lnTo>
                  <a:pt x="289509" y="199288"/>
                </a:lnTo>
                <a:lnTo>
                  <a:pt x="281863" y="206933"/>
                </a:lnTo>
                <a:lnTo>
                  <a:pt x="281863" y="216395"/>
                </a:lnTo>
              </a:path>
              <a:path w="492759" h="860425">
                <a:moveTo>
                  <a:pt x="421347" y="216395"/>
                </a:moveTo>
                <a:lnTo>
                  <a:pt x="421347" y="206933"/>
                </a:lnTo>
                <a:lnTo>
                  <a:pt x="413715" y="199288"/>
                </a:lnTo>
                <a:lnTo>
                  <a:pt x="404279" y="199288"/>
                </a:lnTo>
                <a:lnTo>
                  <a:pt x="394830" y="199288"/>
                </a:lnTo>
                <a:lnTo>
                  <a:pt x="387184" y="206933"/>
                </a:lnTo>
                <a:lnTo>
                  <a:pt x="387184" y="216395"/>
                </a:lnTo>
              </a:path>
              <a:path w="492759" h="860425">
                <a:moveTo>
                  <a:pt x="325996" y="93979"/>
                </a:moveTo>
                <a:lnTo>
                  <a:pt x="319730" y="62948"/>
                </a:lnTo>
                <a:lnTo>
                  <a:pt x="302644" y="37609"/>
                </a:lnTo>
                <a:lnTo>
                  <a:pt x="277304" y="20526"/>
                </a:lnTo>
                <a:lnTo>
                  <a:pt x="246278" y="14262"/>
                </a:lnTo>
                <a:lnTo>
                  <a:pt x="215239" y="20526"/>
                </a:lnTo>
                <a:lnTo>
                  <a:pt x="189896" y="37609"/>
                </a:lnTo>
                <a:lnTo>
                  <a:pt x="172812" y="62948"/>
                </a:lnTo>
                <a:lnTo>
                  <a:pt x="166547" y="93979"/>
                </a:lnTo>
                <a:lnTo>
                  <a:pt x="172812" y="124996"/>
                </a:lnTo>
                <a:lnTo>
                  <a:pt x="189896" y="150328"/>
                </a:lnTo>
                <a:lnTo>
                  <a:pt x="215239" y="167408"/>
                </a:lnTo>
                <a:lnTo>
                  <a:pt x="246278" y="173672"/>
                </a:lnTo>
                <a:lnTo>
                  <a:pt x="277304" y="167408"/>
                </a:lnTo>
                <a:lnTo>
                  <a:pt x="302644" y="150328"/>
                </a:lnTo>
                <a:lnTo>
                  <a:pt x="319730" y="124996"/>
                </a:lnTo>
                <a:lnTo>
                  <a:pt x="325996" y="93979"/>
                </a:lnTo>
                <a:close/>
              </a:path>
              <a:path w="492759" h="860425">
                <a:moveTo>
                  <a:pt x="456958" y="0"/>
                </a:moveTo>
                <a:lnTo>
                  <a:pt x="35598" y="0"/>
                </a:lnTo>
              </a:path>
              <a:path w="492759" h="860425">
                <a:moveTo>
                  <a:pt x="35598" y="0"/>
                </a:moveTo>
                <a:lnTo>
                  <a:pt x="21747" y="2801"/>
                </a:lnTo>
                <a:lnTo>
                  <a:pt x="10431" y="10437"/>
                </a:lnTo>
                <a:lnTo>
                  <a:pt x="2799" y="21758"/>
                </a:lnTo>
                <a:lnTo>
                  <a:pt x="0" y="35610"/>
                </a:lnTo>
              </a:path>
              <a:path w="492759" h="860425">
                <a:moveTo>
                  <a:pt x="492531" y="35610"/>
                </a:moveTo>
                <a:lnTo>
                  <a:pt x="489734" y="21758"/>
                </a:lnTo>
                <a:lnTo>
                  <a:pt x="482107" y="10437"/>
                </a:lnTo>
                <a:lnTo>
                  <a:pt x="470800" y="2801"/>
                </a:lnTo>
                <a:lnTo>
                  <a:pt x="456958" y="0"/>
                </a:lnTo>
              </a:path>
              <a:path w="492759" h="860425">
                <a:moveTo>
                  <a:pt x="325996" y="765822"/>
                </a:moveTo>
                <a:lnTo>
                  <a:pt x="319730" y="734807"/>
                </a:lnTo>
                <a:lnTo>
                  <a:pt x="302644" y="709480"/>
                </a:lnTo>
                <a:lnTo>
                  <a:pt x="277304" y="692404"/>
                </a:lnTo>
                <a:lnTo>
                  <a:pt x="246278" y="686142"/>
                </a:lnTo>
                <a:lnTo>
                  <a:pt x="215239" y="692404"/>
                </a:lnTo>
                <a:lnTo>
                  <a:pt x="189896" y="709480"/>
                </a:lnTo>
                <a:lnTo>
                  <a:pt x="172812" y="734807"/>
                </a:lnTo>
                <a:lnTo>
                  <a:pt x="166547" y="765822"/>
                </a:lnTo>
                <a:lnTo>
                  <a:pt x="172812" y="796859"/>
                </a:lnTo>
                <a:lnTo>
                  <a:pt x="189896" y="822197"/>
                </a:lnTo>
                <a:lnTo>
                  <a:pt x="215239" y="839278"/>
                </a:lnTo>
                <a:lnTo>
                  <a:pt x="246278" y="845540"/>
                </a:lnTo>
                <a:lnTo>
                  <a:pt x="277304" y="839278"/>
                </a:lnTo>
                <a:lnTo>
                  <a:pt x="302644" y="822197"/>
                </a:lnTo>
                <a:lnTo>
                  <a:pt x="319730" y="796859"/>
                </a:lnTo>
                <a:lnTo>
                  <a:pt x="325996" y="765822"/>
                </a:lnTo>
                <a:close/>
              </a:path>
              <a:path w="492759" h="860425">
                <a:moveTo>
                  <a:pt x="71183" y="643407"/>
                </a:moveTo>
                <a:lnTo>
                  <a:pt x="71183" y="652868"/>
                </a:lnTo>
                <a:lnTo>
                  <a:pt x="78828" y="660514"/>
                </a:lnTo>
                <a:lnTo>
                  <a:pt x="88264" y="660514"/>
                </a:lnTo>
                <a:lnTo>
                  <a:pt x="97713" y="660514"/>
                </a:lnTo>
                <a:lnTo>
                  <a:pt x="105359" y="652868"/>
                </a:lnTo>
                <a:lnTo>
                  <a:pt x="105359" y="643407"/>
                </a:lnTo>
              </a:path>
              <a:path w="492759" h="860425">
                <a:moveTo>
                  <a:pt x="281863" y="643407"/>
                </a:moveTo>
                <a:lnTo>
                  <a:pt x="281863" y="652868"/>
                </a:lnTo>
                <a:lnTo>
                  <a:pt x="289509" y="660514"/>
                </a:lnTo>
                <a:lnTo>
                  <a:pt x="298945" y="660514"/>
                </a:lnTo>
                <a:lnTo>
                  <a:pt x="308368" y="660514"/>
                </a:lnTo>
                <a:lnTo>
                  <a:pt x="316014" y="652868"/>
                </a:lnTo>
                <a:lnTo>
                  <a:pt x="316014" y="643407"/>
                </a:lnTo>
              </a:path>
              <a:path w="492759" h="860425">
                <a:moveTo>
                  <a:pt x="387184" y="643407"/>
                </a:moveTo>
                <a:lnTo>
                  <a:pt x="387184" y="652868"/>
                </a:lnTo>
                <a:lnTo>
                  <a:pt x="394830" y="660514"/>
                </a:lnTo>
                <a:lnTo>
                  <a:pt x="404279" y="660514"/>
                </a:lnTo>
                <a:lnTo>
                  <a:pt x="413715" y="660514"/>
                </a:lnTo>
                <a:lnTo>
                  <a:pt x="421347" y="652868"/>
                </a:lnTo>
                <a:lnTo>
                  <a:pt x="421347" y="643407"/>
                </a:lnTo>
              </a:path>
              <a:path w="492759" h="860425">
                <a:moveTo>
                  <a:pt x="176504" y="643407"/>
                </a:moveTo>
                <a:lnTo>
                  <a:pt x="176504" y="652868"/>
                </a:lnTo>
                <a:lnTo>
                  <a:pt x="184150" y="660514"/>
                </a:lnTo>
                <a:lnTo>
                  <a:pt x="193598" y="660514"/>
                </a:lnTo>
                <a:lnTo>
                  <a:pt x="203034" y="660514"/>
                </a:lnTo>
                <a:lnTo>
                  <a:pt x="210680" y="652868"/>
                </a:lnTo>
                <a:lnTo>
                  <a:pt x="210680" y="643407"/>
                </a:lnTo>
              </a:path>
              <a:path w="492759" h="860425">
                <a:moveTo>
                  <a:pt x="456958" y="859802"/>
                </a:moveTo>
                <a:lnTo>
                  <a:pt x="35598" y="859802"/>
                </a:lnTo>
              </a:path>
              <a:path w="492759" h="860425">
                <a:moveTo>
                  <a:pt x="0" y="824204"/>
                </a:moveTo>
                <a:lnTo>
                  <a:pt x="2799" y="838049"/>
                </a:lnTo>
                <a:lnTo>
                  <a:pt x="10431" y="849366"/>
                </a:lnTo>
                <a:lnTo>
                  <a:pt x="21747" y="857001"/>
                </a:lnTo>
                <a:lnTo>
                  <a:pt x="35598" y="859802"/>
                </a:lnTo>
              </a:path>
              <a:path w="492759" h="860425">
                <a:moveTo>
                  <a:pt x="456958" y="859802"/>
                </a:moveTo>
                <a:lnTo>
                  <a:pt x="470800" y="857001"/>
                </a:lnTo>
                <a:lnTo>
                  <a:pt x="482107" y="849366"/>
                </a:lnTo>
                <a:lnTo>
                  <a:pt x="489734" y="838049"/>
                </a:lnTo>
                <a:lnTo>
                  <a:pt x="492531" y="824204"/>
                </a:lnTo>
              </a:path>
              <a:path w="492759" h="860425">
                <a:moveTo>
                  <a:pt x="71183" y="643407"/>
                </a:moveTo>
                <a:lnTo>
                  <a:pt x="71183" y="216395"/>
                </a:lnTo>
              </a:path>
              <a:path w="492759" h="860425">
                <a:moveTo>
                  <a:pt x="105359" y="643407"/>
                </a:moveTo>
                <a:lnTo>
                  <a:pt x="105359" y="216395"/>
                </a:lnTo>
              </a:path>
              <a:path w="492759" h="860425">
                <a:moveTo>
                  <a:pt x="176504" y="643407"/>
                </a:moveTo>
                <a:lnTo>
                  <a:pt x="176504" y="216395"/>
                </a:lnTo>
              </a:path>
              <a:path w="492759" h="860425">
                <a:moveTo>
                  <a:pt x="210680" y="643407"/>
                </a:moveTo>
                <a:lnTo>
                  <a:pt x="210680" y="216395"/>
                </a:lnTo>
              </a:path>
              <a:path w="492759" h="860425">
                <a:moveTo>
                  <a:pt x="281863" y="643407"/>
                </a:moveTo>
                <a:lnTo>
                  <a:pt x="281863" y="216395"/>
                </a:lnTo>
              </a:path>
              <a:path w="492759" h="860425">
                <a:moveTo>
                  <a:pt x="316014" y="643407"/>
                </a:moveTo>
                <a:lnTo>
                  <a:pt x="316014" y="216395"/>
                </a:lnTo>
              </a:path>
              <a:path w="492759" h="860425">
                <a:moveTo>
                  <a:pt x="387184" y="643407"/>
                </a:moveTo>
                <a:lnTo>
                  <a:pt x="387184" y="216395"/>
                </a:lnTo>
              </a:path>
              <a:path w="492759" h="860425">
                <a:moveTo>
                  <a:pt x="421347" y="643407"/>
                </a:moveTo>
                <a:lnTo>
                  <a:pt x="421347" y="216395"/>
                </a:lnTo>
              </a:path>
              <a:path w="492759" h="860425">
                <a:moveTo>
                  <a:pt x="492531" y="824204"/>
                </a:moveTo>
                <a:lnTo>
                  <a:pt x="492531" y="35610"/>
                </a:lnTo>
              </a:path>
            </a:pathLst>
          </a:custGeom>
          <a:ln w="10134">
            <a:solidFill>
              <a:srgbClr val="000000"/>
            </a:solidFill>
          </a:ln>
        </xdr:spPr>
      </xdr:sp>
      <xdr:sp macro="" textlink="">
        <xdr:nvSpPr>
          <xdr:cNvPr id="220" name="Shape 719">
            <a:extLst>
              <a:ext uri="{FF2B5EF4-FFF2-40B4-BE49-F238E27FC236}">
                <a16:creationId xmlns:a16="http://schemas.microsoft.com/office/drawing/2014/main" id="{7B8D160E-EDB5-DAAA-3641-309B9FD23861}"/>
              </a:ext>
            </a:extLst>
          </xdr:cNvPr>
          <xdr:cNvSpPr/>
        </xdr:nvSpPr>
        <xdr:spPr>
          <a:xfrm>
            <a:off x="0" y="42117"/>
            <a:ext cx="615315" cy="1407160"/>
          </a:xfrm>
          <a:custGeom>
            <a:avLst/>
            <a:gdLst/>
            <a:ahLst/>
            <a:cxnLst/>
            <a:rect l="0" t="0" r="0" b="0"/>
            <a:pathLst>
              <a:path w="615315" h="1407160">
                <a:moveTo>
                  <a:pt x="368452" y="454964"/>
                </a:moveTo>
                <a:lnTo>
                  <a:pt x="368452" y="278650"/>
                </a:lnTo>
              </a:path>
              <a:path w="615315" h="1407160">
                <a:moveTo>
                  <a:pt x="285242" y="366966"/>
                </a:moveTo>
                <a:lnTo>
                  <a:pt x="451637" y="366966"/>
                </a:lnTo>
              </a:path>
              <a:path w="615315" h="1407160">
                <a:moveTo>
                  <a:pt x="368452" y="1126845"/>
                </a:moveTo>
                <a:lnTo>
                  <a:pt x="368452" y="950531"/>
                </a:lnTo>
              </a:path>
              <a:path w="615315" h="1407160">
                <a:moveTo>
                  <a:pt x="285242" y="1038809"/>
                </a:moveTo>
                <a:lnTo>
                  <a:pt x="451637" y="1038809"/>
                </a:lnTo>
              </a:path>
              <a:path w="615315" h="1407160">
                <a:moveTo>
                  <a:pt x="122174" y="251650"/>
                </a:moveTo>
                <a:lnTo>
                  <a:pt x="122174" y="0"/>
                </a:lnTo>
              </a:path>
              <a:path w="615315" h="1407160">
                <a:moveTo>
                  <a:pt x="614705" y="251650"/>
                </a:moveTo>
                <a:lnTo>
                  <a:pt x="614705" y="0"/>
                </a:lnTo>
              </a:path>
              <a:path w="615315" h="1407160">
                <a:moveTo>
                  <a:pt x="179133" y="56934"/>
                </a:moveTo>
                <a:lnTo>
                  <a:pt x="557758" y="56934"/>
                </a:lnTo>
              </a:path>
              <a:path w="615315" h="1407160">
                <a:moveTo>
                  <a:pt x="425234" y="1095756"/>
                </a:moveTo>
                <a:lnTo>
                  <a:pt x="425234" y="1406537"/>
                </a:lnTo>
              </a:path>
              <a:path w="615315" h="1407160">
                <a:moveTo>
                  <a:pt x="311683" y="1095756"/>
                </a:moveTo>
                <a:lnTo>
                  <a:pt x="311683" y="1406537"/>
                </a:lnTo>
              </a:path>
              <a:path w="615315" h="1407160">
                <a:moveTo>
                  <a:pt x="482142" y="1349590"/>
                </a:moveTo>
                <a:lnTo>
                  <a:pt x="572401" y="1349590"/>
                </a:lnTo>
              </a:path>
              <a:path w="615315" h="1407160">
                <a:moveTo>
                  <a:pt x="254723" y="1349590"/>
                </a:moveTo>
                <a:lnTo>
                  <a:pt x="0" y="1349590"/>
                </a:lnTo>
              </a:path>
              <a:path w="615315" h="1407160">
                <a:moveTo>
                  <a:pt x="311683" y="1349590"/>
                </a:moveTo>
                <a:lnTo>
                  <a:pt x="425234" y="1349590"/>
                </a:lnTo>
              </a:path>
            </a:pathLst>
          </a:custGeom>
          <a:ln w="6083">
            <a:solidFill>
              <a:srgbClr val="000000"/>
            </a:solidFill>
          </a:ln>
        </xdr:spPr>
      </xdr:sp>
      <xdr:sp macro="" textlink="">
        <xdr:nvSpPr>
          <xdr:cNvPr id="221" name="Shape 720">
            <a:extLst>
              <a:ext uri="{FF2B5EF4-FFF2-40B4-BE49-F238E27FC236}">
                <a16:creationId xmlns:a16="http://schemas.microsoft.com/office/drawing/2014/main" id="{FE6BFC27-C436-A77A-7387-9813B3322367}"/>
              </a:ext>
            </a:extLst>
          </xdr:cNvPr>
          <xdr:cNvSpPr/>
        </xdr:nvSpPr>
        <xdr:spPr>
          <a:xfrm>
            <a:off x="5994" y="78946"/>
            <a:ext cx="608965" cy="1333500"/>
          </a:xfrm>
          <a:custGeom>
            <a:avLst/>
            <a:gdLst/>
            <a:ahLst/>
            <a:cxnLst/>
            <a:rect l="0" t="0" r="0" b="0"/>
            <a:pathLst>
              <a:path w="608965" h="1333500">
                <a:moveTo>
                  <a:pt x="27292" y="1211783"/>
                </a:moveTo>
                <a:lnTo>
                  <a:pt x="20688" y="1211783"/>
                </a:lnTo>
                <a:lnTo>
                  <a:pt x="18770" y="1222629"/>
                </a:lnTo>
                <a:lnTo>
                  <a:pt x="9829" y="1225270"/>
                </a:lnTo>
                <a:lnTo>
                  <a:pt x="0" y="1225270"/>
                </a:lnTo>
                <a:lnTo>
                  <a:pt x="0" y="1232166"/>
                </a:lnTo>
                <a:lnTo>
                  <a:pt x="18669" y="1232166"/>
                </a:lnTo>
                <a:lnTo>
                  <a:pt x="18669" y="1283665"/>
                </a:lnTo>
                <a:lnTo>
                  <a:pt x="27292" y="1283665"/>
                </a:lnTo>
                <a:lnTo>
                  <a:pt x="27292" y="1211783"/>
                </a:lnTo>
                <a:close/>
              </a:path>
              <a:path w="608965" h="1333500">
                <a:moveTo>
                  <a:pt x="216789" y="0"/>
                </a:moveTo>
                <a:lnTo>
                  <a:pt x="116192" y="20104"/>
                </a:lnTo>
                <a:lnTo>
                  <a:pt x="216789" y="40233"/>
                </a:lnTo>
                <a:lnTo>
                  <a:pt x="216789" y="0"/>
                </a:lnTo>
                <a:close/>
              </a:path>
              <a:path w="608965" h="1333500">
                <a:moveTo>
                  <a:pt x="303834" y="1313027"/>
                </a:moveTo>
                <a:lnTo>
                  <a:pt x="203238" y="1292910"/>
                </a:lnTo>
                <a:lnTo>
                  <a:pt x="203238" y="1333144"/>
                </a:lnTo>
                <a:lnTo>
                  <a:pt x="303834" y="1313027"/>
                </a:lnTo>
                <a:close/>
              </a:path>
              <a:path w="608965" h="1333500">
                <a:moveTo>
                  <a:pt x="521589" y="1292910"/>
                </a:moveTo>
                <a:lnTo>
                  <a:pt x="420992" y="1313027"/>
                </a:lnTo>
                <a:lnTo>
                  <a:pt x="521589" y="1333144"/>
                </a:lnTo>
                <a:lnTo>
                  <a:pt x="521589" y="1292910"/>
                </a:lnTo>
                <a:close/>
              </a:path>
              <a:path w="608965" h="1333500">
                <a:moveTo>
                  <a:pt x="608723" y="20104"/>
                </a:moveTo>
                <a:lnTo>
                  <a:pt x="508127" y="0"/>
                </a:lnTo>
                <a:lnTo>
                  <a:pt x="508127" y="40233"/>
                </a:lnTo>
                <a:lnTo>
                  <a:pt x="608723" y="20104"/>
                </a:lnTo>
                <a:close/>
              </a:path>
            </a:pathLst>
          </a:custGeom>
          <a:solidFill>
            <a:srgbClr val="000000"/>
          </a:solidFill>
        </xdr:spPr>
      </xdr:sp>
      <xdr:pic>
        <xdr:nvPicPr>
          <xdr:cNvPr id="222" name="image84.png">
            <a:extLst>
              <a:ext uri="{FF2B5EF4-FFF2-40B4-BE49-F238E27FC236}">
                <a16:creationId xmlns:a16="http://schemas.microsoft.com/office/drawing/2014/main" id="{31F992A1-A754-9F6E-E695-FD5E3F4E881C}"/>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59735" y="1288482"/>
            <a:ext cx="138638" cy="75844"/>
          </a:xfrm>
          <a:prstGeom prst="rect">
            <a:avLst/>
          </a:prstGeom>
        </xdr:spPr>
      </xdr:pic>
      <xdr:sp macro="" textlink="">
        <xdr:nvSpPr>
          <xdr:cNvPr id="223" name="Shape 722">
            <a:extLst>
              <a:ext uri="{FF2B5EF4-FFF2-40B4-BE49-F238E27FC236}">
                <a16:creationId xmlns:a16="http://schemas.microsoft.com/office/drawing/2014/main" id="{64BC167E-F19C-36D3-8E00-D08DAD3C7A51}"/>
              </a:ext>
            </a:extLst>
          </xdr:cNvPr>
          <xdr:cNvSpPr/>
        </xdr:nvSpPr>
        <xdr:spPr>
          <a:xfrm>
            <a:off x="295833" y="3"/>
            <a:ext cx="149225" cy="70485"/>
          </a:xfrm>
          <a:custGeom>
            <a:avLst/>
            <a:gdLst/>
            <a:ahLst/>
            <a:cxnLst/>
            <a:rect l="0" t="0" r="0" b="0"/>
            <a:pathLst>
              <a:path w="149225" h="70485">
                <a:moveTo>
                  <a:pt x="26136" y="0"/>
                </a:moveTo>
                <a:lnTo>
                  <a:pt x="19812" y="0"/>
                </a:lnTo>
                <a:lnTo>
                  <a:pt x="17983" y="10388"/>
                </a:lnTo>
                <a:lnTo>
                  <a:pt x="9423" y="12915"/>
                </a:lnTo>
                <a:lnTo>
                  <a:pt x="0" y="12915"/>
                </a:lnTo>
                <a:lnTo>
                  <a:pt x="0" y="19519"/>
                </a:lnTo>
                <a:lnTo>
                  <a:pt x="17881" y="19519"/>
                </a:lnTo>
                <a:lnTo>
                  <a:pt x="17881" y="68897"/>
                </a:lnTo>
                <a:lnTo>
                  <a:pt x="26136" y="68897"/>
                </a:lnTo>
                <a:lnTo>
                  <a:pt x="26136" y="0"/>
                </a:lnTo>
                <a:close/>
              </a:path>
              <a:path w="149225" h="70485">
                <a:moveTo>
                  <a:pt x="95046" y="1155"/>
                </a:moveTo>
                <a:lnTo>
                  <a:pt x="50431" y="1155"/>
                </a:lnTo>
                <a:lnTo>
                  <a:pt x="50431" y="8940"/>
                </a:lnTo>
                <a:lnTo>
                  <a:pt x="86588" y="8940"/>
                </a:lnTo>
                <a:lnTo>
                  <a:pt x="76441" y="21501"/>
                </a:lnTo>
                <a:lnTo>
                  <a:pt x="68135" y="35928"/>
                </a:lnTo>
                <a:lnTo>
                  <a:pt x="62255" y="51841"/>
                </a:lnTo>
                <a:lnTo>
                  <a:pt x="59397" y="68897"/>
                </a:lnTo>
                <a:lnTo>
                  <a:pt x="68630" y="68897"/>
                </a:lnTo>
                <a:lnTo>
                  <a:pt x="71335" y="52260"/>
                </a:lnTo>
                <a:lnTo>
                  <a:pt x="77089" y="35661"/>
                </a:lnTo>
                <a:lnTo>
                  <a:pt x="85229" y="20523"/>
                </a:lnTo>
                <a:lnTo>
                  <a:pt x="95046" y="8255"/>
                </a:lnTo>
                <a:lnTo>
                  <a:pt x="95046" y="1155"/>
                </a:lnTo>
                <a:close/>
              </a:path>
              <a:path w="149225" h="70485">
                <a:moveTo>
                  <a:pt x="149186" y="40805"/>
                </a:moveTo>
                <a:lnTo>
                  <a:pt x="145110" y="34201"/>
                </a:lnTo>
                <a:lnTo>
                  <a:pt x="136728" y="32346"/>
                </a:lnTo>
                <a:lnTo>
                  <a:pt x="136728" y="32169"/>
                </a:lnTo>
                <a:lnTo>
                  <a:pt x="141986" y="29730"/>
                </a:lnTo>
                <a:lnTo>
                  <a:pt x="146265" y="24485"/>
                </a:lnTo>
                <a:lnTo>
                  <a:pt x="146265" y="18465"/>
                </a:lnTo>
                <a:lnTo>
                  <a:pt x="144665" y="10210"/>
                </a:lnTo>
                <a:lnTo>
                  <a:pt x="140246" y="4457"/>
                </a:lnTo>
                <a:lnTo>
                  <a:pt x="133591" y="1092"/>
                </a:lnTo>
                <a:lnTo>
                  <a:pt x="125272" y="0"/>
                </a:lnTo>
                <a:lnTo>
                  <a:pt x="116192" y="1638"/>
                </a:lnTo>
                <a:lnTo>
                  <a:pt x="109639" y="6197"/>
                </a:lnTo>
                <a:lnTo>
                  <a:pt x="105575" y="13233"/>
                </a:lnTo>
                <a:lnTo>
                  <a:pt x="103987" y="22237"/>
                </a:lnTo>
                <a:lnTo>
                  <a:pt x="112255" y="22237"/>
                </a:lnTo>
                <a:lnTo>
                  <a:pt x="112356" y="14185"/>
                </a:lnTo>
                <a:lnTo>
                  <a:pt x="116230" y="7277"/>
                </a:lnTo>
                <a:lnTo>
                  <a:pt x="132270" y="7277"/>
                </a:lnTo>
                <a:lnTo>
                  <a:pt x="137528" y="11163"/>
                </a:lnTo>
                <a:lnTo>
                  <a:pt x="137528" y="25844"/>
                </a:lnTo>
                <a:lnTo>
                  <a:pt x="131394" y="29629"/>
                </a:lnTo>
                <a:lnTo>
                  <a:pt x="120815" y="29540"/>
                </a:lnTo>
                <a:lnTo>
                  <a:pt x="120815" y="36525"/>
                </a:lnTo>
                <a:lnTo>
                  <a:pt x="124104" y="36245"/>
                </a:lnTo>
                <a:lnTo>
                  <a:pt x="133908" y="36245"/>
                </a:lnTo>
                <a:lnTo>
                  <a:pt x="140449" y="40805"/>
                </a:lnTo>
                <a:lnTo>
                  <a:pt x="140449" y="57823"/>
                </a:lnTo>
                <a:lnTo>
                  <a:pt x="133527" y="62776"/>
                </a:lnTo>
                <a:lnTo>
                  <a:pt x="116027" y="62776"/>
                </a:lnTo>
                <a:lnTo>
                  <a:pt x="111086" y="56553"/>
                </a:lnTo>
                <a:lnTo>
                  <a:pt x="110794" y="47612"/>
                </a:lnTo>
                <a:lnTo>
                  <a:pt x="102527" y="47612"/>
                </a:lnTo>
                <a:lnTo>
                  <a:pt x="104025" y="57111"/>
                </a:lnTo>
                <a:lnTo>
                  <a:pt x="108635" y="64160"/>
                </a:lnTo>
                <a:lnTo>
                  <a:pt x="115938" y="68554"/>
                </a:lnTo>
                <a:lnTo>
                  <a:pt x="125463" y="70065"/>
                </a:lnTo>
                <a:lnTo>
                  <a:pt x="134620" y="68732"/>
                </a:lnTo>
                <a:lnTo>
                  <a:pt x="142176" y="64744"/>
                </a:lnTo>
                <a:lnTo>
                  <a:pt x="147294" y="58178"/>
                </a:lnTo>
                <a:lnTo>
                  <a:pt x="149186" y="49072"/>
                </a:lnTo>
                <a:lnTo>
                  <a:pt x="149186" y="40805"/>
                </a:lnTo>
                <a:close/>
              </a:path>
            </a:pathLst>
          </a:custGeom>
          <a:solidFill>
            <a:srgbClr val="000000"/>
          </a:solidFill>
        </xdr:spPr>
      </xdr:sp>
    </xdr:grpSp>
    <xdr:clientData/>
  </xdr:oneCellAnchor>
  <xdr:oneCellAnchor>
    <xdr:from>
      <xdr:col>0</xdr:col>
      <xdr:colOff>62179</xdr:colOff>
      <xdr:row>215</xdr:row>
      <xdr:rowOff>296716</xdr:rowOff>
    </xdr:from>
    <xdr:ext cx="2040889" cy="1616710"/>
    <xdr:grpSp>
      <xdr:nvGrpSpPr>
        <xdr:cNvPr id="224" name="Group 723">
          <a:extLst>
            <a:ext uri="{FF2B5EF4-FFF2-40B4-BE49-F238E27FC236}">
              <a16:creationId xmlns:a16="http://schemas.microsoft.com/office/drawing/2014/main" id="{1D6D5DD9-28DB-4E87-B929-149A5B65768B}"/>
            </a:ext>
          </a:extLst>
        </xdr:cNvPr>
        <xdr:cNvGrpSpPr/>
      </xdr:nvGrpSpPr>
      <xdr:grpSpPr>
        <a:xfrm>
          <a:off x="62179" y="52388941"/>
          <a:ext cx="2040889" cy="1616710"/>
          <a:chOff x="0" y="0"/>
          <a:chExt cx="2040889" cy="1616710"/>
        </a:xfrm>
      </xdr:grpSpPr>
      <xdr:sp macro="" textlink="">
        <xdr:nvSpPr>
          <xdr:cNvPr id="225" name="Shape 724">
            <a:extLst>
              <a:ext uri="{FF2B5EF4-FFF2-40B4-BE49-F238E27FC236}">
                <a16:creationId xmlns:a16="http://schemas.microsoft.com/office/drawing/2014/main" id="{8C5BAA01-F1D8-E0C8-8F75-3A3DE26B8A53}"/>
              </a:ext>
            </a:extLst>
          </xdr:cNvPr>
          <xdr:cNvSpPr/>
        </xdr:nvSpPr>
        <xdr:spPr>
          <a:xfrm>
            <a:off x="490410" y="488666"/>
            <a:ext cx="1321435" cy="859790"/>
          </a:xfrm>
          <a:custGeom>
            <a:avLst/>
            <a:gdLst/>
            <a:ahLst/>
            <a:cxnLst/>
            <a:rect l="0" t="0" r="0" b="0"/>
            <a:pathLst>
              <a:path w="1321435" h="859790">
                <a:moveTo>
                  <a:pt x="1320965" y="35560"/>
                </a:moveTo>
                <a:lnTo>
                  <a:pt x="1320609" y="34290"/>
                </a:lnTo>
                <a:lnTo>
                  <a:pt x="1318806" y="31750"/>
                </a:lnTo>
                <a:lnTo>
                  <a:pt x="1292529" y="31750"/>
                </a:lnTo>
                <a:lnTo>
                  <a:pt x="1289367" y="29210"/>
                </a:lnTo>
                <a:lnTo>
                  <a:pt x="1289367" y="24130"/>
                </a:lnTo>
                <a:lnTo>
                  <a:pt x="1289367" y="21590"/>
                </a:lnTo>
                <a:lnTo>
                  <a:pt x="1289367" y="12700"/>
                </a:lnTo>
                <a:lnTo>
                  <a:pt x="1287437" y="11430"/>
                </a:lnTo>
                <a:lnTo>
                  <a:pt x="1281099" y="11430"/>
                </a:lnTo>
                <a:lnTo>
                  <a:pt x="1281099" y="16510"/>
                </a:lnTo>
                <a:lnTo>
                  <a:pt x="1277200" y="12700"/>
                </a:lnTo>
                <a:lnTo>
                  <a:pt x="1243101" y="11430"/>
                </a:lnTo>
                <a:lnTo>
                  <a:pt x="1240231" y="10160"/>
                </a:lnTo>
                <a:lnTo>
                  <a:pt x="1237932" y="7620"/>
                </a:lnTo>
                <a:lnTo>
                  <a:pt x="1236230" y="6350"/>
                </a:lnTo>
                <a:lnTo>
                  <a:pt x="1230414" y="2540"/>
                </a:lnTo>
                <a:lnTo>
                  <a:pt x="1223302" y="0"/>
                </a:lnTo>
                <a:lnTo>
                  <a:pt x="1208252" y="0"/>
                </a:lnTo>
                <a:lnTo>
                  <a:pt x="1201420" y="2540"/>
                </a:lnTo>
                <a:lnTo>
                  <a:pt x="1195743" y="6350"/>
                </a:lnTo>
                <a:lnTo>
                  <a:pt x="1193330" y="7620"/>
                </a:lnTo>
                <a:lnTo>
                  <a:pt x="1190980" y="10160"/>
                </a:lnTo>
                <a:lnTo>
                  <a:pt x="1188135" y="11430"/>
                </a:lnTo>
                <a:lnTo>
                  <a:pt x="1154036" y="12700"/>
                </a:lnTo>
                <a:lnTo>
                  <a:pt x="1150162" y="16510"/>
                </a:lnTo>
                <a:lnTo>
                  <a:pt x="1150162" y="19050"/>
                </a:lnTo>
                <a:lnTo>
                  <a:pt x="1146632" y="15240"/>
                </a:lnTo>
                <a:lnTo>
                  <a:pt x="1099540" y="15240"/>
                </a:lnTo>
                <a:lnTo>
                  <a:pt x="1096060" y="19050"/>
                </a:lnTo>
                <a:lnTo>
                  <a:pt x="1096060" y="16510"/>
                </a:lnTo>
                <a:lnTo>
                  <a:pt x="1092123" y="12700"/>
                </a:lnTo>
                <a:lnTo>
                  <a:pt x="1058062" y="11430"/>
                </a:lnTo>
                <a:lnTo>
                  <a:pt x="1055192" y="10160"/>
                </a:lnTo>
                <a:lnTo>
                  <a:pt x="1052893" y="7620"/>
                </a:lnTo>
                <a:lnTo>
                  <a:pt x="1050556" y="6350"/>
                </a:lnTo>
                <a:lnTo>
                  <a:pt x="1044867" y="2540"/>
                </a:lnTo>
                <a:lnTo>
                  <a:pt x="1037958" y="0"/>
                </a:lnTo>
                <a:lnTo>
                  <a:pt x="1022705" y="0"/>
                </a:lnTo>
                <a:lnTo>
                  <a:pt x="1015403" y="2540"/>
                </a:lnTo>
                <a:lnTo>
                  <a:pt x="1009497" y="6350"/>
                </a:lnTo>
                <a:lnTo>
                  <a:pt x="1005941" y="10160"/>
                </a:lnTo>
                <a:lnTo>
                  <a:pt x="1003071" y="11430"/>
                </a:lnTo>
                <a:lnTo>
                  <a:pt x="969010" y="12700"/>
                </a:lnTo>
                <a:lnTo>
                  <a:pt x="965111" y="16510"/>
                </a:lnTo>
                <a:lnTo>
                  <a:pt x="965111" y="19050"/>
                </a:lnTo>
                <a:lnTo>
                  <a:pt x="961580" y="15240"/>
                </a:lnTo>
                <a:lnTo>
                  <a:pt x="914514" y="15240"/>
                </a:lnTo>
                <a:lnTo>
                  <a:pt x="910983" y="19050"/>
                </a:lnTo>
                <a:lnTo>
                  <a:pt x="910983" y="16510"/>
                </a:lnTo>
                <a:lnTo>
                  <a:pt x="907072" y="12700"/>
                </a:lnTo>
                <a:lnTo>
                  <a:pt x="873023" y="11430"/>
                </a:lnTo>
                <a:lnTo>
                  <a:pt x="870153" y="10160"/>
                </a:lnTo>
                <a:lnTo>
                  <a:pt x="867816" y="7620"/>
                </a:lnTo>
                <a:lnTo>
                  <a:pt x="866279" y="6350"/>
                </a:lnTo>
                <a:lnTo>
                  <a:pt x="860437" y="2540"/>
                </a:lnTo>
                <a:lnTo>
                  <a:pt x="853262" y="0"/>
                </a:lnTo>
                <a:lnTo>
                  <a:pt x="838136" y="0"/>
                </a:lnTo>
                <a:lnTo>
                  <a:pt x="831291" y="2540"/>
                </a:lnTo>
                <a:lnTo>
                  <a:pt x="825627" y="6350"/>
                </a:lnTo>
                <a:lnTo>
                  <a:pt x="823201" y="7620"/>
                </a:lnTo>
                <a:lnTo>
                  <a:pt x="820889" y="10160"/>
                </a:lnTo>
                <a:lnTo>
                  <a:pt x="818019" y="11430"/>
                </a:lnTo>
                <a:lnTo>
                  <a:pt x="783958" y="12700"/>
                </a:lnTo>
                <a:lnTo>
                  <a:pt x="780059" y="16510"/>
                </a:lnTo>
                <a:lnTo>
                  <a:pt x="780059" y="19050"/>
                </a:lnTo>
                <a:lnTo>
                  <a:pt x="776528" y="15240"/>
                </a:lnTo>
                <a:lnTo>
                  <a:pt x="729462" y="15240"/>
                </a:lnTo>
                <a:lnTo>
                  <a:pt x="725944" y="19050"/>
                </a:lnTo>
                <a:lnTo>
                  <a:pt x="725944" y="16510"/>
                </a:lnTo>
                <a:lnTo>
                  <a:pt x="722045" y="12700"/>
                </a:lnTo>
                <a:lnTo>
                  <a:pt x="687984" y="11430"/>
                </a:lnTo>
                <a:lnTo>
                  <a:pt x="685114" y="10160"/>
                </a:lnTo>
                <a:lnTo>
                  <a:pt x="682777" y="7620"/>
                </a:lnTo>
                <a:lnTo>
                  <a:pt x="680707" y="6350"/>
                </a:lnTo>
                <a:lnTo>
                  <a:pt x="674966" y="2540"/>
                </a:lnTo>
                <a:lnTo>
                  <a:pt x="667981" y="0"/>
                </a:lnTo>
                <a:lnTo>
                  <a:pt x="652767" y="0"/>
                </a:lnTo>
                <a:lnTo>
                  <a:pt x="645642" y="2540"/>
                </a:lnTo>
                <a:lnTo>
                  <a:pt x="639787" y="6350"/>
                </a:lnTo>
                <a:lnTo>
                  <a:pt x="638162" y="7620"/>
                </a:lnTo>
                <a:lnTo>
                  <a:pt x="635838" y="10160"/>
                </a:lnTo>
                <a:lnTo>
                  <a:pt x="632993" y="11430"/>
                </a:lnTo>
                <a:lnTo>
                  <a:pt x="598893" y="12700"/>
                </a:lnTo>
                <a:lnTo>
                  <a:pt x="594995" y="16510"/>
                </a:lnTo>
                <a:lnTo>
                  <a:pt x="594995" y="19050"/>
                </a:lnTo>
                <a:lnTo>
                  <a:pt x="591502" y="15240"/>
                </a:lnTo>
                <a:lnTo>
                  <a:pt x="544398" y="15240"/>
                </a:lnTo>
                <a:lnTo>
                  <a:pt x="540918" y="19050"/>
                </a:lnTo>
                <a:lnTo>
                  <a:pt x="540918" y="16510"/>
                </a:lnTo>
                <a:lnTo>
                  <a:pt x="536994" y="12700"/>
                </a:lnTo>
                <a:lnTo>
                  <a:pt x="502907" y="11430"/>
                </a:lnTo>
                <a:lnTo>
                  <a:pt x="500037" y="10160"/>
                </a:lnTo>
                <a:lnTo>
                  <a:pt x="497725" y="7620"/>
                </a:lnTo>
                <a:lnTo>
                  <a:pt x="495312" y="6350"/>
                </a:lnTo>
                <a:lnTo>
                  <a:pt x="489623" y="2540"/>
                </a:lnTo>
                <a:lnTo>
                  <a:pt x="482777" y="0"/>
                </a:lnTo>
                <a:lnTo>
                  <a:pt x="468058" y="0"/>
                </a:lnTo>
                <a:lnTo>
                  <a:pt x="461225" y="2540"/>
                </a:lnTo>
                <a:lnTo>
                  <a:pt x="455549" y="6350"/>
                </a:lnTo>
                <a:lnTo>
                  <a:pt x="453136" y="7620"/>
                </a:lnTo>
                <a:lnTo>
                  <a:pt x="450773" y="10160"/>
                </a:lnTo>
                <a:lnTo>
                  <a:pt x="447941" y="11430"/>
                </a:lnTo>
                <a:lnTo>
                  <a:pt x="413842" y="12700"/>
                </a:lnTo>
                <a:lnTo>
                  <a:pt x="409943" y="16510"/>
                </a:lnTo>
                <a:lnTo>
                  <a:pt x="409943" y="19050"/>
                </a:lnTo>
                <a:lnTo>
                  <a:pt x="406463" y="15240"/>
                </a:lnTo>
                <a:lnTo>
                  <a:pt x="359346" y="15240"/>
                </a:lnTo>
                <a:lnTo>
                  <a:pt x="355866" y="19050"/>
                </a:lnTo>
                <a:lnTo>
                  <a:pt x="355866" y="16510"/>
                </a:lnTo>
                <a:lnTo>
                  <a:pt x="351917" y="12700"/>
                </a:lnTo>
                <a:lnTo>
                  <a:pt x="317868" y="11430"/>
                </a:lnTo>
                <a:lnTo>
                  <a:pt x="314998" y="10160"/>
                </a:lnTo>
                <a:lnTo>
                  <a:pt x="312674" y="7620"/>
                </a:lnTo>
                <a:lnTo>
                  <a:pt x="310870" y="6350"/>
                </a:lnTo>
                <a:lnTo>
                  <a:pt x="305092" y="2540"/>
                </a:lnTo>
                <a:lnTo>
                  <a:pt x="298005" y="0"/>
                </a:lnTo>
                <a:lnTo>
                  <a:pt x="282702" y="0"/>
                </a:lnTo>
                <a:lnTo>
                  <a:pt x="275551" y="2540"/>
                </a:lnTo>
                <a:lnTo>
                  <a:pt x="269722" y="6350"/>
                </a:lnTo>
                <a:lnTo>
                  <a:pt x="268084" y="7620"/>
                </a:lnTo>
                <a:lnTo>
                  <a:pt x="265722" y="10160"/>
                </a:lnTo>
                <a:lnTo>
                  <a:pt x="262877" y="11430"/>
                </a:lnTo>
                <a:lnTo>
                  <a:pt x="228815" y="12700"/>
                </a:lnTo>
                <a:lnTo>
                  <a:pt x="224917" y="16510"/>
                </a:lnTo>
                <a:lnTo>
                  <a:pt x="224917" y="19050"/>
                </a:lnTo>
                <a:lnTo>
                  <a:pt x="221386" y="15240"/>
                </a:lnTo>
                <a:lnTo>
                  <a:pt x="174320" y="15240"/>
                </a:lnTo>
                <a:lnTo>
                  <a:pt x="170789" y="19050"/>
                </a:lnTo>
                <a:lnTo>
                  <a:pt x="170789" y="16510"/>
                </a:lnTo>
                <a:lnTo>
                  <a:pt x="166878" y="12700"/>
                </a:lnTo>
                <a:lnTo>
                  <a:pt x="132842" y="11430"/>
                </a:lnTo>
                <a:lnTo>
                  <a:pt x="129959" y="10160"/>
                </a:lnTo>
                <a:lnTo>
                  <a:pt x="127609" y="7620"/>
                </a:lnTo>
                <a:lnTo>
                  <a:pt x="125907" y="6350"/>
                </a:lnTo>
                <a:lnTo>
                  <a:pt x="120103" y="2540"/>
                </a:lnTo>
                <a:lnTo>
                  <a:pt x="112991" y="0"/>
                </a:lnTo>
                <a:lnTo>
                  <a:pt x="97574" y="0"/>
                </a:lnTo>
                <a:lnTo>
                  <a:pt x="90360" y="2540"/>
                </a:lnTo>
                <a:lnTo>
                  <a:pt x="84505" y="6350"/>
                </a:lnTo>
                <a:lnTo>
                  <a:pt x="83032" y="7620"/>
                </a:lnTo>
                <a:lnTo>
                  <a:pt x="80695" y="10160"/>
                </a:lnTo>
                <a:lnTo>
                  <a:pt x="77825" y="11430"/>
                </a:lnTo>
                <a:lnTo>
                  <a:pt x="43751" y="12700"/>
                </a:lnTo>
                <a:lnTo>
                  <a:pt x="39839" y="16510"/>
                </a:lnTo>
                <a:lnTo>
                  <a:pt x="39839" y="11430"/>
                </a:lnTo>
                <a:lnTo>
                  <a:pt x="33502" y="11430"/>
                </a:lnTo>
                <a:lnTo>
                  <a:pt x="31584" y="12700"/>
                </a:lnTo>
                <a:lnTo>
                  <a:pt x="31584" y="29210"/>
                </a:lnTo>
                <a:lnTo>
                  <a:pt x="28397" y="31750"/>
                </a:lnTo>
                <a:lnTo>
                  <a:pt x="2108" y="31750"/>
                </a:lnTo>
                <a:lnTo>
                  <a:pt x="342" y="34290"/>
                </a:lnTo>
                <a:lnTo>
                  <a:pt x="0" y="35560"/>
                </a:lnTo>
                <a:lnTo>
                  <a:pt x="0" y="149860"/>
                </a:lnTo>
                <a:lnTo>
                  <a:pt x="342" y="152400"/>
                </a:lnTo>
                <a:lnTo>
                  <a:pt x="2108" y="153670"/>
                </a:lnTo>
                <a:lnTo>
                  <a:pt x="28397" y="153670"/>
                </a:lnTo>
                <a:lnTo>
                  <a:pt x="31584" y="157480"/>
                </a:lnTo>
                <a:lnTo>
                  <a:pt x="31584" y="172720"/>
                </a:lnTo>
                <a:lnTo>
                  <a:pt x="33502" y="175260"/>
                </a:lnTo>
                <a:lnTo>
                  <a:pt x="39839" y="175260"/>
                </a:lnTo>
                <a:lnTo>
                  <a:pt x="39839" y="168910"/>
                </a:lnTo>
                <a:lnTo>
                  <a:pt x="43751" y="173990"/>
                </a:lnTo>
                <a:lnTo>
                  <a:pt x="63804" y="173990"/>
                </a:lnTo>
                <a:lnTo>
                  <a:pt x="69723" y="180340"/>
                </a:lnTo>
                <a:lnTo>
                  <a:pt x="69723" y="678180"/>
                </a:lnTo>
                <a:lnTo>
                  <a:pt x="63804" y="684530"/>
                </a:lnTo>
                <a:lnTo>
                  <a:pt x="43751" y="685800"/>
                </a:lnTo>
                <a:lnTo>
                  <a:pt x="39839" y="689610"/>
                </a:lnTo>
                <a:lnTo>
                  <a:pt x="39839" y="683260"/>
                </a:lnTo>
                <a:lnTo>
                  <a:pt x="33502" y="683260"/>
                </a:lnTo>
                <a:lnTo>
                  <a:pt x="31584" y="685800"/>
                </a:lnTo>
                <a:lnTo>
                  <a:pt x="31584" y="702310"/>
                </a:lnTo>
                <a:lnTo>
                  <a:pt x="28397" y="704850"/>
                </a:lnTo>
                <a:lnTo>
                  <a:pt x="2108" y="704850"/>
                </a:lnTo>
                <a:lnTo>
                  <a:pt x="342" y="706120"/>
                </a:lnTo>
                <a:lnTo>
                  <a:pt x="0" y="708660"/>
                </a:lnTo>
                <a:lnTo>
                  <a:pt x="0" y="824230"/>
                </a:lnTo>
                <a:lnTo>
                  <a:pt x="342" y="826770"/>
                </a:lnTo>
                <a:lnTo>
                  <a:pt x="2108" y="828040"/>
                </a:lnTo>
                <a:lnTo>
                  <a:pt x="28397" y="828040"/>
                </a:lnTo>
                <a:lnTo>
                  <a:pt x="31584" y="831850"/>
                </a:lnTo>
                <a:lnTo>
                  <a:pt x="31584" y="847090"/>
                </a:lnTo>
                <a:lnTo>
                  <a:pt x="33502" y="849630"/>
                </a:lnTo>
                <a:lnTo>
                  <a:pt x="39839" y="849630"/>
                </a:lnTo>
                <a:lnTo>
                  <a:pt x="39839" y="843280"/>
                </a:lnTo>
                <a:lnTo>
                  <a:pt x="43751" y="848360"/>
                </a:lnTo>
                <a:lnTo>
                  <a:pt x="48742" y="848360"/>
                </a:lnTo>
                <a:lnTo>
                  <a:pt x="77825" y="849630"/>
                </a:lnTo>
                <a:lnTo>
                  <a:pt x="80695" y="850900"/>
                </a:lnTo>
                <a:lnTo>
                  <a:pt x="83032" y="852170"/>
                </a:lnTo>
                <a:lnTo>
                  <a:pt x="84226" y="853440"/>
                </a:lnTo>
                <a:lnTo>
                  <a:pt x="90106" y="857250"/>
                </a:lnTo>
                <a:lnTo>
                  <a:pt x="97434" y="859790"/>
                </a:lnTo>
                <a:lnTo>
                  <a:pt x="112699" y="859790"/>
                </a:lnTo>
                <a:lnTo>
                  <a:pt x="119545" y="858520"/>
                </a:lnTo>
                <a:lnTo>
                  <a:pt x="125209" y="854710"/>
                </a:lnTo>
                <a:lnTo>
                  <a:pt x="127609" y="852170"/>
                </a:lnTo>
                <a:lnTo>
                  <a:pt x="129959" y="850900"/>
                </a:lnTo>
                <a:lnTo>
                  <a:pt x="132842" y="849630"/>
                </a:lnTo>
                <a:lnTo>
                  <a:pt x="161886" y="848360"/>
                </a:lnTo>
                <a:lnTo>
                  <a:pt x="166878" y="848360"/>
                </a:lnTo>
                <a:lnTo>
                  <a:pt x="170789" y="843280"/>
                </a:lnTo>
                <a:lnTo>
                  <a:pt x="170789" y="840740"/>
                </a:lnTo>
                <a:lnTo>
                  <a:pt x="174320" y="844550"/>
                </a:lnTo>
                <a:lnTo>
                  <a:pt x="221386" y="844550"/>
                </a:lnTo>
                <a:lnTo>
                  <a:pt x="224917" y="840740"/>
                </a:lnTo>
                <a:lnTo>
                  <a:pt x="224917" y="843280"/>
                </a:lnTo>
                <a:lnTo>
                  <a:pt x="228815" y="848360"/>
                </a:lnTo>
                <a:lnTo>
                  <a:pt x="233781" y="848360"/>
                </a:lnTo>
                <a:lnTo>
                  <a:pt x="262877" y="849630"/>
                </a:lnTo>
                <a:lnTo>
                  <a:pt x="265722" y="850900"/>
                </a:lnTo>
                <a:lnTo>
                  <a:pt x="269938" y="853440"/>
                </a:lnTo>
                <a:lnTo>
                  <a:pt x="275704" y="858520"/>
                </a:lnTo>
                <a:lnTo>
                  <a:pt x="282778" y="859790"/>
                </a:lnTo>
                <a:lnTo>
                  <a:pt x="297662" y="859790"/>
                </a:lnTo>
                <a:lnTo>
                  <a:pt x="304495" y="858520"/>
                </a:lnTo>
                <a:lnTo>
                  <a:pt x="310159" y="854710"/>
                </a:lnTo>
                <a:lnTo>
                  <a:pt x="312674" y="852170"/>
                </a:lnTo>
                <a:lnTo>
                  <a:pt x="314998" y="850900"/>
                </a:lnTo>
                <a:lnTo>
                  <a:pt x="317868" y="849630"/>
                </a:lnTo>
                <a:lnTo>
                  <a:pt x="346938" y="848360"/>
                </a:lnTo>
                <a:lnTo>
                  <a:pt x="351917" y="848360"/>
                </a:lnTo>
                <a:lnTo>
                  <a:pt x="355866" y="843280"/>
                </a:lnTo>
                <a:lnTo>
                  <a:pt x="355866" y="840740"/>
                </a:lnTo>
                <a:lnTo>
                  <a:pt x="359346" y="844550"/>
                </a:lnTo>
                <a:lnTo>
                  <a:pt x="406463" y="844550"/>
                </a:lnTo>
                <a:lnTo>
                  <a:pt x="409943" y="840740"/>
                </a:lnTo>
                <a:lnTo>
                  <a:pt x="409943" y="843280"/>
                </a:lnTo>
                <a:lnTo>
                  <a:pt x="413842" y="848360"/>
                </a:lnTo>
                <a:lnTo>
                  <a:pt x="418833" y="848360"/>
                </a:lnTo>
                <a:lnTo>
                  <a:pt x="447941" y="849630"/>
                </a:lnTo>
                <a:lnTo>
                  <a:pt x="450773" y="850900"/>
                </a:lnTo>
                <a:lnTo>
                  <a:pt x="454812" y="853440"/>
                </a:lnTo>
                <a:lnTo>
                  <a:pt x="460641" y="858520"/>
                </a:lnTo>
                <a:lnTo>
                  <a:pt x="467741" y="859790"/>
                </a:lnTo>
                <a:lnTo>
                  <a:pt x="482714" y="859790"/>
                </a:lnTo>
                <a:lnTo>
                  <a:pt x="489521" y="858520"/>
                </a:lnTo>
                <a:lnTo>
                  <a:pt x="495185" y="854710"/>
                </a:lnTo>
                <a:lnTo>
                  <a:pt x="497725" y="852170"/>
                </a:lnTo>
                <a:lnTo>
                  <a:pt x="500037" y="850900"/>
                </a:lnTo>
                <a:lnTo>
                  <a:pt x="502907" y="849630"/>
                </a:lnTo>
                <a:lnTo>
                  <a:pt x="531977" y="848360"/>
                </a:lnTo>
                <a:lnTo>
                  <a:pt x="536994" y="848360"/>
                </a:lnTo>
                <a:lnTo>
                  <a:pt x="540918" y="843280"/>
                </a:lnTo>
                <a:lnTo>
                  <a:pt x="540918" y="840740"/>
                </a:lnTo>
                <a:lnTo>
                  <a:pt x="544398" y="844550"/>
                </a:lnTo>
                <a:lnTo>
                  <a:pt x="591502" y="844550"/>
                </a:lnTo>
                <a:lnTo>
                  <a:pt x="594995" y="840740"/>
                </a:lnTo>
                <a:lnTo>
                  <a:pt x="594995" y="843280"/>
                </a:lnTo>
                <a:lnTo>
                  <a:pt x="598893" y="848360"/>
                </a:lnTo>
                <a:lnTo>
                  <a:pt x="603897" y="848360"/>
                </a:lnTo>
                <a:lnTo>
                  <a:pt x="632993" y="849630"/>
                </a:lnTo>
                <a:lnTo>
                  <a:pt x="635838" y="850900"/>
                </a:lnTo>
                <a:lnTo>
                  <a:pt x="638162" y="852170"/>
                </a:lnTo>
                <a:lnTo>
                  <a:pt x="639864" y="853440"/>
                </a:lnTo>
                <a:lnTo>
                  <a:pt x="645668" y="858520"/>
                </a:lnTo>
                <a:lnTo>
                  <a:pt x="652767" y="859790"/>
                </a:lnTo>
                <a:lnTo>
                  <a:pt x="667816" y="859790"/>
                </a:lnTo>
                <a:lnTo>
                  <a:pt x="674674" y="858520"/>
                </a:lnTo>
                <a:lnTo>
                  <a:pt x="680377" y="854710"/>
                </a:lnTo>
                <a:lnTo>
                  <a:pt x="682777" y="852170"/>
                </a:lnTo>
                <a:lnTo>
                  <a:pt x="685114" y="850900"/>
                </a:lnTo>
                <a:lnTo>
                  <a:pt x="687984" y="849630"/>
                </a:lnTo>
                <a:lnTo>
                  <a:pt x="717054" y="848360"/>
                </a:lnTo>
                <a:lnTo>
                  <a:pt x="722045" y="848360"/>
                </a:lnTo>
                <a:lnTo>
                  <a:pt x="725944" y="843280"/>
                </a:lnTo>
                <a:lnTo>
                  <a:pt x="725944" y="840740"/>
                </a:lnTo>
                <a:lnTo>
                  <a:pt x="729462" y="844550"/>
                </a:lnTo>
                <a:lnTo>
                  <a:pt x="776528" y="844550"/>
                </a:lnTo>
                <a:lnTo>
                  <a:pt x="780059" y="840740"/>
                </a:lnTo>
                <a:lnTo>
                  <a:pt x="780059" y="843280"/>
                </a:lnTo>
                <a:lnTo>
                  <a:pt x="783958" y="848360"/>
                </a:lnTo>
                <a:lnTo>
                  <a:pt x="788949" y="848360"/>
                </a:lnTo>
                <a:lnTo>
                  <a:pt x="818019" y="849630"/>
                </a:lnTo>
                <a:lnTo>
                  <a:pt x="820889" y="850900"/>
                </a:lnTo>
                <a:lnTo>
                  <a:pt x="823201" y="852170"/>
                </a:lnTo>
                <a:lnTo>
                  <a:pt x="824928" y="853440"/>
                </a:lnTo>
                <a:lnTo>
                  <a:pt x="830757" y="858520"/>
                </a:lnTo>
                <a:lnTo>
                  <a:pt x="837857" y="859790"/>
                </a:lnTo>
                <a:lnTo>
                  <a:pt x="852754" y="859790"/>
                </a:lnTo>
                <a:lnTo>
                  <a:pt x="859485" y="858520"/>
                </a:lnTo>
                <a:lnTo>
                  <a:pt x="865085" y="854710"/>
                </a:lnTo>
                <a:lnTo>
                  <a:pt x="867816" y="852170"/>
                </a:lnTo>
                <a:lnTo>
                  <a:pt x="870153" y="850900"/>
                </a:lnTo>
                <a:lnTo>
                  <a:pt x="873023" y="849630"/>
                </a:lnTo>
                <a:lnTo>
                  <a:pt x="902093" y="848360"/>
                </a:lnTo>
                <a:lnTo>
                  <a:pt x="907072" y="848360"/>
                </a:lnTo>
                <a:lnTo>
                  <a:pt x="910983" y="843280"/>
                </a:lnTo>
                <a:lnTo>
                  <a:pt x="910983" y="840740"/>
                </a:lnTo>
                <a:lnTo>
                  <a:pt x="914514" y="844550"/>
                </a:lnTo>
                <a:lnTo>
                  <a:pt x="961580" y="844550"/>
                </a:lnTo>
                <a:lnTo>
                  <a:pt x="965111" y="840740"/>
                </a:lnTo>
                <a:lnTo>
                  <a:pt x="965111" y="843280"/>
                </a:lnTo>
                <a:lnTo>
                  <a:pt x="969010" y="848360"/>
                </a:lnTo>
                <a:lnTo>
                  <a:pt x="974001" y="848360"/>
                </a:lnTo>
                <a:lnTo>
                  <a:pt x="1003071" y="849630"/>
                </a:lnTo>
                <a:lnTo>
                  <a:pt x="1005941" y="850900"/>
                </a:lnTo>
                <a:lnTo>
                  <a:pt x="1008278" y="852170"/>
                </a:lnTo>
                <a:lnTo>
                  <a:pt x="1010158" y="853440"/>
                </a:lnTo>
                <a:lnTo>
                  <a:pt x="1015923" y="858520"/>
                </a:lnTo>
                <a:lnTo>
                  <a:pt x="1022972" y="859790"/>
                </a:lnTo>
                <a:lnTo>
                  <a:pt x="1037882" y="859790"/>
                </a:lnTo>
                <a:lnTo>
                  <a:pt x="1044714" y="858520"/>
                </a:lnTo>
                <a:lnTo>
                  <a:pt x="1050378" y="854710"/>
                </a:lnTo>
                <a:lnTo>
                  <a:pt x="1052893" y="852170"/>
                </a:lnTo>
                <a:lnTo>
                  <a:pt x="1055192" y="850900"/>
                </a:lnTo>
                <a:lnTo>
                  <a:pt x="1058062" y="849630"/>
                </a:lnTo>
                <a:lnTo>
                  <a:pt x="1087132" y="848360"/>
                </a:lnTo>
                <a:lnTo>
                  <a:pt x="1092123" y="848360"/>
                </a:lnTo>
                <a:lnTo>
                  <a:pt x="1096060" y="843280"/>
                </a:lnTo>
                <a:lnTo>
                  <a:pt x="1096060" y="840740"/>
                </a:lnTo>
                <a:lnTo>
                  <a:pt x="1099540" y="844550"/>
                </a:lnTo>
                <a:lnTo>
                  <a:pt x="1146632" y="844550"/>
                </a:lnTo>
                <a:lnTo>
                  <a:pt x="1150162" y="840740"/>
                </a:lnTo>
                <a:lnTo>
                  <a:pt x="1150162" y="843280"/>
                </a:lnTo>
                <a:lnTo>
                  <a:pt x="1154036" y="848360"/>
                </a:lnTo>
                <a:lnTo>
                  <a:pt x="1159027" y="848360"/>
                </a:lnTo>
                <a:lnTo>
                  <a:pt x="1188135" y="849630"/>
                </a:lnTo>
                <a:lnTo>
                  <a:pt x="1190980" y="850900"/>
                </a:lnTo>
                <a:lnTo>
                  <a:pt x="1193330" y="852170"/>
                </a:lnTo>
                <a:lnTo>
                  <a:pt x="1194854" y="853440"/>
                </a:lnTo>
                <a:lnTo>
                  <a:pt x="1200670" y="858520"/>
                </a:lnTo>
                <a:lnTo>
                  <a:pt x="1207858" y="859790"/>
                </a:lnTo>
                <a:lnTo>
                  <a:pt x="1222971" y="859790"/>
                </a:lnTo>
                <a:lnTo>
                  <a:pt x="1229817" y="858520"/>
                </a:lnTo>
                <a:lnTo>
                  <a:pt x="1235506" y="854710"/>
                </a:lnTo>
                <a:lnTo>
                  <a:pt x="1237932" y="852170"/>
                </a:lnTo>
                <a:lnTo>
                  <a:pt x="1240231" y="850900"/>
                </a:lnTo>
                <a:lnTo>
                  <a:pt x="1243101" y="849630"/>
                </a:lnTo>
                <a:lnTo>
                  <a:pt x="1272209" y="848360"/>
                </a:lnTo>
                <a:lnTo>
                  <a:pt x="1277200" y="848360"/>
                </a:lnTo>
                <a:lnTo>
                  <a:pt x="1281099" y="843280"/>
                </a:lnTo>
                <a:lnTo>
                  <a:pt x="1281099" y="849630"/>
                </a:lnTo>
                <a:lnTo>
                  <a:pt x="1287437" y="849630"/>
                </a:lnTo>
                <a:lnTo>
                  <a:pt x="1289367" y="847090"/>
                </a:lnTo>
                <a:lnTo>
                  <a:pt x="1289367" y="838200"/>
                </a:lnTo>
                <a:lnTo>
                  <a:pt x="1289367" y="836930"/>
                </a:lnTo>
                <a:lnTo>
                  <a:pt x="1289367" y="831850"/>
                </a:lnTo>
                <a:lnTo>
                  <a:pt x="1292529" y="828040"/>
                </a:lnTo>
                <a:lnTo>
                  <a:pt x="1318806" y="828040"/>
                </a:lnTo>
                <a:lnTo>
                  <a:pt x="1320609" y="826770"/>
                </a:lnTo>
                <a:lnTo>
                  <a:pt x="1320965" y="824230"/>
                </a:lnTo>
                <a:lnTo>
                  <a:pt x="1320965" y="708660"/>
                </a:lnTo>
                <a:lnTo>
                  <a:pt x="1320609" y="706120"/>
                </a:lnTo>
                <a:lnTo>
                  <a:pt x="1318806" y="704850"/>
                </a:lnTo>
                <a:lnTo>
                  <a:pt x="1292529" y="704850"/>
                </a:lnTo>
                <a:lnTo>
                  <a:pt x="1289367" y="702310"/>
                </a:lnTo>
                <a:lnTo>
                  <a:pt x="1289367" y="694690"/>
                </a:lnTo>
                <a:lnTo>
                  <a:pt x="1289367" y="685800"/>
                </a:lnTo>
                <a:lnTo>
                  <a:pt x="1287437" y="683260"/>
                </a:lnTo>
                <a:lnTo>
                  <a:pt x="1281099" y="683260"/>
                </a:lnTo>
                <a:lnTo>
                  <a:pt x="1281099" y="689610"/>
                </a:lnTo>
                <a:lnTo>
                  <a:pt x="1277200" y="685800"/>
                </a:lnTo>
                <a:lnTo>
                  <a:pt x="1257122" y="684530"/>
                </a:lnTo>
                <a:lnTo>
                  <a:pt x="1251204" y="678180"/>
                </a:lnTo>
                <a:lnTo>
                  <a:pt x="1251204" y="180340"/>
                </a:lnTo>
                <a:lnTo>
                  <a:pt x="1257122" y="173990"/>
                </a:lnTo>
                <a:lnTo>
                  <a:pt x="1277200" y="173990"/>
                </a:lnTo>
                <a:lnTo>
                  <a:pt x="1281099" y="168910"/>
                </a:lnTo>
                <a:lnTo>
                  <a:pt x="1281099" y="175260"/>
                </a:lnTo>
                <a:lnTo>
                  <a:pt x="1287437" y="175260"/>
                </a:lnTo>
                <a:lnTo>
                  <a:pt x="1289367" y="172720"/>
                </a:lnTo>
                <a:lnTo>
                  <a:pt x="1289367" y="163830"/>
                </a:lnTo>
                <a:lnTo>
                  <a:pt x="1289367" y="157480"/>
                </a:lnTo>
                <a:lnTo>
                  <a:pt x="1292529" y="153670"/>
                </a:lnTo>
                <a:lnTo>
                  <a:pt x="1318806" y="153670"/>
                </a:lnTo>
                <a:lnTo>
                  <a:pt x="1320609" y="152400"/>
                </a:lnTo>
                <a:lnTo>
                  <a:pt x="1320965" y="149860"/>
                </a:lnTo>
                <a:lnTo>
                  <a:pt x="1320965" y="35560"/>
                </a:lnTo>
                <a:close/>
              </a:path>
            </a:pathLst>
          </a:custGeom>
          <a:solidFill>
            <a:srgbClr val="E3E3E3"/>
          </a:solidFill>
        </xdr:spPr>
      </xdr:sp>
      <xdr:sp macro="" textlink="">
        <xdr:nvSpPr>
          <xdr:cNvPr id="226" name="Shape 725">
            <a:extLst>
              <a:ext uri="{FF2B5EF4-FFF2-40B4-BE49-F238E27FC236}">
                <a16:creationId xmlns:a16="http://schemas.microsoft.com/office/drawing/2014/main" id="{F7C72F04-2C9B-BC63-F72A-32BC17D11B1A}"/>
              </a:ext>
            </a:extLst>
          </xdr:cNvPr>
          <xdr:cNvSpPr/>
        </xdr:nvSpPr>
        <xdr:spPr>
          <a:xfrm>
            <a:off x="631329" y="654998"/>
            <a:ext cx="1039494" cy="525145"/>
          </a:xfrm>
          <a:custGeom>
            <a:avLst/>
            <a:gdLst/>
            <a:ahLst/>
            <a:cxnLst/>
            <a:rect l="0" t="0" r="0" b="0"/>
            <a:pathLst>
              <a:path w="1039494" h="525145">
                <a:moveTo>
                  <a:pt x="113880" y="13843"/>
                </a:moveTo>
                <a:lnTo>
                  <a:pt x="107937" y="7607"/>
                </a:lnTo>
                <a:lnTo>
                  <a:pt x="87909" y="6553"/>
                </a:lnTo>
                <a:lnTo>
                  <a:pt x="85001" y="3505"/>
                </a:lnTo>
                <a:lnTo>
                  <a:pt x="83997" y="2438"/>
                </a:lnTo>
                <a:lnTo>
                  <a:pt x="83997" y="0"/>
                </a:lnTo>
                <a:lnTo>
                  <a:pt x="80479" y="3505"/>
                </a:lnTo>
                <a:lnTo>
                  <a:pt x="33413" y="3505"/>
                </a:lnTo>
                <a:lnTo>
                  <a:pt x="29883" y="0"/>
                </a:lnTo>
                <a:lnTo>
                  <a:pt x="29883" y="2438"/>
                </a:lnTo>
                <a:lnTo>
                  <a:pt x="25958" y="6553"/>
                </a:lnTo>
                <a:lnTo>
                  <a:pt x="5943" y="7607"/>
                </a:lnTo>
                <a:lnTo>
                  <a:pt x="0" y="13843"/>
                </a:lnTo>
                <a:lnTo>
                  <a:pt x="0" y="510971"/>
                </a:lnTo>
                <a:lnTo>
                  <a:pt x="5943" y="517207"/>
                </a:lnTo>
                <a:lnTo>
                  <a:pt x="25958" y="518248"/>
                </a:lnTo>
                <a:lnTo>
                  <a:pt x="29883" y="522389"/>
                </a:lnTo>
                <a:lnTo>
                  <a:pt x="29883" y="524827"/>
                </a:lnTo>
                <a:lnTo>
                  <a:pt x="33413" y="521322"/>
                </a:lnTo>
                <a:lnTo>
                  <a:pt x="80479" y="521322"/>
                </a:lnTo>
                <a:lnTo>
                  <a:pt x="83997" y="524827"/>
                </a:lnTo>
                <a:lnTo>
                  <a:pt x="83997" y="522389"/>
                </a:lnTo>
                <a:lnTo>
                  <a:pt x="85001" y="521322"/>
                </a:lnTo>
                <a:lnTo>
                  <a:pt x="87909" y="518248"/>
                </a:lnTo>
                <a:lnTo>
                  <a:pt x="107937" y="517207"/>
                </a:lnTo>
                <a:lnTo>
                  <a:pt x="113880" y="510971"/>
                </a:lnTo>
                <a:lnTo>
                  <a:pt x="113880" y="13843"/>
                </a:lnTo>
                <a:close/>
              </a:path>
              <a:path w="1039494" h="525145">
                <a:moveTo>
                  <a:pt x="298932" y="13843"/>
                </a:moveTo>
                <a:lnTo>
                  <a:pt x="293001" y="7607"/>
                </a:lnTo>
                <a:lnTo>
                  <a:pt x="272923" y="6553"/>
                </a:lnTo>
                <a:lnTo>
                  <a:pt x="270027" y="3505"/>
                </a:lnTo>
                <a:lnTo>
                  <a:pt x="269024" y="2438"/>
                </a:lnTo>
                <a:lnTo>
                  <a:pt x="269024" y="0"/>
                </a:lnTo>
                <a:lnTo>
                  <a:pt x="265544" y="3505"/>
                </a:lnTo>
                <a:lnTo>
                  <a:pt x="218427" y="3505"/>
                </a:lnTo>
                <a:lnTo>
                  <a:pt x="214947" y="0"/>
                </a:lnTo>
                <a:lnTo>
                  <a:pt x="214947" y="2438"/>
                </a:lnTo>
                <a:lnTo>
                  <a:pt x="211010" y="6553"/>
                </a:lnTo>
                <a:lnTo>
                  <a:pt x="190969" y="7607"/>
                </a:lnTo>
                <a:lnTo>
                  <a:pt x="185051" y="13843"/>
                </a:lnTo>
                <a:lnTo>
                  <a:pt x="185051" y="510971"/>
                </a:lnTo>
                <a:lnTo>
                  <a:pt x="190969" y="517207"/>
                </a:lnTo>
                <a:lnTo>
                  <a:pt x="211010" y="518248"/>
                </a:lnTo>
                <a:lnTo>
                  <a:pt x="214947" y="522389"/>
                </a:lnTo>
                <a:lnTo>
                  <a:pt x="214947" y="524827"/>
                </a:lnTo>
                <a:lnTo>
                  <a:pt x="218427" y="521322"/>
                </a:lnTo>
                <a:lnTo>
                  <a:pt x="265544" y="521322"/>
                </a:lnTo>
                <a:lnTo>
                  <a:pt x="269024" y="524827"/>
                </a:lnTo>
                <a:lnTo>
                  <a:pt x="269024" y="522389"/>
                </a:lnTo>
                <a:lnTo>
                  <a:pt x="270027" y="521322"/>
                </a:lnTo>
                <a:lnTo>
                  <a:pt x="272923" y="518248"/>
                </a:lnTo>
                <a:lnTo>
                  <a:pt x="293001" y="517207"/>
                </a:lnTo>
                <a:lnTo>
                  <a:pt x="298932" y="510971"/>
                </a:lnTo>
                <a:lnTo>
                  <a:pt x="298932" y="13843"/>
                </a:lnTo>
                <a:close/>
              </a:path>
              <a:path w="1039494" h="525145">
                <a:moveTo>
                  <a:pt x="483463" y="13843"/>
                </a:moveTo>
                <a:lnTo>
                  <a:pt x="477532" y="7607"/>
                </a:lnTo>
                <a:lnTo>
                  <a:pt x="457454" y="6553"/>
                </a:lnTo>
                <a:lnTo>
                  <a:pt x="454571" y="3505"/>
                </a:lnTo>
                <a:lnTo>
                  <a:pt x="453555" y="2438"/>
                </a:lnTo>
                <a:lnTo>
                  <a:pt x="453555" y="0"/>
                </a:lnTo>
                <a:lnTo>
                  <a:pt x="450075" y="3505"/>
                </a:lnTo>
                <a:lnTo>
                  <a:pt x="402958" y="3505"/>
                </a:lnTo>
                <a:lnTo>
                  <a:pt x="399478" y="0"/>
                </a:lnTo>
                <a:lnTo>
                  <a:pt x="399478" y="2438"/>
                </a:lnTo>
                <a:lnTo>
                  <a:pt x="395541" y="6553"/>
                </a:lnTo>
                <a:lnTo>
                  <a:pt x="375500" y="7607"/>
                </a:lnTo>
                <a:lnTo>
                  <a:pt x="369582" y="13843"/>
                </a:lnTo>
                <a:lnTo>
                  <a:pt x="369582" y="510971"/>
                </a:lnTo>
                <a:lnTo>
                  <a:pt x="375500" y="517207"/>
                </a:lnTo>
                <a:lnTo>
                  <a:pt x="395541" y="518248"/>
                </a:lnTo>
                <a:lnTo>
                  <a:pt x="399478" y="522389"/>
                </a:lnTo>
                <a:lnTo>
                  <a:pt x="399478" y="524827"/>
                </a:lnTo>
                <a:lnTo>
                  <a:pt x="402958" y="521322"/>
                </a:lnTo>
                <a:lnTo>
                  <a:pt x="450075" y="521322"/>
                </a:lnTo>
                <a:lnTo>
                  <a:pt x="453555" y="524827"/>
                </a:lnTo>
                <a:lnTo>
                  <a:pt x="453555" y="522389"/>
                </a:lnTo>
                <a:lnTo>
                  <a:pt x="454558" y="521322"/>
                </a:lnTo>
                <a:lnTo>
                  <a:pt x="457454" y="518248"/>
                </a:lnTo>
                <a:lnTo>
                  <a:pt x="477532" y="517207"/>
                </a:lnTo>
                <a:lnTo>
                  <a:pt x="483463" y="510971"/>
                </a:lnTo>
                <a:lnTo>
                  <a:pt x="483463" y="13843"/>
                </a:lnTo>
                <a:close/>
              </a:path>
              <a:path w="1039494" h="525145">
                <a:moveTo>
                  <a:pt x="667804" y="13843"/>
                </a:moveTo>
                <a:lnTo>
                  <a:pt x="661873" y="7607"/>
                </a:lnTo>
                <a:lnTo>
                  <a:pt x="641794" y="6553"/>
                </a:lnTo>
                <a:lnTo>
                  <a:pt x="638924" y="3505"/>
                </a:lnTo>
                <a:lnTo>
                  <a:pt x="637921" y="2438"/>
                </a:lnTo>
                <a:lnTo>
                  <a:pt x="637921" y="0"/>
                </a:lnTo>
                <a:lnTo>
                  <a:pt x="634390" y="3505"/>
                </a:lnTo>
                <a:lnTo>
                  <a:pt x="587298" y="3505"/>
                </a:lnTo>
                <a:lnTo>
                  <a:pt x="583819" y="0"/>
                </a:lnTo>
                <a:lnTo>
                  <a:pt x="583819" y="2438"/>
                </a:lnTo>
                <a:lnTo>
                  <a:pt x="579882" y="6553"/>
                </a:lnTo>
                <a:lnTo>
                  <a:pt x="559841" y="7607"/>
                </a:lnTo>
                <a:lnTo>
                  <a:pt x="553923" y="13843"/>
                </a:lnTo>
                <a:lnTo>
                  <a:pt x="553923" y="510971"/>
                </a:lnTo>
                <a:lnTo>
                  <a:pt x="559841" y="517207"/>
                </a:lnTo>
                <a:lnTo>
                  <a:pt x="579882" y="518248"/>
                </a:lnTo>
                <a:lnTo>
                  <a:pt x="583819" y="522389"/>
                </a:lnTo>
                <a:lnTo>
                  <a:pt x="583819" y="524827"/>
                </a:lnTo>
                <a:lnTo>
                  <a:pt x="587298" y="521322"/>
                </a:lnTo>
                <a:lnTo>
                  <a:pt x="634390" y="521322"/>
                </a:lnTo>
                <a:lnTo>
                  <a:pt x="637921" y="524827"/>
                </a:lnTo>
                <a:lnTo>
                  <a:pt x="637921" y="522389"/>
                </a:lnTo>
                <a:lnTo>
                  <a:pt x="638911" y="521322"/>
                </a:lnTo>
                <a:lnTo>
                  <a:pt x="641794" y="518248"/>
                </a:lnTo>
                <a:lnTo>
                  <a:pt x="661873" y="517207"/>
                </a:lnTo>
                <a:lnTo>
                  <a:pt x="667804" y="510971"/>
                </a:lnTo>
                <a:lnTo>
                  <a:pt x="667804" y="13843"/>
                </a:lnTo>
                <a:close/>
              </a:path>
              <a:path w="1039494" h="525145">
                <a:moveTo>
                  <a:pt x="853008" y="13843"/>
                </a:moveTo>
                <a:lnTo>
                  <a:pt x="847077" y="7607"/>
                </a:lnTo>
                <a:lnTo>
                  <a:pt x="826998" y="6553"/>
                </a:lnTo>
                <a:lnTo>
                  <a:pt x="824103" y="3505"/>
                </a:lnTo>
                <a:lnTo>
                  <a:pt x="823099" y="2438"/>
                </a:lnTo>
                <a:lnTo>
                  <a:pt x="823099" y="0"/>
                </a:lnTo>
                <a:lnTo>
                  <a:pt x="819619" y="3505"/>
                </a:lnTo>
                <a:lnTo>
                  <a:pt x="772502" y="3505"/>
                </a:lnTo>
                <a:lnTo>
                  <a:pt x="769023" y="0"/>
                </a:lnTo>
                <a:lnTo>
                  <a:pt x="769023" y="2438"/>
                </a:lnTo>
                <a:lnTo>
                  <a:pt x="765086" y="6553"/>
                </a:lnTo>
                <a:lnTo>
                  <a:pt x="745045" y="7607"/>
                </a:lnTo>
                <a:lnTo>
                  <a:pt x="739127" y="13843"/>
                </a:lnTo>
                <a:lnTo>
                  <a:pt x="739127" y="510971"/>
                </a:lnTo>
                <a:lnTo>
                  <a:pt x="745045" y="517207"/>
                </a:lnTo>
                <a:lnTo>
                  <a:pt x="765086" y="518248"/>
                </a:lnTo>
                <a:lnTo>
                  <a:pt x="769023" y="522389"/>
                </a:lnTo>
                <a:lnTo>
                  <a:pt x="769023" y="524827"/>
                </a:lnTo>
                <a:lnTo>
                  <a:pt x="772502" y="521322"/>
                </a:lnTo>
                <a:lnTo>
                  <a:pt x="819619" y="521322"/>
                </a:lnTo>
                <a:lnTo>
                  <a:pt x="823099" y="524827"/>
                </a:lnTo>
                <a:lnTo>
                  <a:pt x="823099" y="522389"/>
                </a:lnTo>
                <a:lnTo>
                  <a:pt x="824103" y="521322"/>
                </a:lnTo>
                <a:lnTo>
                  <a:pt x="826998" y="518248"/>
                </a:lnTo>
                <a:lnTo>
                  <a:pt x="847077" y="517207"/>
                </a:lnTo>
                <a:lnTo>
                  <a:pt x="853008" y="510971"/>
                </a:lnTo>
                <a:lnTo>
                  <a:pt x="853008" y="13843"/>
                </a:lnTo>
                <a:close/>
              </a:path>
              <a:path w="1039494" h="525145">
                <a:moveTo>
                  <a:pt x="1039304" y="13843"/>
                </a:moveTo>
                <a:lnTo>
                  <a:pt x="1033373" y="7607"/>
                </a:lnTo>
                <a:lnTo>
                  <a:pt x="1013294" y="6553"/>
                </a:lnTo>
                <a:lnTo>
                  <a:pt x="1010399" y="3505"/>
                </a:lnTo>
                <a:lnTo>
                  <a:pt x="1009396" y="2438"/>
                </a:lnTo>
                <a:lnTo>
                  <a:pt x="1009396" y="0"/>
                </a:lnTo>
                <a:lnTo>
                  <a:pt x="1005916" y="3505"/>
                </a:lnTo>
                <a:lnTo>
                  <a:pt x="958799" y="3505"/>
                </a:lnTo>
                <a:lnTo>
                  <a:pt x="955319" y="0"/>
                </a:lnTo>
                <a:lnTo>
                  <a:pt x="955319" y="2438"/>
                </a:lnTo>
                <a:lnTo>
                  <a:pt x="951382" y="6553"/>
                </a:lnTo>
                <a:lnTo>
                  <a:pt x="931341" y="7607"/>
                </a:lnTo>
                <a:lnTo>
                  <a:pt x="925423" y="13843"/>
                </a:lnTo>
                <a:lnTo>
                  <a:pt x="925423" y="510971"/>
                </a:lnTo>
                <a:lnTo>
                  <a:pt x="931341" y="517207"/>
                </a:lnTo>
                <a:lnTo>
                  <a:pt x="951382" y="518248"/>
                </a:lnTo>
                <a:lnTo>
                  <a:pt x="955319" y="522389"/>
                </a:lnTo>
                <a:lnTo>
                  <a:pt x="955319" y="524827"/>
                </a:lnTo>
                <a:lnTo>
                  <a:pt x="958799" y="521322"/>
                </a:lnTo>
                <a:lnTo>
                  <a:pt x="1005916" y="521322"/>
                </a:lnTo>
                <a:lnTo>
                  <a:pt x="1009396" y="524827"/>
                </a:lnTo>
                <a:lnTo>
                  <a:pt x="1009396" y="522389"/>
                </a:lnTo>
                <a:lnTo>
                  <a:pt x="1010399" y="521322"/>
                </a:lnTo>
                <a:lnTo>
                  <a:pt x="1013294" y="518248"/>
                </a:lnTo>
                <a:lnTo>
                  <a:pt x="1033373" y="517207"/>
                </a:lnTo>
                <a:lnTo>
                  <a:pt x="1039304" y="510971"/>
                </a:lnTo>
                <a:lnTo>
                  <a:pt x="1039304" y="13843"/>
                </a:lnTo>
                <a:close/>
              </a:path>
            </a:pathLst>
          </a:custGeom>
          <a:solidFill>
            <a:srgbClr val="FFFFFF"/>
          </a:solidFill>
        </xdr:spPr>
      </xdr:sp>
      <xdr:sp macro="" textlink="">
        <xdr:nvSpPr>
          <xdr:cNvPr id="227" name="Shape 726">
            <a:extLst>
              <a:ext uri="{FF2B5EF4-FFF2-40B4-BE49-F238E27FC236}">
                <a16:creationId xmlns:a16="http://schemas.microsoft.com/office/drawing/2014/main" id="{7ACAAC5B-8776-0C66-827B-9FF74A7F26F1}"/>
              </a:ext>
            </a:extLst>
          </xdr:cNvPr>
          <xdr:cNvSpPr/>
        </xdr:nvSpPr>
        <xdr:spPr>
          <a:xfrm>
            <a:off x="490413" y="503563"/>
            <a:ext cx="402590" cy="828675"/>
          </a:xfrm>
          <a:custGeom>
            <a:avLst/>
            <a:gdLst/>
            <a:ahLst/>
            <a:cxnLst/>
            <a:rect l="0" t="0" r="0" b="0"/>
            <a:pathLst>
              <a:path w="402590" h="828675">
                <a:moveTo>
                  <a:pt x="0" y="695363"/>
                </a:moveTo>
                <a:lnTo>
                  <a:pt x="0" y="804964"/>
                </a:lnTo>
              </a:path>
              <a:path w="402590" h="828675">
                <a:moveTo>
                  <a:pt x="363664" y="671880"/>
                </a:moveTo>
                <a:lnTo>
                  <a:pt x="402107" y="671880"/>
                </a:lnTo>
              </a:path>
              <a:path w="402590" h="828675">
                <a:moveTo>
                  <a:pt x="363664" y="828446"/>
                </a:moveTo>
                <a:lnTo>
                  <a:pt x="402107" y="828446"/>
                </a:lnTo>
              </a:path>
              <a:path w="402590" h="828675">
                <a:moveTo>
                  <a:pt x="363664" y="0"/>
                </a:moveTo>
                <a:lnTo>
                  <a:pt x="402107" y="0"/>
                </a:lnTo>
              </a:path>
              <a:path w="402590" h="828675">
                <a:moveTo>
                  <a:pt x="363664" y="156578"/>
                </a:moveTo>
                <a:lnTo>
                  <a:pt x="402107" y="156578"/>
                </a:lnTo>
              </a:path>
              <a:path w="402590" h="828675">
                <a:moveTo>
                  <a:pt x="254800" y="809142"/>
                </a:moveTo>
                <a:lnTo>
                  <a:pt x="254800" y="19926"/>
                </a:lnTo>
              </a:path>
              <a:path w="402590" h="828675">
                <a:moveTo>
                  <a:pt x="325970" y="808532"/>
                </a:moveTo>
                <a:lnTo>
                  <a:pt x="325970" y="19926"/>
                </a:lnTo>
              </a:path>
              <a:path w="402590" h="828675">
                <a:moveTo>
                  <a:pt x="140919" y="809142"/>
                </a:moveTo>
                <a:lnTo>
                  <a:pt x="140919" y="19926"/>
                </a:lnTo>
              </a:path>
              <a:path w="402590" h="828675">
                <a:moveTo>
                  <a:pt x="69735" y="808532"/>
                </a:moveTo>
                <a:lnTo>
                  <a:pt x="69735" y="19926"/>
                </a:lnTo>
              </a:path>
            </a:pathLst>
          </a:custGeom>
          <a:ln w="10134">
            <a:solidFill>
              <a:srgbClr val="000000"/>
            </a:solidFill>
          </a:ln>
        </xdr:spPr>
      </xdr:sp>
      <xdr:pic>
        <xdr:nvPicPr>
          <xdr:cNvPr id="228" name="image85.png">
            <a:extLst>
              <a:ext uri="{FF2B5EF4-FFF2-40B4-BE49-F238E27FC236}">
                <a16:creationId xmlns:a16="http://schemas.microsoft.com/office/drawing/2014/main" id="{7763D737-2738-36C4-5ADF-6D8BECB9B27B}"/>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485336" y="1152457"/>
            <a:ext cx="373808" cy="200291"/>
          </a:xfrm>
          <a:prstGeom prst="rect">
            <a:avLst/>
          </a:prstGeom>
        </xdr:spPr>
      </xdr:pic>
      <xdr:pic>
        <xdr:nvPicPr>
          <xdr:cNvPr id="229" name="image86.png">
            <a:extLst>
              <a:ext uri="{FF2B5EF4-FFF2-40B4-BE49-F238E27FC236}">
                <a16:creationId xmlns:a16="http://schemas.microsoft.com/office/drawing/2014/main" id="{FF717D2D-50E8-8398-93E8-419BF4D45BB6}"/>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485336" y="482837"/>
            <a:ext cx="373808" cy="200291"/>
          </a:xfrm>
          <a:prstGeom prst="rect">
            <a:avLst/>
          </a:prstGeom>
        </xdr:spPr>
      </xdr:pic>
      <xdr:sp macro="" textlink="">
        <xdr:nvSpPr>
          <xdr:cNvPr id="230" name="Shape 729">
            <a:extLst>
              <a:ext uri="{FF2B5EF4-FFF2-40B4-BE49-F238E27FC236}">
                <a16:creationId xmlns:a16="http://schemas.microsoft.com/office/drawing/2014/main" id="{D90D6A60-222C-FF8F-681A-B83779441913}"/>
              </a:ext>
            </a:extLst>
          </xdr:cNvPr>
          <xdr:cNvSpPr/>
        </xdr:nvSpPr>
        <xdr:spPr>
          <a:xfrm>
            <a:off x="892520" y="523490"/>
            <a:ext cx="664210" cy="824230"/>
          </a:xfrm>
          <a:custGeom>
            <a:avLst/>
            <a:gdLst/>
            <a:ahLst/>
            <a:cxnLst/>
            <a:rect l="0" t="0" r="0" b="0"/>
            <a:pathLst>
              <a:path w="664210" h="824230">
                <a:moveTo>
                  <a:pt x="592861" y="789216"/>
                </a:moveTo>
                <a:lnTo>
                  <a:pt x="592861" y="0"/>
                </a:lnTo>
              </a:path>
              <a:path w="664210" h="824230">
                <a:moveTo>
                  <a:pt x="664057" y="788606"/>
                </a:moveTo>
                <a:lnTo>
                  <a:pt x="664057" y="0"/>
                </a:lnTo>
              </a:path>
              <a:path w="664210" h="824230">
                <a:moveTo>
                  <a:pt x="407822" y="789216"/>
                </a:moveTo>
                <a:lnTo>
                  <a:pt x="407822" y="0"/>
                </a:lnTo>
              </a:path>
              <a:path w="664210" h="824230">
                <a:moveTo>
                  <a:pt x="479005" y="788606"/>
                </a:moveTo>
                <a:lnTo>
                  <a:pt x="479005" y="0"/>
                </a:lnTo>
              </a:path>
              <a:path w="664210" h="824230">
                <a:moveTo>
                  <a:pt x="222783" y="789216"/>
                </a:moveTo>
                <a:lnTo>
                  <a:pt x="222783" y="0"/>
                </a:lnTo>
              </a:path>
              <a:path w="664210" h="824230">
                <a:moveTo>
                  <a:pt x="293941" y="788606"/>
                </a:moveTo>
                <a:lnTo>
                  <a:pt x="293941" y="0"/>
                </a:lnTo>
              </a:path>
              <a:path w="664210" h="824230">
                <a:moveTo>
                  <a:pt x="37744" y="789216"/>
                </a:moveTo>
                <a:lnTo>
                  <a:pt x="37744" y="0"/>
                </a:lnTo>
              </a:path>
              <a:path w="664210" h="824230">
                <a:moveTo>
                  <a:pt x="108889" y="788606"/>
                </a:moveTo>
                <a:lnTo>
                  <a:pt x="108889" y="0"/>
                </a:lnTo>
              </a:path>
              <a:path w="664210" h="824230">
                <a:moveTo>
                  <a:pt x="407822" y="788606"/>
                </a:moveTo>
                <a:lnTo>
                  <a:pt x="410621" y="802455"/>
                </a:lnTo>
                <a:lnTo>
                  <a:pt x="418250" y="813766"/>
                </a:lnTo>
                <a:lnTo>
                  <a:pt x="429559" y="821394"/>
                </a:lnTo>
                <a:lnTo>
                  <a:pt x="443395" y="824191"/>
                </a:lnTo>
              </a:path>
              <a:path w="664210" h="824230">
                <a:moveTo>
                  <a:pt x="377951" y="658012"/>
                </a:moveTo>
                <a:lnTo>
                  <a:pt x="377951" y="802449"/>
                </a:lnTo>
              </a:path>
              <a:path w="664210" h="824230">
                <a:moveTo>
                  <a:pt x="377951" y="658012"/>
                </a:moveTo>
                <a:lnTo>
                  <a:pt x="377951" y="802449"/>
                </a:lnTo>
              </a:path>
              <a:path w="664210" h="824230">
                <a:moveTo>
                  <a:pt x="377951" y="659777"/>
                </a:moveTo>
                <a:lnTo>
                  <a:pt x="377951" y="800684"/>
                </a:lnTo>
              </a:path>
              <a:path w="664210" h="824230">
                <a:moveTo>
                  <a:pt x="377951" y="802449"/>
                </a:moveTo>
                <a:lnTo>
                  <a:pt x="377951" y="658012"/>
                </a:lnTo>
              </a:path>
              <a:path w="664210" h="824230">
                <a:moveTo>
                  <a:pt x="323837" y="658012"/>
                </a:moveTo>
                <a:lnTo>
                  <a:pt x="323837" y="802449"/>
                </a:lnTo>
              </a:path>
              <a:path w="664210" h="824230">
                <a:moveTo>
                  <a:pt x="323837" y="802449"/>
                </a:moveTo>
                <a:lnTo>
                  <a:pt x="323837" y="658012"/>
                </a:lnTo>
              </a:path>
              <a:path w="664210" h="824230">
                <a:moveTo>
                  <a:pt x="323837" y="658012"/>
                </a:moveTo>
                <a:lnTo>
                  <a:pt x="323837" y="802449"/>
                </a:lnTo>
              </a:path>
              <a:path w="664210" h="824230">
                <a:moveTo>
                  <a:pt x="192887" y="658012"/>
                </a:moveTo>
                <a:lnTo>
                  <a:pt x="192887" y="802449"/>
                </a:lnTo>
              </a:path>
              <a:path w="664210" h="824230">
                <a:moveTo>
                  <a:pt x="192887" y="658012"/>
                </a:moveTo>
                <a:lnTo>
                  <a:pt x="192887" y="802449"/>
                </a:lnTo>
              </a:path>
              <a:path w="664210" h="824230">
                <a:moveTo>
                  <a:pt x="192887" y="659777"/>
                </a:moveTo>
                <a:lnTo>
                  <a:pt x="192887" y="800684"/>
                </a:lnTo>
              </a:path>
              <a:path w="664210" h="824230">
                <a:moveTo>
                  <a:pt x="192887" y="802449"/>
                </a:moveTo>
                <a:lnTo>
                  <a:pt x="192887" y="658012"/>
                </a:lnTo>
              </a:path>
              <a:path w="664210" h="824230">
                <a:moveTo>
                  <a:pt x="138810" y="658012"/>
                </a:moveTo>
                <a:lnTo>
                  <a:pt x="138810" y="802449"/>
                </a:lnTo>
              </a:path>
              <a:path w="664210" h="824230">
                <a:moveTo>
                  <a:pt x="138810" y="802449"/>
                </a:moveTo>
                <a:lnTo>
                  <a:pt x="138810" y="658012"/>
                </a:lnTo>
              </a:path>
              <a:path w="664210" h="824230">
                <a:moveTo>
                  <a:pt x="138810" y="658012"/>
                </a:moveTo>
                <a:lnTo>
                  <a:pt x="138810" y="802449"/>
                </a:lnTo>
              </a:path>
              <a:path w="664210" h="824230">
                <a:moveTo>
                  <a:pt x="7835" y="658012"/>
                </a:moveTo>
                <a:lnTo>
                  <a:pt x="7835" y="802449"/>
                </a:lnTo>
              </a:path>
              <a:path w="664210" h="824230">
                <a:moveTo>
                  <a:pt x="7835" y="658012"/>
                </a:moveTo>
                <a:lnTo>
                  <a:pt x="7835" y="802449"/>
                </a:lnTo>
              </a:path>
              <a:path w="664210" h="824230">
                <a:moveTo>
                  <a:pt x="7835" y="659777"/>
                </a:moveTo>
                <a:lnTo>
                  <a:pt x="7835" y="800684"/>
                </a:lnTo>
              </a:path>
              <a:path w="664210" h="824230">
                <a:moveTo>
                  <a:pt x="7835" y="802449"/>
                </a:moveTo>
                <a:lnTo>
                  <a:pt x="7835" y="658012"/>
                </a:lnTo>
              </a:path>
              <a:path w="664210" h="824230">
                <a:moveTo>
                  <a:pt x="201802" y="811834"/>
                </a:moveTo>
                <a:lnTo>
                  <a:pt x="227876" y="813193"/>
                </a:lnTo>
              </a:path>
              <a:path w="664210" h="824230">
                <a:moveTo>
                  <a:pt x="73329" y="824191"/>
                </a:moveTo>
                <a:lnTo>
                  <a:pt x="87179" y="821394"/>
                </a:lnTo>
                <a:lnTo>
                  <a:pt x="98482" y="813766"/>
                </a:lnTo>
                <a:lnTo>
                  <a:pt x="106098" y="802455"/>
                </a:lnTo>
                <a:lnTo>
                  <a:pt x="108889" y="788606"/>
                </a:lnTo>
              </a:path>
              <a:path w="664210" h="824230">
                <a:moveTo>
                  <a:pt x="7835" y="802449"/>
                </a:moveTo>
                <a:lnTo>
                  <a:pt x="7835" y="807453"/>
                </a:lnTo>
                <a:lnTo>
                  <a:pt x="11747" y="811580"/>
                </a:lnTo>
                <a:lnTo>
                  <a:pt x="16725" y="811834"/>
                </a:lnTo>
              </a:path>
              <a:path w="664210" h="824230">
                <a:moveTo>
                  <a:pt x="37744" y="788606"/>
                </a:moveTo>
                <a:lnTo>
                  <a:pt x="40538" y="802455"/>
                </a:lnTo>
                <a:lnTo>
                  <a:pt x="48159" y="813766"/>
                </a:lnTo>
                <a:lnTo>
                  <a:pt x="59470" y="821394"/>
                </a:lnTo>
                <a:lnTo>
                  <a:pt x="73329" y="824191"/>
                </a:lnTo>
              </a:path>
              <a:path w="664210" h="824230">
                <a:moveTo>
                  <a:pt x="0" y="808520"/>
                </a:moveTo>
                <a:lnTo>
                  <a:pt x="4356" y="808520"/>
                </a:lnTo>
                <a:lnTo>
                  <a:pt x="7835" y="805027"/>
                </a:lnTo>
                <a:lnTo>
                  <a:pt x="7835" y="800684"/>
                </a:lnTo>
              </a:path>
              <a:path w="664210" h="824230">
                <a:moveTo>
                  <a:pt x="16725" y="811834"/>
                </a:moveTo>
                <a:lnTo>
                  <a:pt x="42824" y="813193"/>
                </a:lnTo>
              </a:path>
              <a:path w="664210" h="824230">
                <a:moveTo>
                  <a:pt x="51028" y="816330"/>
                </a:moveTo>
                <a:lnTo>
                  <a:pt x="48666" y="814450"/>
                </a:lnTo>
                <a:lnTo>
                  <a:pt x="45834" y="813358"/>
                </a:lnTo>
                <a:lnTo>
                  <a:pt x="42824" y="813193"/>
                </a:lnTo>
              </a:path>
              <a:path w="664210" h="824230">
                <a:moveTo>
                  <a:pt x="192887" y="802449"/>
                </a:moveTo>
                <a:lnTo>
                  <a:pt x="192887" y="807453"/>
                </a:lnTo>
                <a:lnTo>
                  <a:pt x="196786" y="811580"/>
                </a:lnTo>
                <a:lnTo>
                  <a:pt x="201802" y="811834"/>
                </a:lnTo>
              </a:path>
              <a:path w="664210" h="824230">
                <a:moveTo>
                  <a:pt x="185051" y="808520"/>
                </a:moveTo>
                <a:lnTo>
                  <a:pt x="189407" y="808520"/>
                </a:lnTo>
                <a:lnTo>
                  <a:pt x="192887" y="805027"/>
                </a:lnTo>
                <a:lnTo>
                  <a:pt x="192887" y="800684"/>
                </a:lnTo>
              </a:path>
              <a:path w="664210" h="824230">
                <a:moveTo>
                  <a:pt x="138810" y="800684"/>
                </a:moveTo>
                <a:lnTo>
                  <a:pt x="138810" y="805027"/>
                </a:lnTo>
                <a:lnTo>
                  <a:pt x="142290" y="808520"/>
                </a:lnTo>
                <a:lnTo>
                  <a:pt x="146634" y="808520"/>
                </a:lnTo>
              </a:path>
              <a:path w="664210" h="824230">
                <a:moveTo>
                  <a:pt x="129882" y="811834"/>
                </a:moveTo>
                <a:lnTo>
                  <a:pt x="134886" y="811580"/>
                </a:lnTo>
                <a:lnTo>
                  <a:pt x="138810" y="807453"/>
                </a:lnTo>
                <a:lnTo>
                  <a:pt x="138810" y="802449"/>
                </a:lnTo>
              </a:path>
              <a:path w="664210" h="824230">
                <a:moveTo>
                  <a:pt x="146634" y="808520"/>
                </a:moveTo>
                <a:lnTo>
                  <a:pt x="185051" y="808520"/>
                </a:lnTo>
              </a:path>
              <a:path w="664210" h="824230">
                <a:moveTo>
                  <a:pt x="103797" y="813193"/>
                </a:moveTo>
                <a:lnTo>
                  <a:pt x="100812" y="813358"/>
                </a:lnTo>
                <a:lnTo>
                  <a:pt x="97942" y="814450"/>
                </a:lnTo>
                <a:lnTo>
                  <a:pt x="95618" y="816330"/>
                </a:lnTo>
              </a:path>
              <a:path w="664210" h="824230">
                <a:moveTo>
                  <a:pt x="129882" y="811834"/>
                </a:moveTo>
                <a:lnTo>
                  <a:pt x="103797" y="813193"/>
                </a:lnTo>
              </a:path>
              <a:path w="664210" h="824230">
                <a:moveTo>
                  <a:pt x="323837" y="800684"/>
                </a:moveTo>
                <a:lnTo>
                  <a:pt x="323837" y="805027"/>
                </a:lnTo>
                <a:lnTo>
                  <a:pt x="327367" y="808520"/>
                </a:lnTo>
                <a:lnTo>
                  <a:pt x="331685" y="808520"/>
                </a:lnTo>
              </a:path>
              <a:path w="664210" h="824230">
                <a:moveTo>
                  <a:pt x="314947" y="811834"/>
                </a:moveTo>
                <a:lnTo>
                  <a:pt x="319938" y="811580"/>
                </a:lnTo>
                <a:lnTo>
                  <a:pt x="323837" y="807453"/>
                </a:lnTo>
                <a:lnTo>
                  <a:pt x="323837" y="802449"/>
                </a:lnTo>
              </a:path>
              <a:path w="664210" h="824230">
                <a:moveTo>
                  <a:pt x="258356" y="824191"/>
                </a:moveTo>
                <a:lnTo>
                  <a:pt x="272220" y="821394"/>
                </a:lnTo>
                <a:lnTo>
                  <a:pt x="283530" y="813766"/>
                </a:lnTo>
                <a:lnTo>
                  <a:pt x="291149" y="802455"/>
                </a:lnTo>
                <a:lnTo>
                  <a:pt x="293941" y="788606"/>
                </a:lnTo>
              </a:path>
              <a:path w="664210" h="824230">
                <a:moveTo>
                  <a:pt x="222783" y="788606"/>
                </a:moveTo>
                <a:lnTo>
                  <a:pt x="225582" y="802455"/>
                </a:lnTo>
                <a:lnTo>
                  <a:pt x="233211" y="813766"/>
                </a:lnTo>
                <a:lnTo>
                  <a:pt x="244520" y="821394"/>
                </a:lnTo>
                <a:lnTo>
                  <a:pt x="258356" y="824191"/>
                </a:lnTo>
              </a:path>
              <a:path w="664210" h="824230">
                <a:moveTo>
                  <a:pt x="236054" y="816330"/>
                </a:moveTo>
                <a:lnTo>
                  <a:pt x="233743" y="814450"/>
                </a:lnTo>
                <a:lnTo>
                  <a:pt x="230885" y="813358"/>
                </a:lnTo>
                <a:lnTo>
                  <a:pt x="227876" y="813193"/>
                </a:lnTo>
              </a:path>
              <a:path w="664210" h="824230">
                <a:moveTo>
                  <a:pt x="288848" y="813193"/>
                </a:moveTo>
                <a:lnTo>
                  <a:pt x="285876" y="813358"/>
                </a:lnTo>
                <a:lnTo>
                  <a:pt x="283006" y="814450"/>
                </a:lnTo>
                <a:lnTo>
                  <a:pt x="280644" y="816330"/>
                </a:lnTo>
              </a:path>
              <a:path w="664210" h="824230">
                <a:moveTo>
                  <a:pt x="314947" y="811834"/>
                </a:moveTo>
                <a:lnTo>
                  <a:pt x="288848" y="813193"/>
                </a:lnTo>
              </a:path>
              <a:path w="664210" h="824230">
                <a:moveTo>
                  <a:pt x="377951" y="802449"/>
                </a:moveTo>
                <a:lnTo>
                  <a:pt x="377951" y="807453"/>
                </a:lnTo>
                <a:lnTo>
                  <a:pt x="381863" y="811580"/>
                </a:lnTo>
                <a:lnTo>
                  <a:pt x="386841" y="811834"/>
                </a:lnTo>
              </a:path>
              <a:path w="664210" h="824230">
                <a:moveTo>
                  <a:pt x="370116" y="808520"/>
                </a:moveTo>
                <a:lnTo>
                  <a:pt x="374434" y="808520"/>
                </a:lnTo>
                <a:lnTo>
                  <a:pt x="377951" y="805027"/>
                </a:lnTo>
                <a:lnTo>
                  <a:pt x="377951" y="800684"/>
                </a:lnTo>
              </a:path>
              <a:path w="664210" h="824230">
                <a:moveTo>
                  <a:pt x="331685" y="808520"/>
                </a:moveTo>
                <a:lnTo>
                  <a:pt x="370116" y="808520"/>
                </a:lnTo>
              </a:path>
              <a:path w="664210" h="824230">
                <a:moveTo>
                  <a:pt x="386841" y="811834"/>
                </a:moveTo>
                <a:lnTo>
                  <a:pt x="412940" y="813193"/>
                </a:lnTo>
              </a:path>
              <a:path w="664210" h="824230">
                <a:moveTo>
                  <a:pt x="421106" y="816330"/>
                </a:moveTo>
                <a:lnTo>
                  <a:pt x="418782" y="814450"/>
                </a:lnTo>
                <a:lnTo>
                  <a:pt x="415912" y="813358"/>
                </a:lnTo>
                <a:lnTo>
                  <a:pt x="412940" y="813193"/>
                </a:lnTo>
              </a:path>
              <a:path w="664210" h="824230">
                <a:moveTo>
                  <a:pt x="209283" y="648233"/>
                </a:moveTo>
                <a:lnTo>
                  <a:pt x="201802" y="648627"/>
                </a:lnTo>
              </a:path>
              <a:path w="664210" h="824230">
                <a:moveTo>
                  <a:pt x="24231" y="648233"/>
                </a:moveTo>
                <a:lnTo>
                  <a:pt x="31826" y="647839"/>
                </a:lnTo>
                <a:lnTo>
                  <a:pt x="37744" y="641591"/>
                </a:lnTo>
                <a:lnTo>
                  <a:pt x="37744" y="634034"/>
                </a:lnTo>
              </a:path>
              <a:path w="664210" h="824230">
                <a:moveTo>
                  <a:pt x="24231" y="648233"/>
                </a:moveTo>
                <a:lnTo>
                  <a:pt x="16725" y="648627"/>
                </a:lnTo>
              </a:path>
              <a:path w="664210" h="824230">
                <a:moveTo>
                  <a:pt x="16725" y="648627"/>
                </a:moveTo>
                <a:lnTo>
                  <a:pt x="11747" y="648881"/>
                </a:lnTo>
                <a:lnTo>
                  <a:pt x="7835" y="653021"/>
                </a:lnTo>
                <a:lnTo>
                  <a:pt x="7835" y="658012"/>
                </a:lnTo>
              </a:path>
              <a:path w="664210" h="824230">
                <a:moveTo>
                  <a:pt x="7835" y="659777"/>
                </a:moveTo>
                <a:lnTo>
                  <a:pt x="7835" y="655459"/>
                </a:lnTo>
                <a:lnTo>
                  <a:pt x="4356" y="651954"/>
                </a:lnTo>
                <a:lnTo>
                  <a:pt x="0" y="651954"/>
                </a:lnTo>
              </a:path>
              <a:path w="664210" h="824230">
                <a:moveTo>
                  <a:pt x="146634" y="651954"/>
                </a:moveTo>
                <a:lnTo>
                  <a:pt x="185051" y="651954"/>
                </a:lnTo>
              </a:path>
              <a:path w="664210" h="824230">
                <a:moveTo>
                  <a:pt x="146634" y="651954"/>
                </a:moveTo>
                <a:lnTo>
                  <a:pt x="142290" y="651954"/>
                </a:lnTo>
                <a:lnTo>
                  <a:pt x="138810" y="655459"/>
                </a:lnTo>
                <a:lnTo>
                  <a:pt x="138810" y="659777"/>
                </a:lnTo>
              </a:path>
              <a:path w="664210" h="824230">
                <a:moveTo>
                  <a:pt x="138810" y="658012"/>
                </a:moveTo>
                <a:lnTo>
                  <a:pt x="138810" y="653021"/>
                </a:lnTo>
                <a:lnTo>
                  <a:pt x="134886" y="648881"/>
                </a:lnTo>
                <a:lnTo>
                  <a:pt x="129882" y="648627"/>
                </a:lnTo>
              </a:path>
            </a:pathLst>
          </a:custGeom>
          <a:ln w="10134">
            <a:solidFill>
              <a:srgbClr val="000000"/>
            </a:solidFill>
          </a:ln>
        </xdr:spPr>
      </xdr:sp>
      <xdr:sp macro="" textlink="">
        <xdr:nvSpPr>
          <xdr:cNvPr id="231" name="Shape 730">
            <a:extLst>
              <a:ext uri="{FF2B5EF4-FFF2-40B4-BE49-F238E27FC236}">
                <a16:creationId xmlns:a16="http://schemas.microsoft.com/office/drawing/2014/main" id="{5643FF8B-1110-3BC8-D96E-7D7C7499C5C5}"/>
              </a:ext>
            </a:extLst>
          </xdr:cNvPr>
          <xdr:cNvSpPr/>
        </xdr:nvSpPr>
        <xdr:spPr>
          <a:xfrm>
            <a:off x="892520" y="487900"/>
            <a:ext cx="849630" cy="859790"/>
          </a:xfrm>
          <a:custGeom>
            <a:avLst/>
            <a:gdLst/>
            <a:ahLst/>
            <a:cxnLst/>
            <a:rect l="0" t="0" r="0" b="0"/>
            <a:pathLst>
              <a:path w="849630" h="859790">
                <a:moveTo>
                  <a:pt x="108889" y="669620"/>
                </a:moveTo>
                <a:lnTo>
                  <a:pt x="108889" y="677189"/>
                </a:lnTo>
                <a:lnTo>
                  <a:pt x="114833" y="683425"/>
                </a:lnTo>
                <a:lnTo>
                  <a:pt x="122415" y="683818"/>
                </a:lnTo>
              </a:path>
              <a:path w="849630" h="859790">
                <a:moveTo>
                  <a:pt x="122415" y="683818"/>
                </a:moveTo>
                <a:lnTo>
                  <a:pt x="129882" y="684212"/>
                </a:lnTo>
              </a:path>
              <a:path w="849630" h="859790">
                <a:moveTo>
                  <a:pt x="201802" y="684212"/>
                </a:moveTo>
                <a:lnTo>
                  <a:pt x="196786" y="684479"/>
                </a:lnTo>
                <a:lnTo>
                  <a:pt x="192887" y="688606"/>
                </a:lnTo>
                <a:lnTo>
                  <a:pt x="192887" y="693597"/>
                </a:lnTo>
              </a:path>
              <a:path w="849630" h="859790">
                <a:moveTo>
                  <a:pt x="192887" y="695363"/>
                </a:moveTo>
                <a:lnTo>
                  <a:pt x="192887" y="691045"/>
                </a:lnTo>
                <a:lnTo>
                  <a:pt x="189407" y="687539"/>
                </a:lnTo>
                <a:lnTo>
                  <a:pt x="185051" y="687539"/>
                </a:lnTo>
              </a:path>
              <a:path w="849630" h="859790">
                <a:moveTo>
                  <a:pt x="331685" y="687539"/>
                </a:moveTo>
                <a:lnTo>
                  <a:pt x="327367" y="687539"/>
                </a:lnTo>
                <a:lnTo>
                  <a:pt x="323837" y="691045"/>
                </a:lnTo>
                <a:lnTo>
                  <a:pt x="323837" y="695363"/>
                </a:lnTo>
              </a:path>
              <a:path w="849630" h="859790">
                <a:moveTo>
                  <a:pt x="323837" y="693597"/>
                </a:moveTo>
                <a:lnTo>
                  <a:pt x="323837" y="688606"/>
                </a:lnTo>
                <a:lnTo>
                  <a:pt x="319938" y="684479"/>
                </a:lnTo>
                <a:lnTo>
                  <a:pt x="314947" y="684212"/>
                </a:lnTo>
              </a:path>
              <a:path w="849630" h="859790">
                <a:moveTo>
                  <a:pt x="209283" y="683818"/>
                </a:moveTo>
                <a:lnTo>
                  <a:pt x="216865" y="683425"/>
                </a:lnTo>
                <a:lnTo>
                  <a:pt x="222796" y="677189"/>
                </a:lnTo>
                <a:lnTo>
                  <a:pt x="222796" y="669620"/>
                </a:lnTo>
              </a:path>
              <a:path w="849630" h="859790">
                <a:moveTo>
                  <a:pt x="293941" y="669620"/>
                </a:moveTo>
                <a:lnTo>
                  <a:pt x="293941" y="677189"/>
                </a:lnTo>
                <a:lnTo>
                  <a:pt x="299897" y="683425"/>
                </a:lnTo>
                <a:lnTo>
                  <a:pt x="307441" y="683818"/>
                </a:lnTo>
              </a:path>
              <a:path w="849630" h="859790">
                <a:moveTo>
                  <a:pt x="307441" y="683818"/>
                </a:moveTo>
                <a:lnTo>
                  <a:pt x="314947" y="684212"/>
                </a:lnTo>
              </a:path>
              <a:path w="849630" h="859790">
                <a:moveTo>
                  <a:pt x="386841" y="684212"/>
                </a:moveTo>
                <a:lnTo>
                  <a:pt x="381863" y="684479"/>
                </a:lnTo>
                <a:lnTo>
                  <a:pt x="377952" y="688606"/>
                </a:lnTo>
                <a:lnTo>
                  <a:pt x="377952" y="693597"/>
                </a:lnTo>
              </a:path>
              <a:path w="849630" h="859790">
                <a:moveTo>
                  <a:pt x="377952" y="695363"/>
                </a:moveTo>
                <a:lnTo>
                  <a:pt x="377952" y="691045"/>
                </a:lnTo>
                <a:lnTo>
                  <a:pt x="374434" y="687539"/>
                </a:lnTo>
                <a:lnTo>
                  <a:pt x="370116" y="687539"/>
                </a:lnTo>
              </a:path>
              <a:path w="849630" h="859790">
                <a:moveTo>
                  <a:pt x="331685" y="687539"/>
                </a:moveTo>
                <a:lnTo>
                  <a:pt x="370116" y="687539"/>
                </a:lnTo>
              </a:path>
              <a:path w="849630" h="859790">
                <a:moveTo>
                  <a:pt x="394347" y="683818"/>
                </a:moveTo>
                <a:lnTo>
                  <a:pt x="386841" y="684212"/>
                </a:lnTo>
              </a:path>
              <a:path w="849630" h="859790">
                <a:moveTo>
                  <a:pt x="394347" y="683818"/>
                </a:moveTo>
                <a:lnTo>
                  <a:pt x="401891" y="683425"/>
                </a:lnTo>
                <a:lnTo>
                  <a:pt x="407822" y="677189"/>
                </a:lnTo>
                <a:lnTo>
                  <a:pt x="407822" y="669620"/>
                </a:lnTo>
              </a:path>
              <a:path w="849630" h="859790">
                <a:moveTo>
                  <a:pt x="748055" y="693597"/>
                </a:moveTo>
                <a:lnTo>
                  <a:pt x="748055" y="838034"/>
                </a:lnTo>
              </a:path>
              <a:path w="849630" h="859790">
                <a:moveTo>
                  <a:pt x="748055" y="693597"/>
                </a:moveTo>
                <a:lnTo>
                  <a:pt x="748055" y="838034"/>
                </a:lnTo>
              </a:path>
              <a:path w="849630" h="859790">
                <a:moveTo>
                  <a:pt x="693953" y="838034"/>
                </a:moveTo>
                <a:lnTo>
                  <a:pt x="693953" y="693597"/>
                </a:lnTo>
              </a:path>
              <a:path w="849630" h="859790">
                <a:moveTo>
                  <a:pt x="693953" y="693597"/>
                </a:moveTo>
                <a:lnTo>
                  <a:pt x="693953" y="838034"/>
                </a:lnTo>
              </a:path>
              <a:path w="849630" h="859790">
                <a:moveTo>
                  <a:pt x="748055" y="838034"/>
                </a:moveTo>
                <a:lnTo>
                  <a:pt x="748055" y="693597"/>
                </a:lnTo>
              </a:path>
              <a:path w="849630" h="859790">
                <a:moveTo>
                  <a:pt x="748055" y="695363"/>
                </a:moveTo>
                <a:lnTo>
                  <a:pt x="748055" y="836269"/>
                </a:lnTo>
              </a:path>
              <a:path w="849630" h="859790">
                <a:moveTo>
                  <a:pt x="693953" y="693597"/>
                </a:moveTo>
                <a:lnTo>
                  <a:pt x="693953" y="838034"/>
                </a:lnTo>
              </a:path>
              <a:path w="849630" h="859790">
                <a:moveTo>
                  <a:pt x="563003" y="693597"/>
                </a:moveTo>
                <a:lnTo>
                  <a:pt x="563003" y="838034"/>
                </a:lnTo>
              </a:path>
              <a:path w="849630" h="859790">
                <a:moveTo>
                  <a:pt x="563003" y="693597"/>
                </a:moveTo>
                <a:lnTo>
                  <a:pt x="563003" y="838034"/>
                </a:lnTo>
              </a:path>
              <a:path w="849630" h="859790">
                <a:moveTo>
                  <a:pt x="508888" y="838034"/>
                </a:moveTo>
                <a:lnTo>
                  <a:pt x="508888" y="693597"/>
                </a:lnTo>
              </a:path>
              <a:path w="849630" h="859790">
                <a:moveTo>
                  <a:pt x="508888" y="693597"/>
                </a:moveTo>
                <a:lnTo>
                  <a:pt x="508888" y="838034"/>
                </a:lnTo>
              </a:path>
              <a:path w="849630" h="859790">
                <a:moveTo>
                  <a:pt x="563003" y="838034"/>
                </a:moveTo>
                <a:lnTo>
                  <a:pt x="563003" y="693597"/>
                </a:lnTo>
              </a:path>
              <a:path w="849630" h="859790">
                <a:moveTo>
                  <a:pt x="563003" y="695363"/>
                </a:moveTo>
                <a:lnTo>
                  <a:pt x="563003" y="836269"/>
                </a:lnTo>
              </a:path>
              <a:path w="849630" h="859790">
                <a:moveTo>
                  <a:pt x="508888" y="693597"/>
                </a:moveTo>
                <a:lnTo>
                  <a:pt x="508888" y="838034"/>
                </a:lnTo>
              </a:path>
              <a:path w="849630" h="859790">
                <a:moveTo>
                  <a:pt x="685025" y="847420"/>
                </a:moveTo>
                <a:lnTo>
                  <a:pt x="658926" y="848791"/>
                </a:lnTo>
              </a:path>
              <a:path w="849630" h="859790">
                <a:moveTo>
                  <a:pt x="628472" y="859777"/>
                </a:moveTo>
                <a:lnTo>
                  <a:pt x="642315" y="856979"/>
                </a:lnTo>
                <a:lnTo>
                  <a:pt x="653627" y="849352"/>
                </a:lnTo>
                <a:lnTo>
                  <a:pt x="661258" y="838040"/>
                </a:lnTo>
                <a:lnTo>
                  <a:pt x="664057" y="824191"/>
                </a:lnTo>
              </a:path>
              <a:path w="849630" h="859790">
                <a:moveTo>
                  <a:pt x="555167" y="844118"/>
                </a:moveTo>
                <a:lnTo>
                  <a:pt x="559485" y="844118"/>
                </a:lnTo>
                <a:lnTo>
                  <a:pt x="563003" y="840613"/>
                </a:lnTo>
                <a:lnTo>
                  <a:pt x="563003" y="836269"/>
                </a:lnTo>
              </a:path>
              <a:path w="849630" h="859790">
                <a:moveTo>
                  <a:pt x="508888" y="836269"/>
                </a:moveTo>
                <a:lnTo>
                  <a:pt x="508888" y="840613"/>
                </a:lnTo>
                <a:lnTo>
                  <a:pt x="512406" y="844118"/>
                </a:lnTo>
                <a:lnTo>
                  <a:pt x="516712" y="844118"/>
                </a:lnTo>
              </a:path>
              <a:path w="849630" h="859790">
                <a:moveTo>
                  <a:pt x="499998" y="847420"/>
                </a:moveTo>
                <a:lnTo>
                  <a:pt x="504964" y="847166"/>
                </a:lnTo>
                <a:lnTo>
                  <a:pt x="508888" y="843051"/>
                </a:lnTo>
                <a:lnTo>
                  <a:pt x="508888" y="838034"/>
                </a:lnTo>
              </a:path>
              <a:path w="849630" h="859790">
                <a:moveTo>
                  <a:pt x="443395" y="859777"/>
                </a:moveTo>
                <a:lnTo>
                  <a:pt x="457258" y="856979"/>
                </a:lnTo>
                <a:lnTo>
                  <a:pt x="468577" y="849352"/>
                </a:lnTo>
                <a:lnTo>
                  <a:pt x="476208" y="838040"/>
                </a:lnTo>
                <a:lnTo>
                  <a:pt x="479005" y="824191"/>
                </a:lnTo>
              </a:path>
              <a:path w="849630" h="859790">
                <a:moveTo>
                  <a:pt x="499998" y="847420"/>
                </a:moveTo>
                <a:lnTo>
                  <a:pt x="473875" y="848791"/>
                </a:lnTo>
              </a:path>
              <a:path w="849630" h="859790">
                <a:moveTo>
                  <a:pt x="473875" y="848791"/>
                </a:moveTo>
                <a:lnTo>
                  <a:pt x="470928" y="848944"/>
                </a:lnTo>
                <a:lnTo>
                  <a:pt x="468058" y="850036"/>
                </a:lnTo>
                <a:lnTo>
                  <a:pt x="465696" y="851916"/>
                </a:lnTo>
              </a:path>
              <a:path w="849630" h="859790">
                <a:moveTo>
                  <a:pt x="516712" y="844118"/>
                </a:moveTo>
                <a:lnTo>
                  <a:pt x="555167" y="844118"/>
                </a:lnTo>
              </a:path>
              <a:path w="849630" h="859790">
                <a:moveTo>
                  <a:pt x="563003" y="838034"/>
                </a:moveTo>
                <a:lnTo>
                  <a:pt x="563003" y="843051"/>
                </a:lnTo>
                <a:lnTo>
                  <a:pt x="566902" y="847166"/>
                </a:lnTo>
                <a:lnTo>
                  <a:pt x="571893" y="847420"/>
                </a:lnTo>
              </a:path>
              <a:path w="849630" h="859790">
                <a:moveTo>
                  <a:pt x="592861" y="824191"/>
                </a:moveTo>
                <a:lnTo>
                  <a:pt x="595660" y="838040"/>
                </a:lnTo>
                <a:lnTo>
                  <a:pt x="603294" y="849352"/>
                </a:lnTo>
                <a:lnTo>
                  <a:pt x="614614" y="856979"/>
                </a:lnTo>
                <a:lnTo>
                  <a:pt x="628472" y="859777"/>
                </a:lnTo>
              </a:path>
              <a:path w="849630" h="859790">
                <a:moveTo>
                  <a:pt x="571893" y="847420"/>
                </a:moveTo>
                <a:lnTo>
                  <a:pt x="597992" y="848791"/>
                </a:lnTo>
              </a:path>
              <a:path w="849630" h="859790">
                <a:moveTo>
                  <a:pt x="606171" y="851916"/>
                </a:moveTo>
                <a:lnTo>
                  <a:pt x="603834" y="850036"/>
                </a:lnTo>
                <a:lnTo>
                  <a:pt x="600964" y="848944"/>
                </a:lnTo>
                <a:lnTo>
                  <a:pt x="597992" y="848791"/>
                </a:lnTo>
              </a:path>
              <a:path w="849630" h="859790">
                <a:moveTo>
                  <a:pt x="658926" y="848791"/>
                </a:moveTo>
                <a:lnTo>
                  <a:pt x="655955" y="848944"/>
                </a:lnTo>
                <a:lnTo>
                  <a:pt x="653084" y="850036"/>
                </a:lnTo>
                <a:lnTo>
                  <a:pt x="650786" y="851916"/>
                </a:lnTo>
              </a:path>
              <a:path w="849630" h="859790">
                <a:moveTo>
                  <a:pt x="740194" y="844118"/>
                </a:moveTo>
                <a:lnTo>
                  <a:pt x="744524" y="844118"/>
                </a:lnTo>
                <a:lnTo>
                  <a:pt x="748055" y="840613"/>
                </a:lnTo>
                <a:lnTo>
                  <a:pt x="748055" y="836269"/>
                </a:lnTo>
              </a:path>
              <a:path w="849630" h="859790">
                <a:moveTo>
                  <a:pt x="693953" y="836269"/>
                </a:moveTo>
                <a:lnTo>
                  <a:pt x="693953" y="840613"/>
                </a:lnTo>
                <a:lnTo>
                  <a:pt x="697445" y="844118"/>
                </a:lnTo>
                <a:lnTo>
                  <a:pt x="701763" y="844118"/>
                </a:lnTo>
              </a:path>
              <a:path w="849630" h="859790">
                <a:moveTo>
                  <a:pt x="685025" y="847420"/>
                </a:moveTo>
                <a:lnTo>
                  <a:pt x="690016" y="847166"/>
                </a:lnTo>
                <a:lnTo>
                  <a:pt x="693953" y="843051"/>
                </a:lnTo>
                <a:lnTo>
                  <a:pt x="693953" y="838034"/>
                </a:lnTo>
              </a:path>
              <a:path w="849630" h="859790">
                <a:moveTo>
                  <a:pt x="701763" y="844118"/>
                </a:moveTo>
                <a:lnTo>
                  <a:pt x="740194" y="844118"/>
                </a:lnTo>
              </a:path>
              <a:path w="849630" h="859790">
                <a:moveTo>
                  <a:pt x="664057" y="669620"/>
                </a:moveTo>
                <a:lnTo>
                  <a:pt x="664057" y="677189"/>
                </a:lnTo>
                <a:lnTo>
                  <a:pt x="669975" y="683425"/>
                </a:lnTo>
                <a:lnTo>
                  <a:pt x="677557" y="683818"/>
                </a:lnTo>
              </a:path>
              <a:path w="849630" h="859790">
                <a:moveTo>
                  <a:pt x="563003" y="695363"/>
                </a:moveTo>
                <a:lnTo>
                  <a:pt x="563003" y="691045"/>
                </a:lnTo>
                <a:lnTo>
                  <a:pt x="559485" y="687539"/>
                </a:lnTo>
                <a:lnTo>
                  <a:pt x="555167" y="687539"/>
                </a:lnTo>
              </a:path>
              <a:path w="849630" h="859790">
                <a:moveTo>
                  <a:pt x="492493" y="683818"/>
                </a:moveTo>
                <a:lnTo>
                  <a:pt x="499998" y="684212"/>
                </a:lnTo>
              </a:path>
              <a:path w="849630" h="859790">
                <a:moveTo>
                  <a:pt x="479005" y="669620"/>
                </a:moveTo>
                <a:lnTo>
                  <a:pt x="479005" y="677189"/>
                </a:lnTo>
                <a:lnTo>
                  <a:pt x="484949" y="683425"/>
                </a:lnTo>
                <a:lnTo>
                  <a:pt x="492493" y="683818"/>
                </a:lnTo>
              </a:path>
              <a:path w="849630" h="859790">
                <a:moveTo>
                  <a:pt x="516712" y="687539"/>
                </a:moveTo>
                <a:lnTo>
                  <a:pt x="555167" y="687539"/>
                </a:lnTo>
              </a:path>
              <a:path w="849630" h="859790">
                <a:moveTo>
                  <a:pt x="516712" y="687539"/>
                </a:moveTo>
                <a:lnTo>
                  <a:pt x="512406" y="687539"/>
                </a:lnTo>
                <a:lnTo>
                  <a:pt x="508888" y="691045"/>
                </a:lnTo>
                <a:lnTo>
                  <a:pt x="508888" y="695363"/>
                </a:lnTo>
              </a:path>
              <a:path w="849630" h="859790">
                <a:moveTo>
                  <a:pt x="508888" y="693597"/>
                </a:moveTo>
                <a:lnTo>
                  <a:pt x="508888" y="688606"/>
                </a:lnTo>
                <a:lnTo>
                  <a:pt x="504964" y="684479"/>
                </a:lnTo>
                <a:lnTo>
                  <a:pt x="499998" y="684212"/>
                </a:lnTo>
              </a:path>
              <a:path w="849630" h="859790">
                <a:moveTo>
                  <a:pt x="579399" y="683818"/>
                </a:moveTo>
                <a:lnTo>
                  <a:pt x="571893" y="684212"/>
                </a:lnTo>
              </a:path>
              <a:path w="849630" h="859790">
                <a:moveTo>
                  <a:pt x="579399" y="683818"/>
                </a:moveTo>
                <a:lnTo>
                  <a:pt x="586943" y="683425"/>
                </a:lnTo>
                <a:lnTo>
                  <a:pt x="592861" y="677189"/>
                </a:lnTo>
                <a:lnTo>
                  <a:pt x="592861" y="669620"/>
                </a:lnTo>
              </a:path>
              <a:path w="849630" h="859790">
                <a:moveTo>
                  <a:pt x="571893" y="684212"/>
                </a:moveTo>
                <a:lnTo>
                  <a:pt x="566902" y="684479"/>
                </a:lnTo>
                <a:lnTo>
                  <a:pt x="563003" y="688606"/>
                </a:lnTo>
                <a:lnTo>
                  <a:pt x="563003" y="693597"/>
                </a:lnTo>
              </a:path>
              <a:path w="849630" h="859790">
                <a:moveTo>
                  <a:pt x="701763" y="687539"/>
                </a:moveTo>
                <a:lnTo>
                  <a:pt x="740194" y="687539"/>
                </a:lnTo>
              </a:path>
              <a:path w="849630" h="859790">
                <a:moveTo>
                  <a:pt x="701763" y="687539"/>
                </a:moveTo>
                <a:lnTo>
                  <a:pt x="697445" y="687539"/>
                </a:lnTo>
                <a:lnTo>
                  <a:pt x="693953" y="691045"/>
                </a:lnTo>
                <a:lnTo>
                  <a:pt x="693953" y="695363"/>
                </a:lnTo>
              </a:path>
              <a:path w="849630" h="859790">
                <a:moveTo>
                  <a:pt x="693953" y="693597"/>
                </a:moveTo>
                <a:lnTo>
                  <a:pt x="693953" y="688606"/>
                </a:lnTo>
                <a:lnTo>
                  <a:pt x="690016" y="684479"/>
                </a:lnTo>
                <a:lnTo>
                  <a:pt x="685025" y="684212"/>
                </a:lnTo>
              </a:path>
              <a:path w="849630" h="859790">
                <a:moveTo>
                  <a:pt x="677557" y="683818"/>
                </a:moveTo>
                <a:lnTo>
                  <a:pt x="685025" y="684212"/>
                </a:lnTo>
              </a:path>
              <a:path w="849630" h="859790">
                <a:moveTo>
                  <a:pt x="748055" y="695363"/>
                </a:moveTo>
                <a:lnTo>
                  <a:pt x="748055" y="691045"/>
                </a:lnTo>
                <a:lnTo>
                  <a:pt x="744524" y="687539"/>
                </a:lnTo>
                <a:lnTo>
                  <a:pt x="740194" y="687539"/>
                </a:lnTo>
              </a:path>
              <a:path w="849630" h="859790">
                <a:moveTo>
                  <a:pt x="443395" y="0"/>
                </a:moveTo>
                <a:lnTo>
                  <a:pt x="429559" y="2797"/>
                </a:lnTo>
                <a:lnTo>
                  <a:pt x="418250" y="10425"/>
                </a:lnTo>
                <a:lnTo>
                  <a:pt x="410621" y="21736"/>
                </a:lnTo>
                <a:lnTo>
                  <a:pt x="407822" y="35585"/>
                </a:lnTo>
              </a:path>
              <a:path w="849630" h="859790">
                <a:moveTo>
                  <a:pt x="377952" y="166179"/>
                </a:moveTo>
                <a:lnTo>
                  <a:pt x="377952" y="21729"/>
                </a:lnTo>
              </a:path>
              <a:path w="849630" h="859790">
                <a:moveTo>
                  <a:pt x="377952" y="166179"/>
                </a:moveTo>
                <a:lnTo>
                  <a:pt x="377952" y="21729"/>
                </a:lnTo>
              </a:path>
              <a:path w="849630" h="859790">
                <a:moveTo>
                  <a:pt x="377952" y="23482"/>
                </a:moveTo>
                <a:lnTo>
                  <a:pt x="377952" y="164414"/>
                </a:lnTo>
              </a:path>
              <a:path w="849630" h="859790">
                <a:moveTo>
                  <a:pt x="377952" y="166179"/>
                </a:moveTo>
                <a:lnTo>
                  <a:pt x="377952" y="21729"/>
                </a:lnTo>
              </a:path>
              <a:path w="849630" h="859790">
                <a:moveTo>
                  <a:pt x="323837" y="21729"/>
                </a:moveTo>
                <a:lnTo>
                  <a:pt x="323837" y="166179"/>
                </a:lnTo>
              </a:path>
              <a:path w="849630" h="859790">
                <a:moveTo>
                  <a:pt x="323837" y="166179"/>
                </a:moveTo>
                <a:lnTo>
                  <a:pt x="323837" y="21729"/>
                </a:lnTo>
              </a:path>
              <a:path w="849630" h="859790">
                <a:moveTo>
                  <a:pt x="293941" y="35585"/>
                </a:moveTo>
                <a:lnTo>
                  <a:pt x="291149" y="21736"/>
                </a:lnTo>
                <a:lnTo>
                  <a:pt x="283530" y="10425"/>
                </a:lnTo>
                <a:lnTo>
                  <a:pt x="272220" y="2797"/>
                </a:lnTo>
                <a:lnTo>
                  <a:pt x="258356" y="0"/>
                </a:lnTo>
              </a:path>
              <a:path w="849630" h="859790">
                <a:moveTo>
                  <a:pt x="258356" y="0"/>
                </a:moveTo>
                <a:lnTo>
                  <a:pt x="244522" y="2797"/>
                </a:lnTo>
                <a:lnTo>
                  <a:pt x="233218" y="10425"/>
                </a:lnTo>
                <a:lnTo>
                  <a:pt x="225593" y="21736"/>
                </a:lnTo>
                <a:lnTo>
                  <a:pt x="222796" y="35585"/>
                </a:lnTo>
              </a:path>
              <a:path w="849630" h="859790">
                <a:moveTo>
                  <a:pt x="192887" y="166179"/>
                </a:moveTo>
                <a:lnTo>
                  <a:pt x="192887" y="21729"/>
                </a:lnTo>
              </a:path>
              <a:path w="849630" h="859790">
                <a:moveTo>
                  <a:pt x="192887" y="166179"/>
                </a:moveTo>
                <a:lnTo>
                  <a:pt x="192887" y="21729"/>
                </a:lnTo>
              </a:path>
              <a:path w="849630" h="859790">
                <a:moveTo>
                  <a:pt x="323837" y="166179"/>
                </a:moveTo>
                <a:lnTo>
                  <a:pt x="323837" y="21729"/>
                </a:lnTo>
              </a:path>
              <a:path w="849630" h="859790">
                <a:moveTo>
                  <a:pt x="192887" y="23482"/>
                </a:moveTo>
                <a:lnTo>
                  <a:pt x="192887" y="164414"/>
                </a:lnTo>
              </a:path>
              <a:path w="849630" h="859790">
                <a:moveTo>
                  <a:pt x="192887" y="166179"/>
                </a:moveTo>
                <a:lnTo>
                  <a:pt x="192887" y="21729"/>
                </a:lnTo>
              </a:path>
              <a:path w="849630" h="859790">
                <a:moveTo>
                  <a:pt x="138810" y="21729"/>
                </a:moveTo>
                <a:lnTo>
                  <a:pt x="138810" y="166179"/>
                </a:lnTo>
              </a:path>
              <a:path w="849630" h="859790">
                <a:moveTo>
                  <a:pt x="138810" y="166179"/>
                </a:moveTo>
                <a:lnTo>
                  <a:pt x="138810" y="21729"/>
                </a:lnTo>
              </a:path>
              <a:path w="849630" h="859790">
                <a:moveTo>
                  <a:pt x="108889" y="35585"/>
                </a:moveTo>
                <a:lnTo>
                  <a:pt x="106098" y="21736"/>
                </a:lnTo>
                <a:lnTo>
                  <a:pt x="98482" y="10425"/>
                </a:lnTo>
                <a:lnTo>
                  <a:pt x="87179" y="2797"/>
                </a:lnTo>
                <a:lnTo>
                  <a:pt x="73329" y="0"/>
                </a:lnTo>
              </a:path>
              <a:path w="849630" h="859790">
                <a:moveTo>
                  <a:pt x="73329" y="0"/>
                </a:moveTo>
                <a:lnTo>
                  <a:pt x="59470" y="2797"/>
                </a:lnTo>
                <a:lnTo>
                  <a:pt x="48159" y="10425"/>
                </a:lnTo>
                <a:lnTo>
                  <a:pt x="40538" y="21736"/>
                </a:lnTo>
                <a:lnTo>
                  <a:pt x="37744" y="35585"/>
                </a:lnTo>
              </a:path>
              <a:path w="849630" h="859790">
                <a:moveTo>
                  <a:pt x="7835" y="166179"/>
                </a:moveTo>
                <a:lnTo>
                  <a:pt x="7835" y="21729"/>
                </a:lnTo>
              </a:path>
              <a:path w="849630" h="859790">
                <a:moveTo>
                  <a:pt x="7835" y="166179"/>
                </a:moveTo>
                <a:lnTo>
                  <a:pt x="7835" y="21729"/>
                </a:lnTo>
              </a:path>
              <a:path w="849630" h="859790">
                <a:moveTo>
                  <a:pt x="138810" y="166179"/>
                </a:moveTo>
                <a:lnTo>
                  <a:pt x="138810" y="21729"/>
                </a:lnTo>
              </a:path>
              <a:path w="849630" h="859790">
                <a:moveTo>
                  <a:pt x="7835" y="23482"/>
                </a:moveTo>
                <a:lnTo>
                  <a:pt x="7835" y="164414"/>
                </a:lnTo>
              </a:path>
              <a:path w="849630" h="859790">
                <a:moveTo>
                  <a:pt x="7835" y="166179"/>
                </a:moveTo>
                <a:lnTo>
                  <a:pt x="7835" y="21729"/>
                </a:lnTo>
              </a:path>
              <a:path w="849630" h="859790">
                <a:moveTo>
                  <a:pt x="209283" y="175945"/>
                </a:moveTo>
                <a:lnTo>
                  <a:pt x="201802" y="175564"/>
                </a:lnTo>
              </a:path>
              <a:path w="849630" h="859790">
                <a:moveTo>
                  <a:pt x="37744" y="190157"/>
                </a:moveTo>
                <a:lnTo>
                  <a:pt x="37744" y="182600"/>
                </a:lnTo>
                <a:lnTo>
                  <a:pt x="31826" y="176339"/>
                </a:lnTo>
                <a:lnTo>
                  <a:pt x="24231" y="175945"/>
                </a:lnTo>
              </a:path>
              <a:path w="849630" h="859790">
                <a:moveTo>
                  <a:pt x="24231" y="175945"/>
                </a:moveTo>
                <a:lnTo>
                  <a:pt x="16738" y="175564"/>
                </a:lnTo>
              </a:path>
              <a:path w="849630" h="859790">
                <a:moveTo>
                  <a:pt x="7835" y="166179"/>
                </a:moveTo>
                <a:lnTo>
                  <a:pt x="7835" y="171170"/>
                </a:lnTo>
                <a:lnTo>
                  <a:pt x="11747" y="175285"/>
                </a:lnTo>
                <a:lnTo>
                  <a:pt x="16738" y="175564"/>
                </a:lnTo>
              </a:path>
              <a:path w="849630" h="859790">
                <a:moveTo>
                  <a:pt x="0" y="172237"/>
                </a:moveTo>
                <a:lnTo>
                  <a:pt x="4356" y="172237"/>
                </a:lnTo>
                <a:lnTo>
                  <a:pt x="7835" y="168732"/>
                </a:lnTo>
                <a:lnTo>
                  <a:pt x="7835" y="164414"/>
                </a:lnTo>
              </a:path>
              <a:path w="849630" h="859790">
                <a:moveTo>
                  <a:pt x="146634" y="172237"/>
                </a:moveTo>
                <a:lnTo>
                  <a:pt x="185051" y="172237"/>
                </a:lnTo>
              </a:path>
              <a:path w="849630" h="859790">
                <a:moveTo>
                  <a:pt x="138810" y="164414"/>
                </a:moveTo>
                <a:lnTo>
                  <a:pt x="138810" y="168732"/>
                </a:lnTo>
                <a:lnTo>
                  <a:pt x="142290" y="172237"/>
                </a:lnTo>
                <a:lnTo>
                  <a:pt x="146634" y="172237"/>
                </a:lnTo>
              </a:path>
              <a:path w="849630" h="859790">
                <a:moveTo>
                  <a:pt x="129882" y="175564"/>
                </a:moveTo>
                <a:lnTo>
                  <a:pt x="134886" y="175285"/>
                </a:lnTo>
                <a:lnTo>
                  <a:pt x="138810" y="171170"/>
                </a:lnTo>
                <a:lnTo>
                  <a:pt x="138810" y="166179"/>
                </a:lnTo>
              </a:path>
              <a:path w="849630" h="859790">
                <a:moveTo>
                  <a:pt x="122415" y="175945"/>
                </a:moveTo>
                <a:lnTo>
                  <a:pt x="114833" y="176339"/>
                </a:lnTo>
                <a:lnTo>
                  <a:pt x="108889" y="182600"/>
                </a:lnTo>
                <a:lnTo>
                  <a:pt x="108889" y="190157"/>
                </a:lnTo>
              </a:path>
              <a:path w="849630" h="859790">
                <a:moveTo>
                  <a:pt x="122415" y="175945"/>
                </a:moveTo>
                <a:lnTo>
                  <a:pt x="129882" y="175564"/>
                </a:lnTo>
              </a:path>
              <a:path w="849630" h="859790">
                <a:moveTo>
                  <a:pt x="192887" y="166179"/>
                </a:moveTo>
                <a:lnTo>
                  <a:pt x="192887" y="171170"/>
                </a:lnTo>
                <a:lnTo>
                  <a:pt x="196786" y="175285"/>
                </a:lnTo>
                <a:lnTo>
                  <a:pt x="201802" y="175564"/>
                </a:lnTo>
              </a:path>
              <a:path w="849630" h="859790">
                <a:moveTo>
                  <a:pt x="185051" y="172237"/>
                </a:moveTo>
                <a:lnTo>
                  <a:pt x="189407" y="172237"/>
                </a:lnTo>
                <a:lnTo>
                  <a:pt x="192887" y="168732"/>
                </a:lnTo>
                <a:lnTo>
                  <a:pt x="192887" y="164414"/>
                </a:lnTo>
              </a:path>
              <a:path w="849630" h="859790">
                <a:moveTo>
                  <a:pt x="323837" y="164414"/>
                </a:moveTo>
                <a:lnTo>
                  <a:pt x="323837" y="168732"/>
                </a:lnTo>
                <a:lnTo>
                  <a:pt x="327367" y="172237"/>
                </a:lnTo>
                <a:lnTo>
                  <a:pt x="331685" y="172237"/>
                </a:lnTo>
              </a:path>
              <a:path w="849630" h="859790">
                <a:moveTo>
                  <a:pt x="314947" y="175564"/>
                </a:moveTo>
                <a:lnTo>
                  <a:pt x="319938" y="175285"/>
                </a:lnTo>
                <a:lnTo>
                  <a:pt x="323837" y="171170"/>
                </a:lnTo>
                <a:lnTo>
                  <a:pt x="323837" y="166179"/>
                </a:lnTo>
              </a:path>
              <a:path w="849630" h="859790">
                <a:moveTo>
                  <a:pt x="222796" y="190157"/>
                </a:moveTo>
                <a:lnTo>
                  <a:pt x="222796" y="182600"/>
                </a:lnTo>
                <a:lnTo>
                  <a:pt x="216865" y="176339"/>
                </a:lnTo>
                <a:lnTo>
                  <a:pt x="209283" y="175945"/>
                </a:lnTo>
              </a:path>
              <a:path w="849630" h="859790">
                <a:moveTo>
                  <a:pt x="307441" y="175945"/>
                </a:moveTo>
                <a:lnTo>
                  <a:pt x="299897" y="176339"/>
                </a:lnTo>
                <a:lnTo>
                  <a:pt x="293941" y="182600"/>
                </a:lnTo>
                <a:lnTo>
                  <a:pt x="293941" y="190157"/>
                </a:lnTo>
              </a:path>
              <a:path w="849630" h="859790">
                <a:moveTo>
                  <a:pt x="307441" y="175945"/>
                </a:moveTo>
                <a:lnTo>
                  <a:pt x="314947" y="175564"/>
                </a:lnTo>
              </a:path>
              <a:path w="849630" h="859790">
                <a:moveTo>
                  <a:pt x="377952" y="166179"/>
                </a:moveTo>
                <a:lnTo>
                  <a:pt x="377952" y="171170"/>
                </a:lnTo>
                <a:lnTo>
                  <a:pt x="381863" y="175285"/>
                </a:lnTo>
                <a:lnTo>
                  <a:pt x="386841" y="175564"/>
                </a:lnTo>
              </a:path>
              <a:path w="849630" h="859790">
                <a:moveTo>
                  <a:pt x="370116" y="172237"/>
                </a:moveTo>
                <a:lnTo>
                  <a:pt x="374434" y="172237"/>
                </a:lnTo>
                <a:lnTo>
                  <a:pt x="377952" y="168732"/>
                </a:lnTo>
                <a:lnTo>
                  <a:pt x="377952" y="164414"/>
                </a:lnTo>
              </a:path>
              <a:path w="849630" h="859790">
                <a:moveTo>
                  <a:pt x="331685" y="172237"/>
                </a:moveTo>
                <a:lnTo>
                  <a:pt x="370116" y="172237"/>
                </a:lnTo>
              </a:path>
              <a:path w="849630" h="859790">
                <a:moveTo>
                  <a:pt x="394347" y="175945"/>
                </a:moveTo>
                <a:lnTo>
                  <a:pt x="386841" y="175564"/>
                </a:lnTo>
              </a:path>
              <a:path w="849630" h="859790">
                <a:moveTo>
                  <a:pt x="407822" y="190157"/>
                </a:moveTo>
                <a:lnTo>
                  <a:pt x="407822" y="182600"/>
                </a:lnTo>
                <a:lnTo>
                  <a:pt x="401891" y="176339"/>
                </a:lnTo>
                <a:lnTo>
                  <a:pt x="394347" y="175945"/>
                </a:lnTo>
              </a:path>
              <a:path w="849630" h="859790">
                <a:moveTo>
                  <a:pt x="201802" y="12357"/>
                </a:moveTo>
                <a:lnTo>
                  <a:pt x="227876" y="10985"/>
                </a:lnTo>
              </a:path>
              <a:path w="849630" h="859790">
                <a:moveTo>
                  <a:pt x="16738" y="12357"/>
                </a:moveTo>
                <a:lnTo>
                  <a:pt x="42837" y="10985"/>
                </a:lnTo>
              </a:path>
              <a:path w="849630" h="859790">
                <a:moveTo>
                  <a:pt x="16738" y="12357"/>
                </a:moveTo>
                <a:lnTo>
                  <a:pt x="11747" y="12611"/>
                </a:lnTo>
                <a:lnTo>
                  <a:pt x="7835" y="16738"/>
                </a:lnTo>
                <a:lnTo>
                  <a:pt x="7835" y="21729"/>
                </a:lnTo>
              </a:path>
              <a:path w="849630" h="859790">
                <a:moveTo>
                  <a:pt x="7835" y="23482"/>
                </a:moveTo>
                <a:lnTo>
                  <a:pt x="7835" y="19164"/>
                </a:lnTo>
                <a:lnTo>
                  <a:pt x="4356" y="15671"/>
                </a:lnTo>
                <a:lnTo>
                  <a:pt x="0" y="15671"/>
                </a:lnTo>
              </a:path>
              <a:path w="849630" h="859790">
                <a:moveTo>
                  <a:pt x="42837" y="10985"/>
                </a:moveTo>
                <a:lnTo>
                  <a:pt x="45834" y="10833"/>
                </a:lnTo>
                <a:lnTo>
                  <a:pt x="48666" y="9740"/>
                </a:lnTo>
                <a:lnTo>
                  <a:pt x="51028" y="7861"/>
                </a:lnTo>
              </a:path>
              <a:path w="849630" h="859790">
                <a:moveTo>
                  <a:pt x="146634" y="15671"/>
                </a:moveTo>
                <a:lnTo>
                  <a:pt x="185051" y="15671"/>
                </a:lnTo>
              </a:path>
              <a:path w="849630" h="859790">
                <a:moveTo>
                  <a:pt x="146634" y="15671"/>
                </a:moveTo>
                <a:lnTo>
                  <a:pt x="142290" y="15671"/>
                </a:lnTo>
                <a:lnTo>
                  <a:pt x="138810" y="19164"/>
                </a:lnTo>
                <a:lnTo>
                  <a:pt x="138810" y="23482"/>
                </a:lnTo>
              </a:path>
              <a:path w="849630" h="859790">
                <a:moveTo>
                  <a:pt x="138810" y="21729"/>
                </a:moveTo>
                <a:lnTo>
                  <a:pt x="138810" y="16738"/>
                </a:lnTo>
                <a:lnTo>
                  <a:pt x="134886" y="12611"/>
                </a:lnTo>
                <a:lnTo>
                  <a:pt x="129882" y="12357"/>
                </a:lnTo>
              </a:path>
              <a:path w="849630" h="859790">
                <a:moveTo>
                  <a:pt x="95618" y="7861"/>
                </a:moveTo>
                <a:lnTo>
                  <a:pt x="97942" y="9740"/>
                </a:lnTo>
                <a:lnTo>
                  <a:pt x="100812" y="10833"/>
                </a:lnTo>
                <a:lnTo>
                  <a:pt x="103797" y="10985"/>
                </a:lnTo>
              </a:path>
              <a:path w="849630" h="859790">
                <a:moveTo>
                  <a:pt x="129882" y="12357"/>
                </a:moveTo>
                <a:lnTo>
                  <a:pt x="103797" y="10985"/>
                </a:lnTo>
              </a:path>
              <a:path w="849630" h="859790">
                <a:moveTo>
                  <a:pt x="201802" y="12357"/>
                </a:moveTo>
                <a:lnTo>
                  <a:pt x="196786" y="12611"/>
                </a:lnTo>
                <a:lnTo>
                  <a:pt x="192887" y="16738"/>
                </a:lnTo>
                <a:lnTo>
                  <a:pt x="192887" y="21729"/>
                </a:lnTo>
              </a:path>
              <a:path w="849630" h="859790">
                <a:moveTo>
                  <a:pt x="192887" y="23482"/>
                </a:moveTo>
                <a:lnTo>
                  <a:pt x="192887" y="19164"/>
                </a:lnTo>
                <a:lnTo>
                  <a:pt x="189407" y="15671"/>
                </a:lnTo>
                <a:lnTo>
                  <a:pt x="185051" y="15671"/>
                </a:lnTo>
              </a:path>
              <a:path w="849630" h="859790">
                <a:moveTo>
                  <a:pt x="331685" y="15671"/>
                </a:moveTo>
                <a:lnTo>
                  <a:pt x="327367" y="15671"/>
                </a:lnTo>
                <a:lnTo>
                  <a:pt x="323837" y="19164"/>
                </a:lnTo>
                <a:lnTo>
                  <a:pt x="323837" y="23482"/>
                </a:lnTo>
              </a:path>
              <a:path w="849630" h="859790">
                <a:moveTo>
                  <a:pt x="323837" y="21729"/>
                </a:moveTo>
                <a:lnTo>
                  <a:pt x="323837" y="16738"/>
                </a:lnTo>
                <a:lnTo>
                  <a:pt x="319938" y="12611"/>
                </a:lnTo>
                <a:lnTo>
                  <a:pt x="314947" y="12357"/>
                </a:lnTo>
              </a:path>
              <a:path w="849630" h="859790">
                <a:moveTo>
                  <a:pt x="227876" y="10985"/>
                </a:moveTo>
                <a:lnTo>
                  <a:pt x="230886" y="10833"/>
                </a:lnTo>
                <a:lnTo>
                  <a:pt x="233743" y="9740"/>
                </a:lnTo>
                <a:lnTo>
                  <a:pt x="236054" y="7861"/>
                </a:lnTo>
              </a:path>
              <a:path w="849630" h="859790">
                <a:moveTo>
                  <a:pt x="280644" y="7861"/>
                </a:moveTo>
                <a:lnTo>
                  <a:pt x="283006" y="9740"/>
                </a:lnTo>
                <a:lnTo>
                  <a:pt x="285877" y="10833"/>
                </a:lnTo>
                <a:lnTo>
                  <a:pt x="288848" y="10985"/>
                </a:lnTo>
              </a:path>
              <a:path w="849630" h="859790">
                <a:moveTo>
                  <a:pt x="314947" y="12357"/>
                </a:moveTo>
                <a:lnTo>
                  <a:pt x="288848" y="10985"/>
                </a:lnTo>
              </a:path>
              <a:path w="849630" h="859790">
                <a:moveTo>
                  <a:pt x="386841" y="12357"/>
                </a:moveTo>
                <a:lnTo>
                  <a:pt x="381863" y="12611"/>
                </a:lnTo>
                <a:lnTo>
                  <a:pt x="377952" y="16738"/>
                </a:lnTo>
                <a:lnTo>
                  <a:pt x="377952" y="21729"/>
                </a:lnTo>
              </a:path>
              <a:path w="849630" h="859790">
                <a:moveTo>
                  <a:pt x="377952" y="23482"/>
                </a:moveTo>
                <a:lnTo>
                  <a:pt x="377952" y="19164"/>
                </a:lnTo>
                <a:lnTo>
                  <a:pt x="374434" y="15671"/>
                </a:lnTo>
                <a:lnTo>
                  <a:pt x="370116" y="15671"/>
                </a:lnTo>
              </a:path>
              <a:path w="849630" h="859790">
                <a:moveTo>
                  <a:pt x="331685" y="15671"/>
                </a:moveTo>
                <a:lnTo>
                  <a:pt x="370116" y="15671"/>
                </a:lnTo>
              </a:path>
              <a:path w="849630" h="859790">
                <a:moveTo>
                  <a:pt x="386841" y="12357"/>
                </a:moveTo>
                <a:lnTo>
                  <a:pt x="412940" y="10985"/>
                </a:lnTo>
              </a:path>
              <a:path w="849630" h="859790">
                <a:moveTo>
                  <a:pt x="412940" y="10985"/>
                </a:moveTo>
                <a:lnTo>
                  <a:pt x="415912" y="10833"/>
                </a:lnTo>
                <a:lnTo>
                  <a:pt x="418782" y="9740"/>
                </a:lnTo>
                <a:lnTo>
                  <a:pt x="421106" y="7861"/>
                </a:lnTo>
              </a:path>
              <a:path w="849630" h="859790">
                <a:moveTo>
                  <a:pt x="748055" y="166179"/>
                </a:moveTo>
                <a:lnTo>
                  <a:pt x="748055" y="21729"/>
                </a:lnTo>
              </a:path>
              <a:path w="849630" h="859790">
                <a:moveTo>
                  <a:pt x="748055" y="166179"/>
                </a:moveTo>
                <a:lnTo>
                  <a:pt x="748055" y="21729"/>
                </a:lnTo>
              </a:path>
              <a:path w="849630" h="859790">
                <a:moveTo>
                  <a:pt x="693953" y="166179"/>
                </a:moveTo>
                <a:lnTo>
                  <a:pt x="693953" y="21729"/>
                </a:lnTo>
              </a:path>
              <a:path w="849630" h="859790">
                <a:moveTo>
                  <a:pt x="693953" y="21729"/>
                </a:moveTo>
                <a:lnTo>
                  <a:pt x="693953" y="166179"/>
                </a:lnTo>
              </a:path>
              <a:path w="849630" h="859790">
                <a:moveTo>
                  <a:pt x="748055" y="166179"/>
                </a:moveTo>
                <a:lnTo>
                  <a:pt x="748055" y="21729"/>
                </a:lnTo>
              </a:path>
              <a:path w="849630" h="859790">
                <a:moveTo>
                  <a:pt x="748055" y="23482"/>
                </a:moveTo>
                <a:lnTo>
                  <a:pt x="748055" y="164414"/>
                </a:lnTo>
              </a:path>
              <a:path w="849630" h="859790">
                <a:moveTo>
                  <a:pt x="664057" y="35585"/>
                </a:moveTo>
                <a:lnTo>
                  <a:pt x="661258" y="21736"/>
                </a:lnTo>
                <a:lnTo>
                  <a:pt x="653627" y="10425"/>
                </a:lnTo>
                <a:lnTo>
                  <a:pt x="642315" y="2797"/>
                </a:lnTo>
                <a:lnTo>
                  <a:pt x="628472" y="0"/>
                </a:lnTo>
              </a:path>
              <a:path w="849630" h="859790">
                <a:moveTo>
                  <a:pt x="628472" y="0"/>
                </a:moveTo>
                <a:lnTo>
                  <a:pt x="614614" y="2797"/>
                </a:lnTo>
                <a:lnTo>
                  <a:pt x="603294" y="10425"/>
                </a:lnTo>
                <a:lnTo>
                  <a:pt x="595660" y="21736"/>
                </a:lnTo>
                <a:lnTo>
                  <a:pt x="592861" y="35585"/>
                </a:lnTo>
              </a:path>
              <a:path w="849630" h="859790">
                <a:moveTo>
                  <a:pt x="563003" y="166179"/>
                </a:moveTo>
                <a:lnTo>
                  <a:pt x="563003" y="21729"/>
                </a:lnTo>
              </a:path>
              <a:path w="849630" h="859790">
                <a:moveTo>
                  <a:pt x="563003" y="166179"/>
                </a:moveTo>
                <a:lnTo>
                  <a:pt x="563003" y="21729"/>
                </a:lnTo>
              </a:path>
              <a:path w="849630" h="859790">
                <a:moveTo>
                  <a:pt x="693953" y="166179"/>
                </a:moveTo>
                <a:lnTo>
                  <a:pt x="693953" y="21729"/>
                </a:lnTo>
              </a:path>
              <a:path w="849630" h="859790">
                <a:moveTo>
                  <a:pt x="508888" y="166179"/>
                </a:moveTo>
                <a:lnTo>
                  <a:pt x="508888" y="21729"/>
                </a:lnTo>
              </a:path>
              <a:path w="849630" h="859790">
                <a:moveTo>
                  <a:pt x="508888" y="21729"/>
                </a:moveTo>
                <a:lnTo>
                  <a:pt x="508888" y="166179"/>
                </a:lnTo>
              </a:path>
              <a:path w="849630" h="859790">
                <a:moveTo>
                  <a:pt x="563003" y="166179"/>
                </a:moveTo>
                <a:lnTo>
                  <a:pt x="563003" y="21729"/>
                </a:lnTo>
              </a:path>
              <a:path w="849630" h="859790">
                <a:moveTo>
                  <a:pt x="563003" y="23482"/>
                </a:moveTo>
                <a:lnTo>
                  <a:pt x="563003" y="164414"/>
                </a:lnTo>
              </a:path>
              <a:path w="849630" h="859790">
                <a:moveTo>
                  <a:pt x="479005" y="35585"/>
                </a:moveTo>
                <a:lnTo>
                  <a:pt x="476208" y="21736"/>
                </a:lnTo>
                <a:lnTo>
                  <a:pt x="468577" y="10425"/>
                </a:lnTo>
                <a:lnTo>
                  <a:pt x="457258" y="2797"/>
                </a:lnTo>
                <a:lnTo>
                  <a:pt x="443395" y="0"/>
                </a:lnTo>
              </a:path>
              <a:path w="849630" h="859790">
                <a:moveTo>
                  <a:pt x="508888" y="166179"/>
                </a:moveTo>
                <a:lnTo>
                  <a:pt x="508888" y="21729"/>
                </a:lnTo>
              </a:path>
              <a:path w="849630" h="859790">
                <a:moveTo>
                  <a:pt x="677557" y="175945"/>
                </a:moveTo>
                <a:lnTo>
                  <a:pt x="669975" y="176339"/>
                </a:lnTo>
                <a:lnTo>
                  <a:pt x="664057" y="182600"/>
                </a:lnTo>
                <a:lnTo>
                  <a:pt x="664057" y="190157"/>
                </a:lnTo>
              </a:path>
              <a:path w="849630" h="859790">
                <a:moveTo>
                  <a:pt x="555167" y="172237"/>
                </a:moveTo>
                <a:lnTo>
                  <a:pt x="559485" y="172237"/>
                </a:lnTo>
                <a:lnTo>
                  <a:pt x="563003" y="168732"/>
                </a:lnTo>
                <a:lnTo>
                  <a:pt x="563003" y="164414"/>
                </a:lnTo>
              </a:path>
              <a:path w="849630" h="859790">
                <a:moveTo>
                  <a:pt x="492493" y="175945"/>
                </a:moveTo>
                <a:lnTo>
                  <a:pt x="499998" y="175564"/>
                </a:lnTo>
              </a:path>
              <a:path w="849630" h="859790">
                <a:moveTo>
                  <a:pt x="492493" y="175945"/>
                </a:moveTo>
                <a:lnTo>
                  <a:pt x="484949" y="176339"/>
                </a:lnTo>
                <a:lnTo>
                  <a:pt x="479005" y="182600"/>
                </a:lnTo>
                <a:lnTo>
                  <a:pt x="479005" y="190157"/>
                </a:lnTo>
              </a:path>
              <a:path w="849630" h="859790">
                <a:moveTo>
                  <a:pt x="516712" y="172237"/>
                </a:moveTo>
                <a:lnTo>
                  <a:pt x="555167" y="172237"/>
                </a:lnTo>
              </a:path>
              <a:path w="849630" h="859790">
                <a:moveTo>
                  <a:pt x="508888" y="164414"/>
                </a:moveTo>
                <a:lnTo>
                  <a:pt x="508888" y="168732"/>
                </a:lnTo>
                <a:lnTo>
                  <a:pt x="512406" y="172237"/>
                </a:lnTo>
                <a:lnTo>
                  <a:pt x="516712" y="172237"/>
                </a:lnTo>
              </a:path>
              <a:path w="849630" h="859790">
                <a:moveTo>
                  <a:pt x="499998" y="175564"/>
                </a:moveTo>
                <a:lnTo>
                  <a:pt x="504964" y="175285"/>
                </a:lnTo>
                <a:lnTo>
                  <a:pt x="508888" y="171170"/>
                </a:lnTo>
                <a:lnTo>
                  <a:pt x="508888" y="166179"/>
                </a:lnTo>
              </a:path>
              <a:path w="849630" h="859790">
                <a:moveTo>
                  <a:pt x="579399" y="175945"/>
                </a:moveTo>
                <a:lnTo>
                  <a:pt x="571893" y="175564"/>
                </a:lnTo>
              </a:path>
              <a:path w="849630" h="859790">
                <a:moveTo>
                  <a:pt x="592861" y="190157"/>
                </a:moveTo>
                <a:lnTo>
                  <a:pt x="592861" y="182600"/>
                </a:lnTo>
                <a:lnTo>
                  <a:pt x="586943" y="176339"/>
                </a:lnTo>
                <a:lnTo>
                  <a:pt x="579399" y="175945"/>
                </a:lnTo>
              </a:path>
              <a:path w="849630" h="859790">
                <a:moveTo>
                  <a:pt x="563003" y="166179"/>
                </a:moveTo>
                <a:lnTo>
                  <a:pt x="563003" y="171170"/>
                </a:lnTo>
                <a:lnTo>
                  <a:pt x="566902" y="175285"/>
                </a:lnTo>
                <a:lnTo>
                  <a:pt x="571893" y="175564"/>
                </a:lnTo>
              </a:path>
              <a:path w="849630" h="859790">
                <a:moveTo>
                  <a:pt x="701763" y="172237"/>
                </a:moveTo>
                <a:lnTo>
                  <a:pt x="740194" y="172237"/>
                </a:lnTo>
              </a:path>
              <a:path w="849630" h="859790">
                <a:moveTo>
                  <a:pt x="693953" y="164414"/>
                </a:moveTo>
                <a:lnTo>
                  <a:pt x="693953" y="168732"/>
                </a:lnTo>
                <a:lnTo>
                  <a:pt x="697445" y="172237"/>
                </a:lnTo>
                <a:lnTo>
                  <a:pt x="701763" y="172237"/>
                </a:lnTo>
              </a:path>
              <a:path w="849630" h="859790">
                <a:moveTo>
                  <a:pt x="685025" y="175564"/>
                </a:moveTo>
                <a:lnTo>
                  <a:pt x="690016" y="175285"/>
                </a:lnTo>
                <a:lnTo>
                  <a:pt x="693953" y="171170"/>
                </a:lnTo>
                <a:lnTo>
                  <a:pt x="693953" y="166179"/>
                </a:lnTo>
              </a:path>
              <a:path w="849630" h="859790">
                <a:moveTo>
                  <a:pt x="677557" y="175945"/>
                </a:moveTo>
                <a:lnTo>
                  <a:pt x="685025" y="175564"/>
                </a:lnTo>
              </a:path>
              <a:path w="849630" h="859790">
                <a:moveTo>
                  <a:pt x="740194" y="172237"/>
                </a:moveTo>
                <a:lnTo>
                  <a:pt x="744524" y="172237"/>
                </a:lnTo>
                <a:lnTo>
                  <a:pt x="748055" y="168732"/>
                </a:lnTo>
                <a:lnTo>
                  <a:pt x="748055" y="164414"/>
                </a:lnTo>
              </a:path>
              <a:path w="849630" h="859790">
                <a:moveTo>
                  <a:pt x="685025" y="12357"/>
                </a:moveTo>
                <a:lnTo>
                  <a:pt x="658926" y="10985"/>
                </a:lnTo>
              </a:path>
              <a:path w="849630" h="859790">
                <a:moveTo>
                  <a:pt x="563003" y="23482"/>
                </a:moveTo>
                <a:lnTo>
                  <a:pt x="563003" y="19164"/>
                </a:lnTo>
                <a:lnTo>
                  <a:pt x="559485" y="15671"/>
                </a:lnTo>
                <a:lnTo>
                  <a:pt x="555167" y="15671"/>
                </a:lnTo>
              </a:path>
              <a:path w="849630" h="859790">
                <a:moveTo>
                  <a:pt x="499998" y="12357"/>
                </a:moveTo>
                <a:lnTo>
                  <a:pt x="473875" y="10985"/>
                </a:lnTo>
              </a:path>
              <a:path w="849630" h="859790">
                <a:moveTo>
                  <a:pt x="465696" y="7861"/>
                </a:moveTo>
                <a:lnTo>
                  <a:pt x="468058" y="9740"/>
                </a:lnTo>
                <a:lnTo>
                  <a:pt x="470928" y="10833"/>
                </a:lnTo>
                <a:lnTo>
                  <a:pt x="473875" y="10985"/>
                </a:lnTo>
              </a:path>
              <a:path w="849630" h="859790">
                <a:moveTo>
                  <a:pt x="516712" y="15671"/>
                </a:moveTo>
                <a:lnTo>
                  <a:pt x="555167" y="15671"/>
                </a:lnTo>
              </a:path>
              <a:path w="849630" h="859790">
                <a:moveTo>
                  <a:pt x="516712" y="15671"/>
                </a:moveTo>
                <a:lnTo>
                  <a:pt x="512406" y="15671"/>
                </a:lnTo>
                <a:lnTo>
                  <a:pt x="508888" y="19164"/>
                </a:lnTo>
                <a:lnTo>
                  <a:pt x="508888" y="23482"/>
                </a:lnTo>
              </a:path>
              <a:path w="849630" h="859790">
                <a:moveTo>
                  <a:pt x="508888" y="21729"/>
                </a:moveTo>
                <a:lnTo>
                  <a:pt x="508888" y="16738"/>
                </a:lnTo>
                <a:lnTo>
                  <a:pt x="504964" y="12611"/>
                </a:lnTo>
                <a:lnTo>
                  <a:pt x="499998" y="12357"/>
                </a:lnTo>
              </a:path>
              <a:path w="849630" h="859790">
                <a:moveTo>
                  <a:pt x="571893" y="12357"/>
                </a:moveTo>
                <a:lnTo>
                  <a:pt x="597992" y="10985"/>
                </a:lnTo>
              </a:path>
              <a:path w="849630" h="859790">
                <a:moveTo>
                  <a:pt x="597992" y="10985"/>
                </a:moveTo>
                <a:lnTo>
                  <a:pt x="600964" y="10833"/>
                </a:lnTo>
                <a:lnTo>
                  <a:pt x="603834" y="9740"/>
                </a:lnTo>
                <a:lnTo>
                  <a:pt x="606171" y="7861"/>
                </a:lnTo>
              </a:path>
              <a:path w="849630" h="859790">
                <a:moveTo>
                  <a:pt x="571893" y="12357"/>
                </a:moveTo>
                <a:lnTo>
                  <a:pt x="566902" y="12611"/>
                </a:lnTo>
                <a:lnTo>
                  <a:pt x="563003" y="16738"/>
                </a:lnTo>
                <a:lnTo>
                  <a:pt x="563003" y="21729"/>
                </a:lnTo>
              </a:path>
              <a:path w="849630" h="859790">
                <a:moveTo>
                  <a:pt x="650786" y="7861"/>
                </a:moveTo>
                <a:lnTo>
                  <a:pt x="653084" y="9740"/>
                </a:lnTo>
                <a:lnTo>
                  <a:pt x="655955" y="10833"/>
                </a:lnTo>
                <a:lnTo>
                  <a:pt x="658926" y="10985"/>
                </a:lnTo>
              </a:path>
              <a:path w="849630" h="859790">
                <a:moveTo>
                  <a:pt x="701763" y="15671"/>
                </a:moveTo>
                <a:lnTo>
                  <a:pt x="740194" y="15671"/>
                </a:lnTo>
              </a:path>
              <a:path w="849630" h="859790">
                <a:moveTo>
                  <a:pt x="701763" y="15671"/>
                </a:moveTo>
                <a:lnTo>
                  <a:pt x="697445" y="15671"/>
                </a:lnTo>
                <a:lnTo>
                  <a:pt x="693953" y="19164"/>
                </a:lnTo>
                <a:lnTo>
                  <a:pt x="693953" y="23482"/>
                </a:lnTo>
              </a:path>
              <a:path w="849630" h="859790">
                <a:moveTo>
                  <a:pt x="693953" y="21729"/>
                </a:moveTo>
                <a:lnTo>
                  <a:pt x="693953" y="16738"/>
                </a:lnTo>
                <a:lnTo>
                  <a:pt x="690016" y="12611"/>
                </a:lnTo>
                <a:lnTo>
                  <a:pt x="685025" y="12357"/>
                </a:lnTo>
              </a:path>
              <a:path w="849630" h="859790">
                <a:moveTo>
                  <a:pt x="748055" y="23482"/>
                </a:moveTo>
                <a:lnTo>
                  <a:pt x="748055" y="19164"/>
                </a:lnTo>
                <a:lnTo>
                  <a:pt x="744524" y="15671"/>
                </a:lnTo>
                <a:lnTo>
                  <a:pt x="740194" y="15671"/>
                </a:lnTo>
              </a:path>
              <a:path w="849630" h="859790">
                <a:moveTo>
                  <a:pt x="777938" y="824814"/>
                </a:moveTo>
                <a:lnTo>
                  <a:pt x="777938" y="35585"/>
                </a:lnTo>
              </a:path>
              <a:path w="849630" h="859790">
                <a:moveTo>
                  <a:pt x="849109" y="824191"/>
                </a:moveTo>
                <a:lnTo>
                  <a:pt x="849109" y="35585"/>
                </a:lnTo>
              </a:path>
            </a:pathLst>
          </a:custGeom>
          <a:ln w="10134">
            <a:solidFill>
              <a:srgbClr val="000000"/>
            </a:solidFill>
          </a:ln>
        </xdr:spPr>
      </xdr:sp>
      <xdr:pic>
        <xdr:nvPicPr>
          <xdr:cNvPr id="232" name="image87.png">
            <a:extLst>
              <a:ext uri="{FF2B5EF4-FFF2-40B4-BE49-F238E27FC236}">
                <a16:creationId xmlns:a16="http://schemas.microsoft.com/office/drawing/2014/main" id="{8A197763-EF23-A8E6-25B0-2922664A946B}"/>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1635508" y="1152452"/>
            <a:ext cx="180949" cy="200292"/>
          </a:xfrm>
          <a:prstGeom prst="rect">
            <a:avLst/>
          </a:prstGeom>
        </xdr:spPr>
      </xdr:pic>
      <xdr:pic>
        <xdr:nvPicPr>
          <xdr:cNvPr id="233" name="image88.png">
            <a:extLst>
              <a:ext uri="{FF2B5EF4-FFF2-40B4-BE49-F238E27FC236}">
                <a16:creationId xmlns:a16="http://schemas.microsoft.com/office/drawing/2014/main" id="{F83E64FF-E819-AE1B-8397-8F0BB17F49C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1635512" y="482832"/>
            <a:ext cx="180940" cy="200291"/>
          </a:xfrm>
          <a:prstGeom prst="rect">
            <a:avLst/>
          </a:prstGeom>
        </xdr:spPr>
      </xdr:pic>
      <xdr:sp macro="" textlink="">
        <xdr:nvSpPr>
          <xdr:cNvPr id="234" name="Shape 733">
            <a:extLst>
              <a:ext uri="{FF2B5EF4-FFF2-40B4-BE49-F238E27FC236}">
                <a16:creationId xmlns:a16="http://schemas.microsoft.com/office/drawing/2014/main" id="{F8EA1AA8-1CEC-8451-5B8D-951F8F6B936E}"/>
              </a:ext>
            </a:extLst>
          </xdr:cNvPr>
          <xdr:cNvSpPr/>
        </xdr:nvSpPr>
        <xdr:spPr>
          <a:xfrm>
            <a:off x="42163" y="42744"/>
            <a:ext cx="1998980" cy="1574165"/>
          </a:xfrm>
          <a:custGeom>
            <a:avLst/>
            <a:gdLst/>
            <a:ahLst/>
            <a:cxnLst/>
            <a:rect l="0" t="0" r="0" b="0"/>
            <a:pathLst>
              <a:path w="1998980" h="1574165">
                <a:moveTo>
                  <a:pt x="488099" y="410108"/>
                </a:moveTo>
                <a:lnTo>
                  <a:pt x="488099" y="172440"/>
                </a:lnTo>
              </a:path>
              <a:path w="1998980" h="1574165">
                <a:moveTo>
                  <a:pt x="448246" y="427532"/>
                </a:moveTo>
                <a:lnTo>
                  <a:pt x="448246" y="0"/>
                </a:lnTo>
              </a:path>
              <a:path w="1998980" h="1574165">
                <a:moveTo>
                  <a:pt x="545033" y="229374"/>
                </a:moveTo>
                <a:lnTo>
                  <a:pt x="630694" y="229374"/>
                </a:lnTo>
              </a:path>
              <a:path w="1998980" h="1574165">
                <a:moveTo>
                  <a:pt x="391312" y="229374"/>
                </a:moveTo>
                <a:lnTo>
                  <a:pt x="216661" y="229374"/>
                </a:lnTo>
              </a:path>
              <a:path w="1998980" h="1574165">
                <a:moveTo>
                  <a:pt x="1730171" y="410108"/>
                </a:moveTo>
                <a:lnTo>
                  <a:pt x="1730171" y="172440"/>
                </a:lnTo>
              </a:path>
              <a:path w="1998980" h="1574165">
                <a:moveTo>
                  <a:pt x="1770011" y="427532"/>
                </a:moveTo>
                <a:lnTo>
                  <a:pt x="1770011" y="0"/>
                </a:lnTo>
              </a:path>
              <a:path w="1998980" h="1574165">
                <a:moveTo>
                  <a:pt x="1673237" y="229374"/>
                </a:moveTo>
                <a:lnTo>
                  <a:pt x="1587563" y="229374"/>
                </a:lnTo>
              </a:path>
              <a:path w="1998980" h="1574165">
                <a:moveTo>
                  <a:pt x="1826945" y="229374"/>
                </a:moveTo>
                <a:lnTo>
                  <a:pt x="1998472" y="229374"/>
                </a:lnTo>
              </a:path>
              <a:path w="1998980" h="1574165">
                <a:moveTo>
                  <a:pt x="448246" y="229374"/>
                </a:moveTo>
                <a:lnTo>
                  <a:pt x="488099" y="229374"/>
                </a:lnTo>
              </a:path>
              <a:path w="1998980" h="1574165">
                <a:moveTo>
                  <a:pt x="1730171" y="229374"/>
                </a:moveTo>
                <a:lnTo>
                  <a:pt x="1770011" y="229374"/>
                </a:lnTo>
              </a:path>
              <a:path w="1998980" h="1574165">
                <a:moveTo>
                  <a:pt x="496646" y="445325"/>
                </a:moveTo>
                <a:lnTo>
                  <a:pt x="0" y="445325"/>
                </a:lnTo>
              </a:path>
              <a:path w="1998980" h="1574165">
                <a:moveTo>
                  <a:pt x="496646" y="1305090"/>
                </a:moveTo>
                <a:lnTo>
                  <a:pt x="0" y="1305090"/>
                </a:lnTo>
              </a:path>
              <a:path w="1998980" h="1574165">
                <a:moveTo>
                  <a:pt x="56934" y="502272"/>
                </a:moveTo>
                <a:lnTo>
                  <a:pt x="56934" y="1248143"/>
                </a:lnTo>
              </a:path>
              <a:path w="1998980" h="1574165">
                <a:moveTo>
                  <a:pt x="488099" y="410108"/>
                </a:moveTo>
                <a:lnTo>
                  <a:pt x="488099" y="172440"/>
                </a:lnTo>
              </a:path>
              <a:path w="1998980" h="1574165">
                <a:moveTo>
                  <a:pt x="1730171" y="410108"/>
                </a:moveTo>
                <a:lnTo>
                  <a:pt x="1730171" y="172440"/>
                </a:lnTo>
              </a:path>
              <a:path w="1998980" h="1574165">
                <a:moveTo>
                  <a:pt x="545033" y="56946"/>
                </a:moveTo>
                <a:lnTo>
                  <a:pt x="1673237" y="56946"/>
                </a:lnTo>
              </a:path>
              <a:path w="1998980" h="1574165">
                <a:moveTo>
                  <a:pt x="391312" y="1210005"/>
                </a:moveTo>
                <a:lnTo>
                  <a:pt x="170815" y="1210005"/>
                </a:lnTo>
              </a:path>
              <a:path w="1998980" h="1574165">
                <a:moveTo>
                  <a:pt x="391312" y="538124"/>
                </a:moveTo>
                <a:lnTo>
                  <a:pt x="170815" y="538124"/>
                </a:lnTo>
              </a:path>
              <a:path w="1998980" h="1574165">
                <a:moveTo>
                  <a:pt x="227761" y="1153071"/>
                </a:moveTo>
                <a:lnTo>
                  <a:pt x="227761" y="595083"/>
                </a:lnTo>
              </a:path>
              <a:path w="1998980" h="1574165">
                <a:moveTo>
                  <a:pt x="619048" y="1338376"/>
                </a:moveTo>
                <a:lnTo>
                  <a:pt x="619048" y="1573923"/>
                </a:lnTo>
              </a:path>
              <a:path w="1998980" h="1574165">
                <a:moveTo>
                  <a:pt x="804113" y="1338376"/>
                </a:moveTo>
                <a:lnTo>
                  <a:pt x="804113" y="1573923"/>
                </a:lnTo>
              </a:path>
              <a:path w="1998980" h="1574165">
                <a:moveTo>
                  <a:pt x="619340" y="1516989"/>
                </a:moveTo>
                <a:lnTo>
                  <a:pt x="803186" y="1516989"/>
                </a:lnTo>
              </a:path>
              <a:path w="1998980" h="1574165">
                <a:moveTo>
                  <a:pt x="476669" y="1516989"/>
                </a:moveTo>
                <a:lnTo>
                  <a:pt x="547878" y="1516989"/>
                </a:lnTo>
              </a:path>
              <a:path w="1998980" h="1574165">
                <a:moveTo>
                  <a:pt x="877519" y="1516989"/>
                </a:moveTo>
                <a:lnTo>
                  <a:pt x="948728" y="1516989"/>
                </a:lnTo>
              </a:path>
              <a:path w="1998980" h="1574165">
                <a:moveTo>
                  <a:pt x="1174191" y="1338376"/>
                </a:moveTo>
                <a:lnTo>
                  <a:pt x="1174191" y="1573923"/>
                </a:lnTo>
              </a:path>
              <a:path w="1998980" h="1574165">
                <a:moveTo>
                  <a:pt x="1228318" y="1338376"/>
                </a:moveTo>
                <a:lnTo>
                  <a:pt x="1228318" y="1573923"/>
                </a:lnTo>
              </a:path>
              <a:path w="1998980" h="1574165">
                <a:moveTo>
                  <a:pt x="1094447" y="1516989"/>
                </a:moveTo>
                <a:lnTo>
                  <a:pt x="1037501" y="1516989"/>
                </a:lnTo>
              </a:path>
              <a:path w="1998980" h="1574165">
                <a:moveTo>
                  <a:pt x="1285227" y="1516989"/>
                </a:moveTo>
                <a:lnTo>
                  <a:pt x="1485861" y="1516989"/>
                </a:lnTo>
              </a:path>
              <a:path w="1998980" h="1574165">
                <a:moveTo>
                  <a:pt x="1174191" y="1516989"/>
                </a:moveTo>
                <a:lnTo>
                  <a:pt x="1228318" y="1516989"/>
                </a:lnTo>
              </a:path>
            </a:pathLst>
          </a:custGeom>
          <a:ln w="6083">
            <a:solidFill>
              <a:srgbClr val="000000"/>
            </a:solidFill>
          </a:ln>
        </xdr:spPr>
      </xdr:sp>
      <xdr:sp macro="" textlink="">
        <xdr:nvSpPr>
          <xdr:cNvPr id="235" name="Shape 734">
            <a:extLst>
              <a:ext uri="{FF2B5EF4-FFF2-40B4-BE49-F238E27FC236}">
                <a16:creationId xmlns:a16="http://schemas.microsoft.com/office/drawing/2014/main" id="{69D233BA-7445-D0A7-D582-CF3EE791CAF3}"/>
              </a:ext>
            </a:extLst>
          </xdr:cNvPr>
          <xdr:cNvSpPr/>
        </xdr:nvSpPr>
        <xdr:spPr>
          <a:xfrm>
            <a:off x="0" y="8"/>
            <a:ext cx="2020570" cy="1579880"/>
          </a:xfrm>
          <a:custGeom>
            <a:avLst/>
            <a:gdLst/>
            <a:ahLst/>
            <a:cxnLst/>
            <a:rect l="0" t="0" r="0" b="0"/>
            <a:pathLst>
              <a:path w="2020570" h="1579880">
                <a:moveTo>
                  <a:pt x="72390" y="887742"/>
                </a:moveTo>
                <a:lnTo>
                  <a:pt x="0" y="887742"/>
                </a:lnTo>
                <a:lnTo>
                  <a:pt x="0" y="897356"/>
                </a:lnTo>
                <a:lnTo>
                  <a:pt x="31115" y="897356"/>
                </a:lnTo>
                <a:lnTo>
                  <a:pt x="31115" y="935482"/>
                </a:lnTo>
                <a:lnTo>
                  <a:pt x="0" y="935482"/>
                </a:lnTo>
                <a:lnTo>
                  <a:pt x="0" y="945121"/>
                </a:lnTo>
                <a:lnTo>
                  <a:pt x="72390" y="945121"/>
                </a:lnTo>
                <a:lnTo>
                  <a:pt x="72390" y="935482"/>
                </a:lnTo>
                <a:lnTo>
                  <a:pt x="39243" y="935482"/>
                </a:lnTo>
                <a:lnTo>
                  <a:pt x="39243" y="897356"/>
                </a:lnTo>
                <a:lnTo>
                  <a:pt x="72390" y="897356"/>
                </a:lnTo>
                <a:lnTo>
                  <a:pt x="72390" y="887742"/>
                </a:lnTo>
                <a:close/>
              </a:path>
              <a:path w="2020570" h="1579880">
                <a:moveTo>
                  <a:pt x="119214" y="1247241"/>
                </a:moveTo>
                <a:lnTo>
                  <a:pt x="78981" y="1247241"/>
                </a:lnTo>
                <a:lnTo>
                  <a:pt x="99085" y="1347838"/>
                </a:lnTo>
                <a:lnTo>
                  <a:pt x="119214" y="1247241"/>
                </a:lnTo>
                <a:close/>
              </a:path>
              <a:path w="2020570" h="1579880">
                <a:moveTo>
                  <a:pt x="119214" y="588657"/>
                </a:moveTo>
                <a:lnTo>
                  <a:pt x="99085" y="488073"/>
                </a:lnTo>
                <a:lnTo>
                  <a:pt x="78981" y="588657"/>
                </a:lnTo>
                <a:lnTo>
                  <a:pt x="119214" y="588657"/>
                </a:lnTo>
                <a:close/>
              </a:path>
              <a:path w="2020570" h="1579880">
                <a:moveTo>
                  <a:pt x="243192" y="887844"/>
                </a:moveTo>
                <a:lnTo>
                  <a:pt x="170802" y="887844"/>
                </a:lnTo>
                <a:lnTo>
                  <a:pt x="170802" y="896962"/>
                </a:lnTo>
                <a:lnTo>
                  <a:pt x="229501" y="896962"/>
                </a:lnTo>
                <a:lnTo>
                  <a:pt x="229501" y="897191"/>
                </a:lnTo>
                <a:lnTo>
                  <a:pt x="170802" y="935304"/>
                </a:lnTo>
                <a:lnTo>
                  <a:pt x="170802" y="945540"/>
                </a:lnTo>
                <a:lnTo>
                  <a:pt x="243192" y="945540"/>
                </a:lnTo>
                <a:lnTo>
                  <a:pt x="243192" y="936409"/>
                </a:lnTo>
                <a:lnTo>
                  <a:pt x="185089" y="936409"/>
                </a:lnTo>
                <a:lnTo>
                  <a:pt x="185089" y="936218"/>
                </a:lnTo>
                <a:lnTo>
                  <a:pt x="243192" y="898398"/>
                </a:lnTo>
                <a:lnTo>
                  <a:pt x="243192" y="887844"/>
                </a:lnTo>
                <a:close/>
              </a:path>
              <a:path w="2020570" h="1579880">
                <a:moveTo>
                  <a:pt x="290029" y="1152156"/>
                </a:moveTo>
                <a:lnTo>
                  <a:pt x="249796" y="1152156"/>
                </a:lnTo>
                <a:lnTo>
                  <a:pt x="269913" y="1252753"/>
                </a:lnTo>
                <a:lnTo>
                  <a:pt x="290029" y="1152156"/>
                </a:lnTo>
                <a:close/>
              </a:path>
              <a:path w="2020570" h="1579880">
                <a:moveTo>
                  <a:pt x="290029" y="681456"/>
                </a:moveTo>
                <a:lnTo>
                  <a:pt x="269913" y="580859"/>
                </a:lnTo>
                <a:lnTo>
                  <a:pt x="249796" y="681456"/>
                </a:lnTo>
                <a:lnTo>
                  <a:pt x="290029" y="681456"/>
                </a:lnTo>
                <a:close/>
              </a:path>
              <a:path w="2020570" h="1579880">
                <a:moveTo>
                  <a:pt x="306946" y="172872"/>
                </a:moveTo>
                <a:lnTo>
                  <a:pt x="300355" y="172872"/>
                </a:lnTo>
                <a:lnTo>
                  <a:pt x="298424" y="183718"/>
                </a:lnTo>
                <a:lnTo>
                  <a:pt x="289496" y="186359"/>
                </a:lnTo>
                <a:lnTo>
                  <a:pt x="279654" y="186359"/>
                </a:lnTo>
                <a:lnTo>
                  <a:pt x="279654" y="193268"/>
                </a:lnTo>
                <a:lnTo>
                  <a:pt x="298323" y="193268"/>
                </a:lnTo>
                <a:lnTo>
                  <a:pt x="298323" y="244817"/>
                </a:lnTo>
                <a:lnTo>
                  <a:pt x="306946" y="244817"/>
                </a:lnTo>
                <a:lnTo>
                  <a:pt x="306946" y="172872"/>
                </a:lnTo>
                <a:close/>
              </a:path>
              <a:path w="2020570" h="1579880">
                <a:moveTo>
                  <a:pt x="373240" y="215480"/>
                </a:moveTo>
                <a:lnTo>
                  <a:pt x="368985" y="208572"/>
                </a:lnTo>
                <a:lnTo>
                  <a:pt x="360248" y="206654"/>
                </a:lnTo>
                <a:lnTo>
                  <a:pt x="360248" y="206438"/>
                </a:lnTo>
                <a:lnTo>
                  <a:pt x="365734" y="203911"/>
                </a:lnTo>
                <a:lnTo>
                  <a:pt x="370192" y="198424"/>
                </a:lnTo>
                <a:lnTo>
                  <a:pt x="370192" y="192138"/>
                </a:lnTo>
                <a:lnTo>
                  <a:pt x="368515" y="183515"/>
                </a:lnTo>
                <a:lnTo>
                  <a:pt x="363905" y="177507"/>
                </a:lnTo>
                <a:lnTo>
                  <a:pt x="356958" y="174002"/>
                </a:lnTo>
                <a:lnTo>
                  <a:pt x="348272" y="172859"/>
                </a:lnTo>
                <a:lnTo>
                  <a:pt x="338785" y="174561"/>
                </a:lnTo>
                <a:lnTo>
                  <a:pt x="331939" y="179336"/>
                </a:lnTo>
                <a:lnTo>
                  <a:pt x="327698" y="186677"/>
                </a:lnTo>
                <a:lnTo>
                  <a:pt x="326047" y="196088"/>
                </a:lnTo>
                <a:lnTo>
                  <a:pt x="334670" y="196088"/>
                </a:lnTo>
                <a:lnTo>
                  <a:pt x="334772" y="187667"/>
                </a:lnTo>
                <a:lnTo>
                  <a:pt x="338823" y="180454"/>
                </a:lnTo>
                <a:lnTo>
                  <a:pt x="355574" y="180454"/>
                </a:lnTo>
                <a:lnTo>
                  <a:pt x="361061" y="184518"/>
                </a:lnTo>
                <a:lnTo>
                  <a:pt x="361061" y="199847"/>
                </a:lnTo>
                <a:lnTo>
                  <a:pt x="354660" y="203809"/>
                </a:lnTo>
                <a:lnTo>
                  <a:pt x="343598" y="203708"/>
                </a:lnTo>
                <a:lnTo>
                  <a:pt x="343598" y="211010"/>
                </a:lnTo>
                <a:lnTo>
                  <a:pt x="347040" y="210705"/>
                </a:lnTo>
                <a:lnTo>
                  <a:pt x="357301" y="210705"/>
                </a:lnTo>
                <a:lnTo>
                  <a:pt x="364109" y="215480"/>
                </a:lnTo>
                <a:lnTo>
                  <a:pt x="364109" y="233235"/>
                </a:lnTo>
                <a:lnTo>
                  <a:pt x="356908" y="238404"/>
                </a:lnTo>
                <a:lnTo>
                  <a:pt x="338632" y="238404"/>
                </a:lnTo>
                <a:lnTo>
                  <a:pt x="333463" y="231914"/>
                </a:lnTo>
                <a:lnTo>
                  <a:pt x="333146" y="222580"/>
                </a:lnTo>
                <a:lnTo>
                  <a:pt x="324523" y="222580"/>
                </a:lnTo>
                <a:lnTo>
                  <a:pt x="326072" y="232486"/>
                </a:lnTo>
                <a:lnTo>
                  <a:pt x="330898" y="239852"/>
                </a:lnTo>
                <a:lnTo>
                  <a:pt x="338518" y="244436"/>
                </a:lnTo>
                <a:lnTo>
                  <a:pt x="348475" y="246024"/>
                </a:lnTo>
                <a:lnTo>
                  <a:pt x="358038" y="244627"/>
                </a:lnTo>
                <a:lnTo>
                  <a:pt x="365912" y="240461"/>
                </a:lnTo>
                <a:lnTo>
                  <a:pt x="371271" y="233603"/>
                </a:lnTo>
                <a:lnTo>
                  <a:pt x="373240" y="224104"/>
                </a:lnTo>
                <a:lnTo>
                  <a:pt x="373240" y="215480"/>
                </a:lnTo>
                <a:close/>
              </a:path>
              <a:path w="2020570" h="1579880">
                <a:moveTo>
                  <a:pt x="490410" y="272122"/>
                </a:moveTo>
                <a:lnTo>
                  <a:pt x="389826" y="251993"/>
                </a:lnTo>
                <a:lnTo>
                  <a:pt x="389826" y="292214"/>
                </a:lnTo>
                <a:lnTo>
                  <a:pt x="490410" y="272122"/>
                </a:lnTo>
                <a:close/>
              </a:path>
              <a:path w="2020570" h="1579880">
                <a:moveTo>
                  <a:pt x="587743" y="79565"/>
                </a:moveTo>
                <a:lnTo>
                  <a:pt x="487146" y="99695"/>
                </a:lnTo>
                <a:lnTo>
                  <a:pt x="587743" y="119786"/>
                </a:lnTo>
                <a:lnTo>
                  <a:pt x="587743" y="79565"/>
                </a:lnTo>
                <a:close/>
              </a:path>
              <a:path w="2020570" h="1579880">
                <a:moveTo>
                  <a:pt x="630847" y="251993"/>
                </a:moveTo>
                <a:lnTo>
                  <a:pt x="530250" y="272122"/>
                </a:lnTo>
                <a:lnTo>
                  <a:pt x="630847" y="292214"/>
                </a:lnTo>
                <a:lnTo>
                  <a:pt x="630847" y="251993"/>
                </a:lnTo>
                <a:close/>
              </a:path>
              <a:path w="2020570" h="1579880">
                <a:moveTo>
                  <a:pt x="656920" y="1559763"/>
                </a:moveTo>
                <a:lnTo>
                  <a:pt x="556323" y="1539621"/>
                </a:lnTo>
                <a:lnTo>
                  <a:pt x="556323" y="1579841"/>
                </a:lnTo>
                <a:lnTo>
                  <a:pt x="656920" y="1559763"/>
                </a:lnTo>
                <a:close/>
              </a:path>
              <a:path w="2020570" h="1579880">
                <a:moveTo>
                  <a:pt x="752309" y="1510017"/>
                </a:moveTo>
                <a:lnTo>
                  <a:pt x="750963" y="1501698"/>
                </a:lnTo>
                <a:lnTo>
                  <a:pt x="750938" y="1501508"/>
                </a:lnTo>
                <a:lnTo>
                  <a:pt x="750824" y="1500759"/>
                </a:lnTo>
                <a:lnTo>
                  <a:pt x="747039" y="1494294"/>
                </a:lnTo>
                <a:lnTo>
                  <a:pt x="746493" y="1493367"/>
                </a:lnTo>
                <a:lnTo>
                  <a:pt x="743178" y="1491018"/>
                </a:lnTo>
                <a:lnTo>
                  <a:pt x="743178" y="1519148"/>
                </a:lnTo>
                <a:lnTo>
                  <a:pt x="738009" y="1526527"/>
                </a:lnTo>
                <a:lnTo>
                  <a:pt x="719264" y="1526527"/>
                </a:lnTo>
                <a:lnTo>
                  <a:pt x="713790" y="1519440"/>
                </a:lnTo>
                <a:lnTo>
                  <a:pt x="713790" y="1501508"/>
                </a:lnTo>
                <a:lnTo>
                  <a:pt x="717740" y="1496110"/>
                </a:lnTo>
                <a:lnTo>
                  <a:pt x="719061" y="1494294"/>
                </a:lnTo>
                <a:lnTo>
                  <a:pt x="738530" y="1494294"/>
                </a:lnTo>
                <a:lnTo>
                  <a:pt x="743064" y="1501508"/>
                </a:lnTo>
                <a:lnTo>
                  <a:pt x="743178" y="1519148"/>
                </a:lnTo>
                <a:lnTo>
                  <a:pt x="743178" y="1491018"/>
                </a:lnTo>
                <a:lnTo>
                  <a:pt x="739584" y="1488465"/>
                </a:lnTo>
                <a:lnTo>
                  <a:pt x="730313" y="1486687"/>
                </a:lnTo>
                <a:lnTo>
                  <a:pt x="722503" y="1486687"/>
                </a:lnTo>
                <a:lnTo>
                  <a:pt x="716432" y="1489544"/>
                </a:lnTo>
                <a:lnTo>
                  <a:pt x="712495" y="1495920"/>
                </a:lnTo>
                <a:lnTo>
                  <a:pt x="712368" y="1496110"/>
                </a:lnTo>
                <a:lnTo>
                  <a:pt x="729602" y="1468653"/>
                </a:lnTo>
                <a:lnTo>
                  <a:pt x="736384" y="1468653"/>
                </a:lnTo>
                <a:lnTo>
                  <a:pt x="740867" y="1472907"/>
                </a:lnTo>
                <a:lnTo>
                  <a:pt x="741680" y="1479410"/>
                </a:lnTo>
                <a:lnTo>
                  <a:pt x="750290" y="1479410"/>
                </a:lnTo>
                <a:lnTo>
                  <a:pt x="730008" y="1461046"/>
                </a:lnTo>
                <a:lnTo>
                  <a:pt x="717245" y="1464284"/>
                </a:lnTo>
                <a:lnTo>
                  <a:pt x="709104" y="1472907"/>
                </a:lnTo>
                <a:lnTo>
                  <a:pt x="704811" y="1485214"/>
                </a:lnTo>
                <a:lnTo>
                  <a:pt x="703554" y="1499577"/>
                </a:lnTo>
                <a:lnTo>
                  <a:pt x="704329" y="1510017"/>
                </a:lnTo>
                <a:lnTo>
                  <a:pt x="704430" y="1511338"/>
                </a:lnTo>
                <a:lnTo>
                  <a:pt x="707948" y="1522514"/>
                </a:lnTo>
                <a:lnTo>
                  <a:pt x="715454" y="1530858"/>
                </a:lnTo>
                <a:lnTo>
                  <a:pt x="728294" y="1534134"/>
                </a:lnTo>
                <a:lnTo>
                  <a:pt x="739698" y="1531823"/>
                </a:lnTo>
                <a:lnTo>
                  <a:pt x="746429" y="1526527"/>
                </a:lnTo>
                <a:lnTo>
                  <a:pt x="747102" y="1525981"/>
                </a:lnTo>
                <a:lnTo>
                  <a:pt x="751116" y="1518183"/>
                </a:lnTo>
                <a:lnTo>
                  <a:pt x="752309" y="1510017"/>
                </a:lnTo>
                <a:close/>
              </a:path>
              <a:path w="2020570" h="1579880">
                <a:moveTo>
                  <a:pt x="807681" y="1510220"/>
                </a:moveTo>
                <a:lnTo>
                  <a:pt x="805853" y="1499438"/>
                </a:lnTo>
                <a:lnTo>
                  <a:pt x="800862" y="1491742"/>
                </a:lnTo>
                <a:lnTo>
                  <a:pt x="793470" y="1487119"/>
                </a:lnTo>
                <a:lnTo>
                  <a:pt x="784453" y="1485582"/>
                </a:lnTo>
                <a:lnTo>
                  <a:pt x="779602" y="1485582"/>
                </a:lnTo>
                <a:lnTo>
                  <a:pt x="774217" y="1487208"/>
                </a:lnTo>
                <a:lnTo>
                  <a:pt x="771067" y="1490751"/>
                </a:lnTo>
                <a:lnTo>
                  <a:pt x="770864" y="1490548"/>
                </a:lnTo>
                <a:lnTo>
                  <a:pt x="774725" y="1469859"/>
                </a:lnTo>
                <a:lnTo>
                  <a:pt x="803719" y="1469859"/>
                </a:lnTo>
                <a:lnTo>
                  <a:pt x="803719" y="1462252"/>
                </a:lnTo>
                <a:lnTo>
                  <a:pt x="768235" y="1462252"/>
                </a:lnTo>
                <a:lnTo>
                  <a:pt x="761542" y="1499577"/>
                </a:lnTo>
                <a:lnTo>
                  <a:pt x="768946" y="1499971"/>
                </a:lnTo>
                <a:lnTo>
                  <a:pt x="772287" y="1495920"/>
                </a:lnTo>
                <a:lnTo>
                  <a:pt x="776846" y="1493189"/>
                </a:lnTo>
                <a:lnTo>
                  <a:pt x="791959" y="1493189"/>
                </a:lnTo>
                <a:lnTo>
                  <a:pt x="798550" y="1499971"/>
                </a:lnTo>
                <a:lnTo>
                  <a:pt x="798550" y="1520964"/>
                </a:lnTo>
                <a:lnTo>
                  <a:pt x="791565" y="1526527"/>
                </a:lnTo>
                <a:lnTo>
                  <a:pt x="774725" y="1526527"/>
                </a:lnTo>
                <a:lnTo>
                  <a:pt x="768743" y="1520964"/>
                </a:lnTo>
                <a:lnTo>
                  <a:pt x="768235" y="1513560"/>
                </a:lnTo>
                <a:lnTo>
                  <a:pt x="759612" y="1513560"/>
                </a:lnTo>
                <a:lnTo>
                  <a:pt x="761568" y="1522234"/>
                </a:lnTo>
                <a:lnTo>
                  <a:pt x="766508" y="1528699"/>
                </a:lnTo>
                <a:lnTo>
                  <a:pt x="773734" y="1532737"/>
                </a:lnTo>
                <a:lnTo>
                  <a:pt x="782535" y="1534134"/>
                </a:lnTo>
                <a:lnTo>
                  <a:pt x="793521" y="1532102"/>
                </a:lnTo>
                <a:lnTo>
                  <a:pt x="801382" y="1526730"/>
                </a:lnTo>
                <a:lnTo>
                  <a:pt x="806107" y="1519085"/>
                </a:lnTo>
                <a:lnTo>
                  <a:pt x="807681" y="1510220"/>
                </a:lnTo>
                <a:close/>
              </a:path>
              <a:path w="2020570" h="1579880">
                <a:moveTo>
                  <a:pt x="948804" y="1539621"/>
                </a:moveTo>
                <a:lnTo>
                  <a:pt x="848207" y="1559763"/>
                </a:lnTo>
                <a:lnTo>
                  <a:pt x="948804" y="1579841"/>
                </a:lnTo>
                <a:lnTo>
                  <a:pt x="948804" y="1539621"/>
                </a:lnTo>
                <a:close/>
              </a:path>
              <a:path w="2020570" h="1579880">
                <a:moveTo>
                  <a:pt x="1179715" y="64287"/>
                </a:moveTo>
                <a:lnTo>
                  <a:pt x="1141399" y="64287"/>
                </a:lnTo>
                <a:lnTo>
                  <a:pt x="1141399" y="0"/>
                </a:lnTo>
                <a:lnTo>
                  <a:pt x="1131760" y="0"/>
                </a:lnTo>
                <a:lnTo>
                  <a:pt x="1131760" y="72390"/>
                </a:lnTo>
                <a:lnTo>
                  <a:pt x="1179715" y="72390"/>
                </a:lnTo>
                <a:lnTo>
                  <a:pt x="1179715" y="64287"/>
                </a:lnTo>
                <a:close/>
              </a:path>
              <a:path w="2020570" h="1579880">
                <a:moveTo>
                  <a:pt x="1216355" y="1559763"/>
                </a:moveTo>
                <a:lnTo>
                  <a:pt x="1115758" y="1539621"/>
                </a:lnTo>
                <a:lnTo>
                  <a:pt x="1115758" y="1579841"/>
                </a:lnTo>
                <a:lnTo>
                  <a:pt x="1216355" y="1559763"/>
                </a:lnTo>
                <a:close/>
              </a:path>
              <a:path w="2020570" h="1579880">
                <a:moveTo>
                  <a:pt x="1371066" y="1539621"/>
                </a:moveTo>
                <a:lnTo>
                  <a:pt x="1270469" y="1559763"/>
                </a:lnTo>
                <a:lnTo>
                  <a:pt x="1371066" y="1579841"/>
                </a:lnTo>
                <a:lnTo>
                  <a:pt x="1371066" y="1539621"/>
                </a:lnTo>
                <a:close/>
              </a:path>
              <a:path w="2020570" h="1579880">
                <a:moveTo>
                  <a:pt x="1420495" y="1461033"/>
                </a:moveTo>
                <a:lnTo>
                  <a:pt x="1413903" y="1461033"/>
                </a:lnTo>
                <a:lnTo>
                  <a:pt x="1411986" y="1471891"/>
                </a:lnTo>
                <a:lnTo>
                  <a:pt x="1403045" y="1474520"/>
                </a:lnTo>
                <a:lnTo>
                  <a:pt x="1393202" y="1474520"/>
                </a:lnTo>
                <a:lnTo>
                  <a:pt x="1393202" y="1481416"/>
                </a:lnTo>
                <a:lnTo>
                  <a:pt x="1411884" y="1481416"/>
                </a:lnTo>
                <a:lnTo>
                  <a:pt x="1411884" y="1532915"/>
                </a:lnTo>
                <a:lnTo>
                  <a:pt x="1420495" y="1532915"/>
                </a:lnTo>
                <a:lnTo>
                  <a:pt x="1420495" y="1461033"/>
                </a:lnTo>
                <a:close/>
              </a:path>
              <a:path w="2020570" h="1579880">
                <a:moveTo>
                  <a:pt x="1492478" y="1495425"/>
                </a:moveTo>
                <a:lnTo>
                  <a:pt x="1490510" y="1478584"/>
                </a:lnTo>
                <a:lnTo>
                  <a:pt x="1485480" y="1468653"/>
                </a:lnTo>
                <a:lnTo>
                  <a:pt x="1485176" y="1468031"/>
                </a:lnTo>
                <a:lnTo>
                  <a:pt x="1482242" y="1466011"/>
                </a:lnTo>
                <a:lnTo>
                  <a:pt x="1482242" y="1476248"/>
                </a:lnTo>
                <a:lnTo>
                  <a:pt x="1482242" y="1493583"/>
                </a:lnTo>
                <a:lnTo>
                  <a:pt x="1476552" y="1500886"/>
                </a:lnTo>
                <a:lnTo>
                  <a:pt x="1459230" y="1500886"/>
                </a:lnTo>
                <a:lnTo>
                  <a:pt x="1453349" y="1493583"/>
                </a:lnTo>
                <a:lnTo>
                  <a:pt x="1453349" y="1476870"/>
                </a:lnTo>
                <a:lnTo>
                  <a:pt x="1457185" y="1468653"/>
                </a:lnTo>
                <a:lnTo>
                  <a:pt x="1477073" y="1468653"/>
                </a:lnTo>
                <a:lnTo>
                  <a:pt x="1482242" y="1476248"/>
                </a:lnTo>
                <a:lnTo>
                  <a:pt x="1482242" y="1466011"/>
                </a:lnTo>
                <a:lnTo>
                  <a:pt x="1477327" y="1462595"/>
                </a:lnTo>
                <a:lnTo>
                  <a:pt x="1467840" y="1461046"/>
                </a:lnTo>
                <a:lnTo>
                  <a:pt x="1458277" y="1462747"/>
                </a:lnTo>
                <a:lnTo>
                  <a:pt x="1450809" y="1467548"/>
                </a:lnTo>
                <a:lnTo>
                  <a:pt x="1445945" y="1474939"/>
                </a:lnTo>
                <a:lnTo>
                  <a:pt x="1444218" y="1484464"/>
                </a:lnTo>
                <a:lnTo>
                  <a:pt x="1445615" y="1493583"/>
                </a:lnTo>
                <a:lnTo>
                  <a:pt x="1445704" y="1494205"/>
                </a:lnTo>
                <a:lnTo>
                  <a:pt x="1450086" y="1501800"/>
                </a:lnTo>
                <a:lnTo>
                  <a:pt x="1457210" y="1506728"/>
                </a:lnTo>
                <a:lnTo>
                  <a:pt x="1466926" y="1508493"/>
                </a:lnTo>
                <a:lnTo>
                  <a:pt x="1473923" y="1508493"/>
                </a:lnTo>
                <a:lnTo>
                  <a:pt x="1480312" y="1504645"/>
                </a:lnTo>
                <a:lnTo>
                  <a:pt x="1482293" y="1500886"/>
                </a:lnTo>
                <a:lnTo>
                  <a:pt x="1483423" y="1498765"/>
                </a:lnTo>
                <a:lnTo>
                  <a:pt x="1483537" y="1498549"/>
                </a:lnTo>
                <a:lnTo>
                  <a:pt x="1483766" y="1498765"/>
                </a:lnTo>
                <a:lnTo>
                  <a:pt x="1482483" y="1510931"/>
                </a:lnTo>
                <a:lnTo>
                  <a:pt x="1479397" y="1519605"/>
                </a:lnTo>
                <a:lnTo>
                  <a:pt x="1474431" y="1524800"/>
                </a:lnTo>
                <a:lnTo>
                  <a:pt x="1467523" y="1526527"/>
                </a:lnTo>
                <a:lnTo>
                  <a:pt x="1460627" y="1526527"/>
                </a:lnTo>
                <a:lnTo>
                  <a:pt x="1454962" y="1522590"/>
                </a:lnTo>
                <a:lnTo>
                  <a:pt x="1454353" y="1515579"/>
                </a:lnTo>
                <a:lnTo>
                  <a:pt x="1445742" y="1515579"/>
                </a:lnTo>
                <a:lnTo>
                  <a:pt x="1447914" y="1523695"/>
                </a:lnTo>
                <a:lnTo>
                  <a:pt x="1452511" y="1529499"/>
                </a:lnTo>
                <a:lnTo>
                  <a:pt x="1459179" y="1532966"/>
                </a:lnTo>
                <a:lnTo>
                  <a:pt x="1467523" y="1534134"/>
                </a:lnTo>
                <a:lnTo>
                  <a:pt x="1478775" y="1531569"/>
                </a:lnTo>
                <a:lnTo>
                  <a:pt x="1492199" y="1498549"/>
                </a:lnTo>
                <a:lnTo>
                  <a:pt x="1492478" y="1495425"/>
                </a:lnTo>
                <a:close/>
              </a:path>
              <a:path w="2020570" h="1579880">
                <a:moveTo>
                  <a:pt x="1772335" y="272122"/>
                </a:moveTo>
                <a:lnTo>
                  <a:pt x="1671739" y="251993"/>
                </a:lnTo>
                <a:lnTo>
                  <a:pt x="1671739" y="292214"/>
                </a:lnTo>
                <a:lnTo>
                  <a:pt x="1772335" y="272122"/>
                </a:lnTo>
                <a:close/>
              </a:path>
              <a:path w="2020570" h="1579880">
                <a:moveTo>
                  <a:pt x="1815439" y="99695"/>
                </a:moveTo>
                <a:lnTo>
                  <a:pt x="1714842" y="79565"/>
                </a:lnTo>
                <a:lnTo>
                  <a:pt x="1714842" y="119786"/>
                </a:lnTo>
                <a:lnTo>
                  <a:pt x="1815439" y="99695"/>
                </a:lnTo>
                <a:close/>
              </a:path>
              <a:path w="2020570" h="1579880">
                <a:moveTo>
                  <a:pt x="1912785" y="251993"/>
                </a:moveTo>
                <a:lnTo>
                  <a:pt x="1812175" y="272122"/>
                </a:lnTo>
                <a:lnTo>
                  <a:pt x="1912785" y="292214"/>
                </a:lnTo>
                <a:lnTo>
                  <a:pt x="1912785" y="251993"/>
                </a:lnTo>
                <a:close/>
              </a:path>
              <a:path w="2020570" h="1579880">
                <a:moveTo>
                  <a:pt x="1953933" y="172872"/>
                </a:moveTo>
                <a:lnTo>
                  <a:pt x="1947341" y="172872"/>
                </a:lnTo>
                <a:lnTo>
                  <a:pt x="1945398" y="183718"/>
                </a:lnTo>
                <a:lnTo>
                  <a:pt x="1936470" y="186359"/>
                </a:lnTo>
                <a:lnTo>
                  <a:pt x="1926628" y="186359"/>
                </a:lnTo>
                <a:lnTo>
                  <a:pt x="1926628" y="193268"/>
                </a:lnTo>
                <a:lnTo>
                  <a:pt x="1945297" y="193268"/>
                </a:lnTo>
                <a:lnTo>
                  <a:pt x="1945297" y="244817"/>
                </a:lnTo>
                <a:lnTo>
                  <a:pt x="1953933" y="244817"/>
                </a:lnTo>
                <a:lnTo>
                  <a:pt x="1953933" y="172872"/>
                </a:lnTo>
                <a:close/>
              </a:path>
              <a:path w="2020570" h="1579880">
                <a:moveTo>
                  <a:pt x="2020227" y="215480"/>
                </a:moveTo>
                <a:lnTo>
                  <a:pt x="2015972" y="208572"/>
                </a:lnTo>
                <a:lnTo>
                  <a:pt x="2007235" y="206654"/>
                </a:lnTo>
                <a:lnTo>
                  <a:pt x="2007235" y="206438"/>
                </a:lnTo>
                <a:lnTo>
                  <a:pt x="2012734" y="203911"/>
                </a:lnTo>
                <a:lnTo>
                  <a:pt x="2017166" y="198424"/>
                </a:lnTo>
                <a:lnTo>
                  <a:pt x="2017166" y="192138"/>
                </a:lnTo>
                <a:lnTo>
                  <a:pt x="2015502" y="183515"/>
                </a:lnTo>
                <a:lnTo>
                  <a:pt x="2010892" y="177507"/>
                </a:lnTo>
                <a:lnTo>
                  <a:pt x="2003945" y="174002"/>
                </a:lnTo>
                <a:lnTo>
                  <a:pt x="1995246" y="172859"/>
                </a:lnTo>
                <a:lnTo>
                  <a:pt x="1985759" y="174561"/>
                </a:lnTo>
                <a:lnTo>
                  <a:pt x="1978926" y="179336"/>
                </a:lnTo>
                <a:lnTo>
                  <a:pt x="1974697" y="186677"/>
                </a:lnTo>
                <a:lnTo>
                  <a:pt x="1973046" y="196088"/>
                </a:lnTo>
                <a:lnTo>
                  <a:pt x="1981644" y="196088"/>
                </a:lnTo>
                <a:lnTo>
                  <a:pt x="1981746" y="187667"/>
                </a:lnTo>
                <a:lnTo>
                  <a:pt x="1985822" y="180454"/>
                </a:lnTo>
                <a:lnTo>
                  <a:pt x="2002574" y="180454"/>
                </a:lnTo>
                <a:lnTo>
                  <a:pt x="2008047" y="184518"/>
                </a:lnTo>
                <a:lnTo>
                  <a:pt x="2008047" y="199847"/>
                </a:lnTo>
                <a:lnTo>
                  <a:pt x="2001659" y="203809"/>
                </a:lnTo>
                <a:lnTo>
                  <a:pt x="1990585" y="203708"/>
                </a:lnTo>
                <a:lnTo>
                  <a:pt x="1990585" y="211010"/>
                </a:lnTo>
                <a:lnTo>
                  <a:pt x="1994027" y="210705"/>
                </a:lnTo>
                <a:lnTo>
                  <a:pt x="2004288" y="210705"/>
                </a:lnTo>
                <a:lnTo>
                  <a:pt x="2011108" y="215480"/>
                </a:lnTo>
                <a:lnTo>
                  <a:pt x="2011108" y="233235"/>
                </a:lnTo>
                <a:lnTo>
                  <a:pt x="2003882" y="238404"/>
                </a:lnTo>
                <a:lnTo>
                  <a:pt x="1985619" y="238404"/>
                </a:lnTo>
                <a:lnTo>
                  <a:pt x="1980450" y="231914"/>
                </a:lnTo>
                <a:lnTo>
                  <a:pt x="1980120" y="222580"/>
                </a:lnTo>
                <a:lnTo>
                  <a:pt x="1971509" y="222580"/>
                </a:lnTo>
                <a:lnTo>
                  <a:pt x="1973072" y="232486"/>
                </a:lnTo>
                <a:lnTo>
                  <a:pt x="1977885" y="239852"/>
                </a:lnTo>
                <a:lnTo>
                  <a:pt x="1985505" y="244436"/>
                </a:lnTo>
                <a:lnTo>
                  <a:pt x="1995449" y="246024"/>
                </a:lnTo>
                <a:lnTo>
                  <a:pt x="2005025" y="244627"/>
                </a:lnTo>
                <a:lnTo>
                  <a:pt x="2012911" y="240461"/>
                </a:lnTo>
                <a:lnTo>
                  <a:pt x="2018258" y="233603"/>
                </a:lnTo>
                <a:lnTo>
                  <a:pt x="2020227" y="224104"/>
                </a:lnTo>
                <a:lnTo>
                  <a:pt x="2020227" y="215480"/>
                </a:lnTo>
                <a:close/>
              </a:path>
            </a:pathLst>
          </a:custGeom>
          <a:solidFill>
            <a:srgbClr val="000000"/>
          </a:solidFill>
        </xdr:spPr>
      </xdr:sp>
    </xdr:grpSp>
    <xdr:clientData/>
  </xdr:oneCellAnchor>
  <xdr:oneCellAnchor>
    <xdr:from>
      <xdr:col>0</xdr:col>
      <xdr:colOff>59712</xdr:colOff>
      <xdr:row>215</xdr:row>
      <xdr:rowOff>2208983</xdr:rowOff>
    </xdr:from>
    <xdr:ext cx="1818887" cy="502653"/>
    <xdr:pic>
      <xdr:nvPicPr>
        <xdr:cNvPr id="236" name="image89.png">
          <a:extLst>
            <a:ext uri="{FF2B5EF4-FFF2-40B4-BE49-F238E27FC236}">
              <a16:creationId xmlns:a16="http://schemas.microsoft.com/office/drawing/2014/main" id="{0ABDE57E-A588-428F-A2CF-DC04F4BF05F6}"/>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59712" y="54926683"/>
          <a:ext cx="1818887" cy="502653"/>
        </a:xfrm>
        <a:prstGeom prst="rect">
          <a:avLst/>
        </a:prstGeom>
      </xdr:spPr>
    </xdr:pic>
    <xdr:clientData/>
  </xdr:oneCellAnchor>
  <xdr:oneCellAnchor>
    <xdr:from>
      <xdr:col>5</xdr:col>
      <xdr:colOff>0</xdr:colOff>
      <xdr:row>240</xdr:row>
      <xdr:rowOff>370115</xdr:rowOff>
    </xdr:from>
    <xdr:ext cx="669925" cy="1442720"/>
    <xdr:grpSp>
      <xdr:nvGrpSpPr>
        <xdr:cNvPr id="237" name="Group 736">
          <a:extLst>
            <a:ext uri="{FF2B5EF4-FFF2-40B4-BE49-F238E27FC236}">
              <a16:creationId xmlns:a16="http://schemas.microsoft.com/office/drawing/2014/main" id="{5AD2B225-B2F5-4AA0-84D0-3FC258F1D4E1}"/>
            </a:ext>
          </a:extLst>
        </xdr:cNvPr>
        <xdr:cNvGrpSpPr/>
      </xdr:nvGrpSpPr>
      <xdr:grpSpPr>
        <a:xfrm>
          <a:off x="2476500" y="58891715"/>
          <a:ext cx="669925" cy="1442720"/>
          <a:chOff x="0" y="0"/>
          <a:chExt cx="669925" cy="1442720"/>
        </a:xfrm>
      </xdr:grpSpPr>
      <xdr:sp macro="" textlink="">
        <xdr:nvSpPr>
          <xdr:cNvPr id="238" name="Shape 737">
            <a:extLst>
              <a:ext uri="{FF2B5EF4-FFF2-40B4-BE49-F238E27FC236}">
                <a16:creationId xmlns:a16="http://schemas.microsoft.com/office/drawing/2014/main" id="{FC9EAE08-28C3-EAEE-997F-5EBC0628D399}"/>
              </a:ext>
            </a:extLst>
          </xdr:cNvPr>
          <xdr:cNvSpPr/>
        </xdr:nvSpPr>
        <xdr:spPr>
          <a:xfrm>
            <a:off x="71337" y="316745"/>
            <a:ext cx="593725" cy="854075"/>
          </a:xfrm>
          <a:custGeom>
            <a:avLst/>
            <a:gdLst/>
            <a:ahLst/>
            <a:cxnLst/>
            <a:rect l="0" t="0" r="0" b="0"/>
            <a:pathLst>
              <a:path w="593725" h="854075">
                <a:moveTo>
                  <a:pt x="557771" y="0"/>
                </a:moveTo>
                <a:lnTo>
                  <a:pt x="35344" y="0"/>
                </a:lnTo>
                <a:lnTo>
                  <a:pt x="21597" y="2777"/>
                </a:lnTo>
                <a:lnTo>
                  <a:pt x="10361" y="10352"/>
                </a:lnTo>
                <a:lnTo>
                  <a:pt x="2781" y="21586"/>
                </a:lnTo>
                <a:lnTo>
                  <a:pt x="0" y="35344"/>
                </a:lnTo>
                <a:lnTo>
                  <a:pt x="0" y="818603"/>
                </a:lnTo>
                <a:lnTo>
                  <a:pt x="2781" y="832356"/>
                </a:lnTo>
                <a:lnTo>
                  <a:pt x="10361" y="843591"/>
                </a:lnTo>
                <a:lnTo>
                  <a:pt x="21597" y="851168"/>
                </a:lnTo>
                <a:lnTo>
                  <a:pt x="35344" y="853947"/>
                </a:lnTo>
                <a:lnTo>
                  <a:pt x="557771" y="853947"/>
                </a:lnTo>
                <a:lnTo>
                  <a:pt x="571537" y="851168"/>
                </a:lnTo>
                <a:lnTo>
                  <a:pt x="582766" y="843591"/>
                </a:lnTo>
                <a:lnTo>
                  <a:pt x="590330" y="832356"/>
                </a:lnTo>
                <a:lnTo>
                  <a:pt x="593102" y="818603"/>
                </a:lnTo>
                <a:lnTo>
                  <a:pt x="593102" y="35344"/>
                </a:lnTo>
                <a:lnTo>
                  <a:pt x="590330" y="21586"/>
                </a:lnTo>
                <a:lnTo>
                  <a:pt x="582766" y="10352"/>
                </a:lnTo>
                <a:lnTo>
                  <a:pt x="571537" y="2777"/>
                </a:lnTo>
                <a:lnTo>
                  <a:pt x="557771" y="0"/>
                </a:lnTo>
                <a:close/>
              </a:path>
            </a:pathLst>
          </a:custGeom>
          <a:solidFill>
            <a:srgbClr val="E3E3E3"/>
          </a:solidFill>
        </xdr:spPr>
      </xdr:sp>
      <xdr:sp macro="" textlink="">
        <xdr:nvSpPr>
          <xdr:cNvPr id="239" name="Shape 738">
            <a:extLst>
              <a:ext uri="{FF2B5EF4-FFF2-40B4-BE49-F238E27FC236}">
                <a16:creationId xmlns:a16="http://schemas.microsoft.com/office/drawing/2014/main" id="{57546154-DFA3-1DE7-39EE-FF3FAE988B35}"/>
              </a:ext>
            </a:extLst>
          </xdr:cNvPr>
          <xdr:cNvSpPr/>
        </xdr:nvSpPr>
        <xdr:spPr>
          <a:xfrm>
            <a:off x="142069" y="513557"/>
            <a:ext cx="452120" cy="458470"/>
          </a:xfrm>
          <a:custGeom>
            <a:avLst/>
            <a:gdLst/>
            <a:ahLst/>
            <a:cxnLst/>
            <a:rect l="0" t="0" r="0" b="0"/>
            <a:pathLst>
              <a:path w="452120" h="458470">
                <a:moveTo>
                  <a:pt x="33896" y="7607"/>
                </a:moveTo>
                <a:lnTo>
                  <a:pt x="26289" y="0"/>
                </a:lnTo>
                <a:lnTo>
                  <a:pt x="7569" y="0"/>
                </a:lnTo>
                <a:lnTo>
                  <a:pt x="0" y="7607"/>
                </a:lnTo>
                <a:lnTo>
                  <a:pt x="0" y="450469"/>
                </a:lnTo>
                <a:lnTo>
                  <a:pt x="7569" y="458076"/>
                </a:lnTo>
                <a:lnTo>
                  <a:pt x="26289" y="458076"/>
                </a:lnTo>
                <a:lnTo>
                  <a:pt x="33896" y="450469"/>
                </a:lnTo>
                <a:lnTo>
                  <a:pt x="33896" y="16967"/>
                </a:lnTo>
                <a:lnTo>
                  <a:pt x="33896" y="7607"/>
                </a:lnTo>
                <a:close/>
              </a:path>
              <a:path w="452120" h="458470">
                <a:moveTo>
                  <a:pt x="138480" y="7607"/>
                </a:moveTo>
                <a:lnTo>
                  <a:pt x="130886" y="0"/>
                </a:lnTo>
                <a:lnTo>
                  <a:pt x="112153" y="0"/>
                </a:lnTo>
                <a:lnTo>
                  <a:pt x="104559" y="7607"/>
                </a:lnTo>
                <a:lnTo>
                  <a:pt x="104559" y="450469"/>
                </a:lnTo>
                <a:lnTo>
                  <a:pt x="112153" y="458076"/>
                </a:lnTo>
                <a:lnTo>
                  <a:pt x="130886" y="458076"/>
                </a:lnTo>
                <a:lnTo>
                  <a:pt x="138480" y="450469"/>
                </a:lnTo>
                <a:lnTo>
                  <a:pt x="138480" y="16967"/>
                </a:lnTo>
                <a:lnTo>
                  <a:pt x="138480" y="7607"/>
                </a:lnTo>
                <a:close/>
              </a:path>
              <a:path w="452120" h="458470">
                <a:moveTo>
                  <a:pt x="243166" y="7607"/>
                </a:moveTo>
                <a:lnTo>
                  <a:pt x="235559" y="0"/>
                </a:lnTo>
                <a:lnTo>
                  <a:pt x="216827" y="0"/>
                </a:lnTo>
                <a:lnTo>
                  <a:pt x="209207" y="7607"/>
                </a:lnTo>
                <a:lnTo>
                  <a:pt x="209207" y="450469"/>
                </a:lnTo>
                <a:lnTo>
                  <a:pt x="216827" y="458076"/>
                </a:lnTo>
                <a:lnTo>
                  <a:pt x="235559" y="458076"/>
                </a:lnTo>
                <a:lnTo>
                  <a:pt x="243166" y="450469"/>
                </a:lnTo>
                <a:lnTo>
                  <a:pt x="243166" y="16967"/>
                </a:lnTo>
                <a:lnTo>
                  <a:pt x="243166" y="7607"/>
                </a:lnTo>
                <a:close/>
              </a:path>
              <a:path w="452120" h="458470">
                <a:moveTo>
                  <a:pt x="347726" y="7607"/>
                </a:moveTo>
                <a:lnTo>
                  <a:pt x="340118" y="0"/>
                </a:lnTo>
                <a:lnTo>
                  <a:pt x="321398" y="0"/>
                </a:lnTo>
                <a:lnTo>
                  <a:pt x="313829" y="7607"/>
                </a:lnTo>
                <a:lnTo>
                  <a:pt x="313829" y="450469"/>
                </a:lnTo>
                <a:lnTo>
                  <a:pt x="321398" y="458076"/>
                </a:lnTo>
                <a:lnTo>
                  <a:pt x="340118" y="458076"/>
                </a:lnTo>
                <a:lnTo>
                  <a:pt x="347726" y="450469"/>
                </a:lnTo>
                <a:lnTo>
                  <a:pt x="347726" y="16967"/>
                </a:lnTo>
                <a:lnTo>
                  <a:pt x="347726" y="7607"/>
                </a:lnTo>
                <a:close/>
              </a:path>
              <a:path w="452120" h="458470">
                <a:moveTo>
                  <a:pt x="451777" y="7607"/>
                </a:moveTo>
                <a:lnTo>
                  <a:pt x="444169" y="0"/>
                </a:lnTo>
                <a:lnTo>
                  <a:pt x="425450" y="0"/>
                </a:lnTo>
                <a:lnTo>
                  <a:pt x="417842" y="7607"/>
                </a:lnTo>
                <a:lnTo>
                  <a:pt x="417842" y="450469"/>
                </a:lnTo>
                <a:lnTo>
                  <a:pt x="425450" y="458076"/>
                </a:lnTo>
                <a:lnTo>
                  <a:pt x="444169" y="458076"/>
                </a:lnTo>
                <a:lnTo>
                  <a:pt x="451777" y="450469"/>
                </a:lnTo>
                <a:lnTo>
                  <a:pt x="451777" y="16967"/>
                </a:lnTo>
                <a:lnTo>
                  <a:pt x="451777" y="7607"/>
                </a:lnTo>
                <a:close/>
              </a:path>
            </a:pathLst>
          </a:custGeom>
          <a:solidFill>
            <a:srgbClr val="FFFFFF"/>
          </a:solidFill>
        </xdr:spPr>
      </xdr:sp>
      <xdr:sp macro="" textlink="">
        <xdr:nvSpPr>
          <xdr:cNvPr id="240" name="Shape 739">
            <a:extLst>
              <a:ext uri="{FF2B5EF4-FFF2-40B4-BE49-F238E27FC236}">
                <a16:creationId xmlns:a16="http://schemas.microsoft.com/office/drawing/2014/main" id="{FD9EAB9D-8DEB-978D-8725-7BFE187ECCE6}"/>
              </a:ext>
            </a:extLst>
          </xdr:cNvPr>
          <xdr:cNvSpPr/>
        </xdr:nvSpPr>
        <xdr:spPr>
          <a:xfrm>
            <a:off x="70952" y="351939"/>
            <a:ext cx="594360" cy="783590"/>
          </a:xfrm>
          <a:custGeom>
            <a:avLst/>
            <a:gdLst/>
            <a:ahLst/>
            <a:cxnLst/>
            <a:rect l="0" t="0" r="0" b="0"/>
            <a:pathLst>
              <a:path w="594360" h="783590">
                <a:moveTo>
                  <a:pt x="0" y="0"/>
                </a:moveTo>
                <a:lnTo>
                  <a:pt x="0" y="783247"/>
                </a:lnTo>
              </a:path>
              <a:path w="594360" h="783590">
                <a:moveTo>
                  <a:pt x="593788" y="0"/>
                </a:moveTo>
                <a:lnTo>
                  <a:pt x="593788" y="783247"/>
                </a:lnTo>
              </a:path>
            </a:pathLst>
          </a:custGeom>
          <a:ln w="10071">
            <a:solidFill>
              <a:srgbClr val="000000"/>
            </a:solidFill>
          </a:ln>
        </xdr:spPr>
      </xdr:sp>
      <xdr:pic>
        <xdr:nvPicPr>
          <xdr:cNvPr id="241" name="image90.png">
            <a:extLst>
              <a:ext uri="{FF2B5EF4-FFF2-40B4-BE49-F238E27FC236}">
                <a16:creationId xmlns:a16="http://schemas.microsoft.com/office/drawing/2014/main" id="{1A43A792-D305-1E09-4DA5-5649502F9ECC}"/>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297793" y="1015864"/>
            <a:ext cx="140131" cy="122732"/>
          </a:xfrm>
          <a:prstGeom prst="rect">
            <a:avLst/>
          </a:prstGeom>
        </xdr:spPr>
      </xdr:pic>
      <xdr:pic>
        <xdr:nvPicPr>
          <xdr:cNvPr id="242" name="image91.png">
            <a:extLst>
              <a:ext uri="{FF2B5EF4-FFF2-40B4-BE49-F238E27FC236}">
                <a16:creationId xmlns:a16="http://schemas.microsoft.com/office/drawing/2014/main" id="{C5C9B121-5726-05E3-E290-7AD2591F7FBD}"/>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297793" y="348669"/>
            <a:ext cx="140131" cy="122732"/>
          </a:xfrm>
          <a:prstGeom prst="rect">
            <a:avLst/>
          </a:prstGeom>
        </xdr:spPr>
      </xdr:pic>
      <xdr:sp macro="" textlink="">
        <xdr:nvSpPr>
          <xdr:cNvPr id="243" name="Shape 742">
            <a:extLst>
              <a:ext uri="{FF2B5EF4-FFF2-40B4-BE49-F238E27FC236}">
                <a16:creationId xmlns:a16="http://schemas.microsoft.com/office/drawing/2014/main" id="{1654559E-0535-271E-B87B-E3326146BBDF}"/>
              </a:ext>
            </a:extLst>
          </xdr:cNvPr>
          <xdr:cNvSpPr/>
        </xdr:nvSpPr>
        <xdr:spPr>
          <a:xfrm>
            <a:off x="70952" y="316595"/>
            <a:ext cx="594360" cy="854075"/>
          </a:xfrm>
          <a:custGeom>
            <a:avLst/>
            <a:gdLst/>
            <a:ahLst/>
            <a:cxnLst/>
            <a:rect l="0" t="0" r="0" b="0"/>
            <a:pathLst>
              <a:path w="594360" h="854075">
                <a:moveTo>
                  <a:pt x="104609" y="214896"/>
                </a:moveTo>
                <a:lnTo>
                  <a:pt x="104609" y="205524"/>
                </a:lnTo>
                <a:lnTo>
                  <a:pt x="97040" y="197942"/>
                </a:lnTo>
                <a:lnTo>
                  <a:pt x="87655" y="197942"/>
                </a:lnTo>
                <a:lnTo>
                  <a:pt x="78270" y="197942"/>
                </a:lnTo>
                <a:lnTo>
                  <a:pt x="70700" y="205524"/>
                </a:lnTo>
                <a:lnTo>
                  <a:pt x="70700" y="214896"/>
                </a:lnTo>
              </a:path>
              <a:path w="594360" h="854075">
                <a:moveTo>
                  <a:pt x="313867" y="214896"/>
                </a:moveTo>
                <a:lnTo>
                  <a:pt x="313867" y="205524"/>
                </a:lnTo>
                <a:lnTo>
                  <a:pt x="306247" y="197942"/>
                </a:lnTo>
                <a:lnTo>
                  <a:pt x="296887" y="197942"/>
                </a:lnTo>
                <a:lnTo>
                  <a:pt x="287540" y="197942"/>
                </a:lnTo>
                <a:lnTo>
                  <a:pt x="279933" y="205524"/>
                </a:lnTo>
                <a:lnTo>
                  <a:pt x="279933" y="214896"/>
                </a:lnTo>
              </a:path>
              <a:path w="594360" h="854075">
                <a:moveTo>
                  <a:pt x="209245" y="214896"/>
                </a:moveTo>
                <a:lnTo>
                  <a:pt x="209245" y="205524"/>
                </a:lnTo>
                <a:lnTo>
                  <a:pt x="201663" y="197942"/>
                </a:lnTo>
                <a:lnTo>
                  <a:pt x="192277" y="197942"/>
                </a:lnTo>
                <a:lnTo>
                  <a:pt x="182892" y="197942"/>
                </a:lnTo>
                <a:lnTo>
                  <a:pt x="175285" y="205524"/>
                </a:lnTo>
                <a:lnTo>
                  <a:pt x="175285" y="214896"/>
                </a:lnTo>
              </a:path>
              <a:path w="594360" h="854075">
                <a:moveTo>
                  <a:pt x="418515" y="214896"/>
                </a:moveTo>
                <a:lnTo>
                  <a:pt x="418515" y="205524"/>
                </a:lnTo>
                <a:lnTo>
                  <a:pt x="410895" y="197942"/>
                </a:lnTo>
                <a:lnTo>
                  <a:pt x="401510" y="197942"/>
                </a:lnTo>
                <a:lnTo>
                  <a:pt x="392163" y="197942"/>
                </a:lnTo>
                <a:lnTo>
                  <a:pt x="384530" y="205524"/>
                </a:lnTo>
                <a:lnTo>
                  <a:pt x="384530" y="214896"/>
                </a:lnTo>
              </a:path>
              <a:path w="594360" h="854075">
                <a:moveTo>
                  <a:pt x="523100" y="214896"/>
                </a:moveTo>
                <a:lnTo>
                  <a:pt x="523100" y="205524"/>
                </a:lnTo>
                <a:lnTo>
                  <a:pt x="515531" y="197942"/>
                </a:lnTo>
                <a:lnTo>
                  <a:pt x="506145" y="197942"/>
                </a:lnTo>
                <a:lnTo>
                  <a:pt x="496760" y="197942"/>
                </a:lnTo>
                <a:lnTo>
                  <a:pt x="489178" y="205524"/>
                </a:lnTo>
                <a:lnTo>
                  <a:pt x="489178" y="214896"/>
                </a:lnTo>
              </a:path>
              <a:path w="594360" h="854075">
                <a:moveTo>
                  <a:pt x="558444" y="0"/>
                </a:moveTo>
                <a:lnTo>
                  <a:pt x="35356" y="0"/>
                </a:lnTo>
              </a:path>
              <a:path w="594360" h="854075">
                <a:moveTo>
                  <a:pt x="35356" y="0"/>
                </a:moveTo>
                <a:lnTo>
                  <a:pt x="21586" y="2775"/>
                </a:lnTo>
                <a:lnTo>
                  <a:pt x="10348" y="10347"/>
                </a:lnTo>
                <a:lnTo>
                  <a:pt x="2775" y="21581"/>
                </a:lnTo>
                <a:lnTo>
                  <a:pt x="0" y="35344"/>
                </a:lnTo>
              </a:path>
              <a:path w="594360" h="854075">
                <a:moveTo>
                  <a:pt x="376059" y="93306"/>
                </a:moveTo>
                <a:lnTo>
                  <a:pt x="369839" y="62491"/>
                </a:lnTo>
                <a:lnTo>
                  <a:pt x="352875" y="37330"/>
                </a:lnTo>
                <a:lnTo>
                  <a:pt x="327710" y="20367"/>
                </a:lnTo>
                <a:lnTo>
                  <a:pt x="296887" y="14147"/>
                </a:lnTo>
                <a:lnTo>
                  <a:pt x="266081" y="20367"/>
                </a:lnTo>
                <a:lnTo>
                  <a:pt x="240914" y="37330"/>
                </a:lnTo>
                <a:lnTo>
                  <a:pt x="223941" y="62491"/>
                </a:lnTo>
                <a:lnTo>
                  <a:pt x="217716" y="93306"/>
                </a:lnTo>
                <a:lnTo>
                  <a:pt x="223941" y="124131"/>
                </a:lnTo>
                <a:lnTo>
                  <a:pt x="240914" y="149301"/>
                </a:lnTo>
                <a:lnTo>
                  <a:pt x="266081" y="166269"/>
                </a:lnTo>
                <a:lnTo>
                  <a:pt x="296887" y="172491"/>
                </a:lnTo>
                <a:lnTo>
                  <a:pt x="327710" y="166269"/>
                </a:lnTo>
                <a:lnTo>
                  <a:pt x="352875" y="149301"/>
                </a:lnTo>
                <a:lnTo>
                  <a:pt x="369839" y="124131"/>
                </a:lnTo>
                <a:lnTo>
                  <a:pt x="376059" y="93306"/>
                </a:lnTo>
                <a:close/>
              </a:path>
              <a:path w="594360" h="854075">
                <a:moveTo>
                  <a:pt x="593788" y="35344"/>
                </a:moveTo>
                <a:lnTo>
                  <a:pt x="591012" y="21581"/>
                </a:lnTo>
                <a:lnTo>
                  <a:pt x="583441" y="10347"/>
                </a:lnTo>
                <a:lnTo>
                  <a:pt x="572207" y="2775"/>
                </a:lnTo>
                <a:lnTo>
                  <a:pt x="558444" y="0"/>
                </a:lnTo>
              </a:path>
              <a:path w="594360" h="854075">
                <a:moveTo>
                  <a:pt x="376059" y="760628"/>
                </a:moveTo>
                <a:lnTo>
                  <a:pt x="369839" y="729816"/>
                </a:lnTo>
                <a:lnTo>
                  <a:pt x="352875" y="704649"/>
                </a:lnTo>
                <a:lnTo>
                  <a:pt x="327710" y="687679"/>
                </a:lnTo>
                <a:lnTo>
                  <a:pt x="296887" y="681456"/>
                </a:lnTo>
                <a:lnTo>
                  <a:pt x="266081" y="687679"/>
                </a:lnTo>
                <a:lnTo>
                  <a:pt x="240914" y="704649"/>
                </a:lnTo>
                <a:lnTo>
                  <a:pt x="223941" y="729816"/>
                </a:lnTo>
                <a:lnTo>
                  <a:pt x="217716" y="760628"/>
                </a:lnTo>
                <a:lnTo>
                  <a:pt x="223941" y="791445"/>
                </a:lnTo>
                <a:lnTo>
                  <a:pt x="240914" y="816611"/>
                </a:lnTo>
                <a:lnTo>
                  <a:pt x="266081" y="833578"/>
                </a:lnTo>
                <a:lnTo>
                  <a:pt x="296887" y="839800"/>
                </a:lnTo>
                <a:lnTo>
                  <a:pt x="327710" y="833578"/>
                </a:lnTo>
                <a:lnTo>
                  <a:pt x="352875" y="816611"/>
                </a:lnTo>
                <a:lnTo>
                  <a:pt x="369839" y="791445"/>
                </a:lnTo>
                <a:lnTo>
                  <a:pt x="376059" y="760628"/>
                </a:lnTo>
                <a:close/>
              </a:path>
              <a:path w="594360" h="854075">
                <a:moveTo>
                  <a:pt x="175285" y="639051"/>
                </a:moveTo>
                <a:lnTo>
                  <a:pt x="175285" y="648411"/>
                </a:lnTo>
                <a:lnTo>
                  <a:pt x="182892" y="656005"/>
                </a:lnTo>
                <a:lnTo>
                  <a:pt x="192277" y="656005"/>
                </a:lnTo>
                <a:lnTo>
                  <a:pt x="201663" y="656005"/>
                </a:lnTo>
                <a:lnTo>
                  <a:pt x="209245" y="648411"/>
                </a:lnTo>
                <a:lnTo>
                  <a:pt x="209245" y="639051"/>
                </a:lnTo>
              </a:path>
              <a:path w="594360" h="854075">
                <a:moveTo>
                  <a:pt x="70700" y="639051"/>
                </a:moveTo>
                <a:lnTo>
                  <a:pt x="70700" y="648411"/>
                </a:lnTo>
                <a:lnTo>
                  <a:pt x="78270" y="656005"/>
                </a:lnTo>
                <a:lnTo>
                  <a:pt x="87655" y="656005"/>
                </a:lnTo>
                <a:lnTo>
                  <a:pt x="97040" y="656005"/>
                </a:lnTo>
                <a:lnTo>
                  <a:pt x="104609" y="648411"/>
                </a:lnTo>
                <a:lnTo>
                  <a:pt x="104609" y="639051"/>
                </a:lnTo>
              </a:path>
              <a:path w="594360" h="854075">
                <a:moveTo>
                  <a:pt x="384530" y="639051"/>
                </a:moveTo>
                <a:lnTo>
                  <a:pt x="384530" y="648411"/>
                </a:lnTo>
                <a:lnTo>
                  <a:pt x="392163" y="656005"/>
                </a:lnTo>
                <a:lnTo>
                  <a:pt x="401510" y="656005"/>
                </a:lnTo>
                <a:lnTo>
                  <a:pt x="410895" y="656005"/>
                </a:lnTo>
                <a:lnTo>
                  <a:pt x="418515" y="648411"/>
                </a:lnTo>
                <a:lnTo>
                  <a:pt x="418515" y="639051"/>
                </a:lnTo>
              </a:path>
              <a:path w="594360" h="854075">
                <a:moveTo>
                  <a:pt x="279933" y="639051"/>
                </a:moveTo>
                <a:lnTo>
                  <a:pt x="279933" y="648411"/>
                </a:lnTo>
                <a:lnTo>
                  <a:pt x="287540" y="656005"/>
                </a:lnTo>
                <a:lnTo>
                  <a:pt x="296887" y="656005"/>
                </a:lnTo>
                <a:lnTo>
                  <a:pt x="306247" y="656005"/>
                </a:lnTo>
                <a:lnTo>
                  <a:pt x="313867" y="648411"/>
                </a:lnTo>
                <a:lnTo>
                  <a:pt x="313867" y="639051"/>
                </a:lnTo>
              </a:path>
              <a:path w="594360" h="854075">
                <a:moveTo>
                  <a:pt x="489178" y="639051"/>
                </a:moveTo>
                <a:lnTo>
                  <a:pt x="489178" y="648411"/>
                </a:lnTo>
                <a:lnTo>
                  <a:pt x="496760" y="656005"/>
                </a:lnTo>
                <a:lnTo>
                  <a:pt x="506145" y="656005"/>
                </a:lnTo>
                <a:lnTo>
                  <a:pt x="515531" y="656005"/>
                </a:lnTo>
                <a:lnTo>
                  <a:pt x="523100" y="648411"/>
                </a:lnTo>
                <a:lnTo>
                  <a:pt x="523100" y="639051"/>
                </a:lnTo>
              </a:path>
              <a:path w="594360" h="854075">
                <a:moveTo>
                  <a:pt x="558444" y="853935"/>
                </a:moveTo>
                <a:lnTo>
                  <a:pt x="35356" y="853935"/>
                </a:lnTo>
              </a:path>
              <a:path w="594360" h="854075">
                <a:moveTo>
                  <a:pt x="0" y="818591"/>
                </a:moveTo>
                <a:lnTo>
                  <a:pt x="2775" y="832354"/>
                </a:lnTo>
                <a:lnTo>
                  <a:pt x="10348" y="843587"/>
                </a:lnTo>
                <a:lnTo>
                  <a:pt x="21586" y="851159"/>
                </a:lnTo>
                <a:lnTo>
                  <a:pt x="35356" y="853935"/>
                </a:lnTo>
              </a:path>
              <a:path w="594360" h="854075">
                <a:moveTo>
                  <a:pt x="558444" y="853935"/>
                </a:moveTo>
                <a:lnTo>
                  <a:pt x="572207" y="851159"/>
                </a:lnTo>
                <a:lnTo>
                  <a:pt x="583441" y="843587"/>
                </a:lnTo>
                <a:lnTo>
                  <a:pt x="591012" y="832354"/>
                </a:lnTo>
                <a:lnTo>
                  <a:pt x="593788" y="818591"/>
                </a:lnTo>
              </a:path>
              <a:path w="594360" h="854075">
                <a:moveTo>
                  <a:pt x="104609" y="639051"/>
                </a:moveTo>
                <a:lnTo>
                  <a:pt x="104609" y="214896"/>
                </a:lnTo>
              </a:path>
              <a:path w="594360" h="854075">
                <a:moveTo>
                  <a:pt x="70700" y="639051"/>
                </a:moveTo>
                <a:lnTo>
                  <a:pt x="70700" y="214896"/>
                </a:lnTo>
              </a:path>
              <a:path w="594360" h="854075">
                <a:moveTo>
                  <a:pt x="175285" y="639051"/>
                </a:moveTo>
                <a:lnTo>
                  <a:pt x="175285" y="214896"/>
                </a:lnTo>
              </a:path>
              <a:path w="594360" h="854075">
                <a:moveTo>
                  <a:pt x="209245" y="639051"/>
                </a:moveTo>
                <a:lnTo>
                  <a:pt x="209245" y="214896"/>
                </a:lnTo>
              </a:path>
              <a:path w="594360" h="854075">
                <a:moveTo>
                  <a:pt x="279933" y="639051"/>
                </a:moveTo>
                <a:lnTo>
                  <a:pt x="279933" y="214896"/>
                </a:lnTo>
              </a:path>
              <a:path w="594360" h="854075">
                <a:moveTo>
                  <a:pt x="313867" y="639051"/>
                </a:moveTo>
                <a:lnTo>
                  <a:pt x="313867" y="214896"/>
                </a:lnTo>
              </a:path>
              <a:path w="594360" h="854075">
                <a:moveTo>
                  <a:pt x="384530" y="639051"/>
                </a:moveTo>
                <a:lnTo>
                  <a:pt x="384530" y="214896"/>
                </a:lnTo>
              </a:path>
              <a:path w="594360" h="854075">
                <a:moveTo>
                  <a:pt x="418515" y="639051"/>
                </a:moveTo>
                <a:lnTo>
                  <a:pt x="418515" y="214896"/>
                </a:lnTo>
              </a:path>
              <a:path w="594360" h="854075">
                <a:moveTo>
                  <a:pt x="489178" y="639051"/>
                </a:moveTo>
                <a:lnTo>
                  <a:pt x="489178" y="214896"/>
                </a:lnTo>
              </a:path>
              <a:path w="594360" h="854075">
                <a:moveTo>
                  <a:pt x="523100" y="639051"/>
                </a:moveTo>
                <a:lnTo>
                  <a:pt x="523100" y="214896"/>
                </a:lnTo>
              </a:path>
            </a:pathLst>
          </a:custGeom>
          <a:ln w="10071">
            <a:solidFill>
              <a:srgbClr val="000000"/>
            </a:solidFill>
          </a:ln>
        </xdr:spPr>
      </xdr:sp>
      <xdr:sp macro="" textlink="">
        <xdr:nvSpPr>
          <xdr:cNvPr id="244" name="Shape 743">
            <a:extLst>
              <a:ext uri="{FF2B5EF4-FFF2-40B4-BE49-F238E27FC236}">
                <a16:creationId xmlns:a16="http://schemas.microsoft.com/office/drawing/2014/main" id="{8FD58CA7-2C30-AFC2-B3BF-B60549833B4C}"/>
              </a:ext>
            </a:extLst>
          </xdr:cNvPr>
          <xdr:cNvSpPr/>
        </xdr:nvSpPr>
        <xdr:spPr>
          <a:xfrm>
            <a:off x="1924" y="45685"/>
            <a:ext cx="662940" cy="1397635"/>
          </a:xfrm>
          <a:custGeom>
            <a:avLst/>
            <a:gdLst/>
            <a:ahLst/>
            <a:cxnLst/>
            <a:rect l="0" t="0" r="0" b="0"/>
            <a:pathLst>
              <a:path w="662940" h="1397635">
                <a:moveTo>
                  <a:pt x="365912" y="1118984"/>
                </a:moveTo>
                <a:lnTo>
                  <a:pt x="365912" y="943838"/>
                </a:lnTo>
              </a:path>
              <a:path w="662940" h="1397635">
                <a:moveTo>
                  <a:pt x="283298" y="1031544"/>
                </a:moveTo>
                <a:lnTo>
                  <a:pt x="448551" y="1031544"/>
                </a:lnTo>
              </a:path>
              <a:path w="662940" h="1397635">
                <a:moveTo>
                  <a:pt x="365912" y="451802"/>
                </a:moveTo>
                <a:lnTo>
                  <a:pt x="365912" y="276656"/>
                </a:lnTo>
              </a:path>
              <a:path w="662940" h="1397635">
                <a:moveTo>
                  <a:pt x="283298" y="364350"/>
                </a:moveTo>
                <a:lnTo>
                  <a:pt x="448551" y="364350"/>
                </a:lnTo>
              </a:path>
              <a:path w="662940" h="1397635">
                <a:moveTo>
                  <a:pt x="69037" y="249707"/>
                </a:moveTo>
                <a:lnTo>
                  <a:pt x="69037" y="0"/>
                </a:lnTo>
              </a:path>
              <a:path w="662940" h="1397635">
                <a:moveTo>
                  <a:pt x="662813" y="249707"/>
                </a:moveTo>
                <a:lnTo>
                  <a:pt x="662813" y="0"/>
                </a:lnTo>
              </a:path>
              <a:path w="662940" h="1397635">
                <a:moveTo>
                  <a:pt x="125564" y="56553"/>
                </a:moveTo>
                <a:lnTo>
                  <a:pt x="606285" y="56553"/>
                </a:lnTo>
              </a:path>
              <a:path w="662940" h="1397635">
                <a:moveTo>
                  <a:pt x="422325" y="1088085"/>
                </a:moveTo>
                <a:lnTo>
                  <a:pt x="422325" y="1397038"/>
                </a:lnTo>
              </a:path>
              <a:path w="662940" h="1397635">
                <a:moveTo>
                  <a:pt x="309549" y="1088085"/>
                </a:moveTo>
                <a:lnTo>
                  <a:pt x="309549" y="1397038"/>
                </a:lnTo>
              </a:path>
              <a:path w="662940" h="1397635">
                <a:moveTo>
                  <a:pt x="497027" y="1340472"/>
                </a:moveTo>
                <a:lnTo>
                  <a:pt x="556437" y="1340472"/>
                </a:lnTo>
              </a:path>
              <a:path w="662940" h="1397635">
                <a:moveTo>
                  <a:pt x="252996" y="1340472"/>
                </a:moveTo>
                <a:lnTo>
                  <a:pt x="0" y="1340472"/>
                </a:lnTo>
              </a:path>
              <a:path w="662940" h="1397635">
                <a:moveTo>
                  <a:pt x="309549" y="1340472"/>
                </a:moveTo>
                <a:lnTo>
                  <a:pt x="422325" y="1340472"/>
                </a:lnTo>
              </a:path>
            </a:pathLst>
          </a:custGeom>
          <a:ln w="6045">
            <a:solidFill>
              <a:srgbClr val="000000"/>
            </a:solidFill>
          </a:ln>
        </xdr:spPr>
      </xdr:sp>
      <xdr:sp macro="" textlink="">
        <xdr:nvSpPr>
          <xdr:cNvPr id="245" name="Shape 744">
            <a:extLst>
              <a:ext uri="{FF2B5EF4-FFF2-40B4-BE49-F238E27FC236}">
                <a16:creationId xmlns:a16="http://schemas.microsoft.com/office/drawing/2014/main" id="{58B8537B-B40D-A09D-21D9-D35D1E6F4D04}"/>
              </a:ext>
            </a:extLst>
          </xdr:cNvPr>
          <xdr:cNvSpPr/>
        </xdr:nvSpPr>
        <xdr:spPr>
          <a:xfrm>
            <a:off x="0" y="1285843"/>
            <a:ext cx="27305" cy="71755"/>
          </a:xfrm>
          <a:custGeom>
            <a:avLst/>
            <a:gdLst/>
            <a:ahLst/>
            <a:cxnLst/>
            <a:rect l="0" t="0" r="0" b="0"/>
            <a:pathLst>
              <a:path w="27305" h="71755">
                <a:moveTo>
                  <a:pt x="27114" y="0"/>
                </a:moveTo>
                <a:lnTo>
                  <a:pt x="20548" y="0"/>
                </a:lnTo>
                <a:lnTo>
                  <a:pt x="18656" y="10782"/>
                </a:lnTo>
                <a:lnTo>
                  <a:pt x="9778" y="13398"/>
                </a:lnTo>
                <a:lnTo>
                  <a:pt x="0" y="13398"/>
                </a:lnTo>
                <a:lnTo>
                  <a:pt x="0" y="20243"/>
                </a:lnTo>
                <a:lnTo>
                  <a:pt x="18554" y="20243"/>
                </a:lnTo>
                <a:lnTo>
                  <a:pt x="18554" y="71399"/>
                </a:lnTo>
                <a:lnTo>
                  <a:pt x="27114" y="71399"/>
                </a:lnTo>
                <a:lnTo>
                  <a:pt x="27114" y="0"/>
                </a:lnTo>
                <a:close/>
              </a:path>
            </a:pathLst>
          </a:custGeom>
          <a:solidFill>
            <a:srgbClr val="000000"/>
          </a:solidFill>
        </xdr:spPr>
      </xdr:sp>
      <xdr:pic>
        <xdr:nvPicPr>
          <xdr:cNvPr id="246" name="image92.png">
            <a:extLst>
              <a:ext uri="{FF2B5EF4-FFF2-40B4-BE49-F238E27FC236}">
                <a16:creationId xmlns:a16="http://schemas.microsoft.com/office/drawing/2014/main" id="{2989D0DD-FFFE-2452-E65B-EEC7C7E4087E}"/>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53374" y="1283624"/>
            <a:ext cx="137692" cy="75323"/>
          </a:xfrm>
          <a:prstGeom prst="rect">
            <a:avLst/>
          </a:prstGeom>
        </xdr:spPr>
      </xdr:pic>
      <xdr:sp macro="" textlink="">
        <xdr:nvSpPr>
          <xdr:cNvPr id="247" name="Shape 746">
            <a:extLst>
              <a:ext uri="{FF2B5EF4-FFF2-40B4-BE49-F238E27FC236}">
                <a16:creationId xmlns:a16="http://schemas.microsoft.com/office/drawing/2014/main" id="{05BA06EE-1991-9113-D1FF-6E474023AEF8}"/>
              </a:ext>
            </a:extLst>
          </xdr:cNvPr>
          <xdr:cNvSpPr/>
        </xdr:nvSpPr>
        <xdr:spPr>
          <a:xfrm>
            <a:off x="71330" y="7"/>
            <a:ext cx="594360" cy="1406525"/>
          </a:xfrm>
          <a:custGeom>
            <a:avLst/>
            <a:gdLst/>
            <a:ahLst/>
            <a:cxnLst/>
            <a:rect l="0" t="0" r="0" b="0"/>
            <a:pathLst>
              <a:path w="594360" h="1406525">
                <a:moveTo>
                  <a:pt x="99936" y="82257"/>
                </a:moveTo>
                <a:lnTo>
                  <a:pt x="0" y="102222"/>
                </a:lnTo>
                <a:lnTo>
                  <a:pt x="99936" y="122224"/>
                </a:lnTo>
                <a:lnTo>
                  <a:pt x="99936" y="82257"/>
                </a:lnTo>
                <a:close/>
              </a:path>
              <a:path w="594360" h="1406525">
                <a:moveTo>
                  <a:pt x="241769" y="1386395"/>
                </a:moveTo>
                <a:lnTo>
                  <a:pt x="141833" y="1366418"/>
                </a:lnTo>
                <a:lnTo>
                  <a:pt x="141833" y="1406385"/>
                </a:lnTo>
                <a:lnTo>
                  <a:pt x="241769" y="1386395"/>
                </a:lnTo>
                <a:close/>
              </a:path>
              <a:path w="594360" h="1406525">
                <a:moveTo>
                  <a:pt x="265734" y="20548"/>
                </a:moveTo>
                <a:lnTo>
                  <a:pt x="263994" y="11734"/>
                </a:lnTo>
                <a:lnTo>
                  <a:pt x="259245" y="5295"/>
                </a:lnTo>
                <a:lnTo>
                  <a:pt x="252145" y="1346"/>
                </a:lnTo>
                <a:lnTo>
                  <a:pt x="243395" y="0"/>
                </a:lnTo>
                <a:lnTo>
                  <a:pt x="233324" y="1917"/>
                </a:lnTo>
                <a:lnTo>
                  <a:pt x="225971" y="7200"/>
                </a:lnTo>
                <a:lnTo>
                  <a:pt x="221576" y="15214"/>
                </a:lnTo>
                <a:lnTo>
                  <a:pt x="220421" y="25273"/>
                </a:lnTo>
                <a:lnTo>
                  <a:pt x="228981" y="25273"/>
                </a:lnTo>
                <a:lnTo>
                  <a:pt x="228676" y="16713"/>
                </a:lnTo>
                <a:lnTo>
                  <a:pt x="232905" y="7556"/>
                </a:lnTo>
                <a:lnTo>
                  <a:pt x="250431" y="7556"/>
                </a:lnTo>
                <a:lnTo>
                  <a:pt x="256667" y="12687"/>
                </a:lnTo>
                <a:lnTo>
                  <a:pt x="256667" y="20447"/>
                </a:lnTo>
                <a:lnTo>
                  <a:pt x="255511" y="26962"/>
                </a:lnTo>
                <a:lnTo>
                  <a:pt x="252082" y="32219"/>
                </a:lnTo>
                <a:lnTo>
                  <a:pt x="246392" y="37045"/>
                </a:lnTo>
                <a:lnTo>
                  <a:pt x="231279" y="47002"/>
                </a:lnTo>
                <a:lnTo>
                  <a:pt x="225196" y="52793"/>
                </a:lnTo>
                <a:lnTo>
                  <a:pt x="220726" y="60579"/>
                </a:lnTo>
                <a:lnTo>
                  <a:pt x="218427" y="71399"/>
                </a:lnTo>
                <a:lnTo>
                  <a:pt x="265036" y="71399"/>
                </a:lnTo>
                <a:lnTo>
                  <a:pt x="265036" y="63842"/>
                </a:lnTo>
                <a:lnTo>
                  <a:pt x="228396" y="63842"/>
                </a:lnTo>
                <a:lnTo>
                  <a:pt x="230987" y="57924"/>
                </a:lnTo>
                <a:lnTo>
                  <a:pt x="235686" y="53136"/>
                </a:lnTo>
                <a:lnTo>
                  <a:pt x="241757" y="48996"/>
                </a:lnTo>
                <a:lnTo>
                  <a:pt x="248437" y="45008"/>
                </a:lnTo>
                <a:lnTo>
                  <a:pt x="254863" y="40627"/>
                </a:lnTo>
                <a:lnTo>
                  <a:pt x="260400" y="35420"/>
                </a:lnTo>
                <a:lnTo>
                  <a:pt x="264274" y="28905"/>
                </a:lnTo>
                <a:lnTo>
                  <a:pt x="265734" y="20548"/>
                </a:lnTo>
                <a:close/>
              </a:path>
              <a:path w="594360" h="1406525">
                <a:moveTo>
                  <a:pt x="307822" y="0"/>
                </a:moveTo>
                <a:lnTo>
                  <a:pt x="301294" y="0"/>
                </a:lnTo>
                <a:lnTo>
                  <a:pt x="299364" y="10782"/>
                </a:lnTo>
                <a:lnTo>
                  <a:pt x="290525" y="13398"/>
                </a:lnTo>
                <a:lnTo>
                  <a:pt x="280733" y="13398"/>
                </a:lnTo>
                <a:lnTo>
                  <a:pt x="280733" y="20243"/>
                </a:lnTo>
                <a:lnTo>
                  <a:pt x="299262" y="20243"/>
                </a:lnTo>
                <a:lnTo>
                  <a:pt x="299262" y="71399"/>
                </a:lnTo>
                <a:lnTo>
                  <a:pt x="307822" y="71399"/>
                </a:lnTo>
                <a:lnTo>
                  <a:pt x="307822" y="0"/>
                </a:lnTo>
                <a:close/>
              </a:path>
              <a:path w="594360" h="1406525">
                <a:moveTo>
                  <a:pt x="379717" y="36347"/>
                </a:moveTo>
                <a:lnTo>
                  <a:pt x="379145" y="24003"/>
                </a:lnTo>
                <a:lnTo>
                  <a:pt x="376212" y="12255"/>
                </a:lnTo>
                <a:lnTo>
                  <a:pt x="372427" y="7556"/>
                </a:lnTo>
                <a:lnTo>
                  <a:pt x="370649" y="5372"/>
                </a:lnTo>
                <a:lnTo>
                  <a:pt x="370649" y="36347"/>
                </a:lnTo>
                <a:lnTo>
                  <a:pt x="370420" y="45250"/>
                </a:lnTo>
                <a:lnTo>
                  <a:pt x="368782" y="54648"/>
                </a:lnTo>
                <a:lnTo>
                  <a:pt x="364426" y="62052"/>
                </a:lnTo>
                <a:lnTo>
                  <a:pt x="355981" y="65049"/>
                </a:lnTo>
                <a:lnTo>
                  <a:pt x="347510" y="62052"/>
                </a:lnTo>
                <a:lnTo>
                  <a:pt x="343141" y="54648"/>
                </a:lnTo>
                <a:lnTo>
                  <a:pt x="341503" y="45250"/>
                </a:lnTo>
                <a:lnTo>
                  <a:pt x="341261" y="36347"/>
                </a:lnTo>
                <a:lnTo>
                  <a:pt x="341503" y="27305"/>
                </a:lnTo>
                <a:lnTo>
                  <a:pt x="343141" y="17945"/>
                </a:lnTo>
                <a:lnTo>
                  <a:pt x="347510" y="10553"/>
                </a:lnTo>
                <a:lnTo>
                  <a:pt x="355981" y="7556"/>
                </a:lnTo>
                <a:lnTo>
                  <a:pt x="364426" y="10553"/>
                </a:lnTo>
                <a:lnTo>
                  <a:pt x="368782" y="17945"/>
                </a:lnTo>
                <a:lnTo>
                  <a:pt x="370420" y="27305"/>
                </a:lnTo>
                <a:lnTo>
                  <a:pt x="370649" y="36347"/>
                </a:lnTo>
                <a:lnTo>
                  <a:pt x="370649" y="5372"/>
                </a:lnTo>
                <a:lnTo>
                  <a:pt x="369100" y="3454"/>
                </a:lnTo>
                <a:lnTo>
                  <a:pt x="355981" y="0"/>
                </a:lnTo>
                <a:lnTo>
                  <a:pt x="342823" y="3454"/>
                </a:lnTo>
                <a:lnTo>
                  <a:pt x="335686" y="12255"/>
                </a:lnTo>
                <a:lnTo>
                  <a:pt x="332765" y="24003"/>
                </a:lnTo>
                <a:lnTo>
                  <a:pt x="332193" y="36347"/>
                </a:lnTo>
                <a:lnTo>
                  <a:pt x="332765" y="48641"/>
                </a:lnTo>
                <a:lnTo>
                  <a:pt x="335686" y="60363"/>
                </a:lnTo>
                <a:lnTo>
                  <a:pt x="342823" y="69151"/>
                </a:lnTo>
                <a:lnTo>
                  <a:pt x="355981" y="72605"/>
                </a:lnTo>
                <a:lnTo>
                  <a:pt x="369100" y="69151"/>
                </a:lnTo>
                <a:lnTo>
                  <a:pt x="372427" y="65049"/>
                </a:lnTo>
                <a:lnTo>
                  <a:pt x="376212" y="60363"/>
                </a:lnTo>
                <a:lnTo>
                  <a:pt x="379145" y="48641"/>
                </a:lnTo>
                <a:lnTo>
                  <a:pt x="379717" y="36347"/>
                </a:lnTo>
                <a:close/>
              </a:path>
              <a:path w="594360" h="1406525">
                <a:moveTo>
                  <a:pt x="453974" y="1366418"/>
                </a:moveTo>
                <a:lnTo>
                  <a:pt x="354037" y="1386395"/>
                </a:lnTo>
                <a:lnTo>
                  <a:pt x="453974" y="1406385"/>
                </a:lnTo>
                <a:lnTo>
                  <a:pt x="453974" y="1366418"/>
                </a:lnTo>
                <a:close/>
              </a:path>
              <a:path w="594360" h="1406525">
                <a:moveTo>
                  <a:pt x="594220" y="102222"/>
                </a:moveTo>
                <a:lnTo>
                  <a:pt x="494322" y="82257"/>
                </a:lnTo>
                <a:lnTo>
                  <a:pt x="494322" y="122224"/>
                </a:lnTo>
                <a:lnTo>
                  <a:pt x="594220" y="102222"/>
                </a:lnTo>
                <a:close/>
              </a:path>
            </a:pathLst>
          </a:custGeom>
          <a:solidFill>
            <a:srgbClr val="000000"/>
          </a:solidFill>
        </xdr:spPr>
      </xdr:sp>
    </xdr:grpSp>
    <xdr:clientData/>
  </xdr:oneCellAnchor>
  <xdr:oneCellAnchor>
    <xdr:from>
      <xdr:col>0</xdr:col>
      <xdr:colOff>61677</xdr:colOff>
      <xdr:row>240</xdr:row>
      <xdr:rowOff>202101</xdr:rowOff>
    </xdr:from>
    <xdr:ext cx="2026920" cy="1605915"/>
    <xdr:grpSp>
      <xdr:nvGrpSpPr>
        <xdr:cNvPr id="248" name="Group 747">
          <a:extLst>
            <a:ext uri="{FF2B5EF4-FFF2-40B4-BE49-F238E27FC236}">
              <a16:creationId xmlns:a16="http://schemas.microsoft.com/office/drawing/2014/main" id="{72DC8D7B-E06D-4F6B-8473-A940EB9EF4B4}"/>
            </a:ext>
          </a:extLst>
        </xdr:cNvPr>
        <xdr:cNvGrpSpPr/>
      </xdr:nvGrpSpPr>
      <xdr:grpSpPr>
        <a:xfrm>
          <a:off x="61677" y="58723701"/>
          <a:ext cx="2026920" cy="1605915"/>
          <a:chOff x="0" y="0"/>
          <a:chExt cx="2026920" cy="1605915"/>
        </a:xfrm>
      </xdr:grpSpPr>
      <xdr:sp macro="" textlink="">
        <xdr:nvSpPr>
          <xdr:cNvPr id="249" name="Shape 748">
            <a:extLst>
              <a:ext uri="{FF2B5EF4-FFF2-40B4-BE49-F238E27FC236}">
                <a16:creationId xmlns:a16="http://schemas.microsoft.com/office/drawing/2014/main" id="{5CF660A7-7534-C1D3-749B-DBC589747F4B}"/>
              </a:ext>
            </a:extLst>
          </xdr:cNvPr>
          <xdr:cNvSpPr/>
        </xdr:nvSpPr>
        <xdr:spPr>
          <a:xfrm>
            <a:off x="487089" y="485879"/>
            <a:ext cx="1312545" cy="853440"/>
          </a:xfrm>
          <a:custGeom>
            <a:avLst/>
            <a:gdLst/>
            <a:ahLst/>
            <a:cxnLst/>
            <a:rect l="0" t="0" r="0" b="0"/>
            <a:pathLst>
              <a:path w="1312545" h="853440">
                <a:moveTo>
                  <a:pt x="1312011" y="35560"/>
                </a:moveTo>
                <a:lnTo>
                  <a:pt x="1311681" y="33020"/>
                </a:lnTo>
                <a:lnTo>
                  <a:pt x="1309890" y="31750"/>
                </a:lnTo>
                <a:lnTo>
                  <a:pt x="1283779" y="31750"/>
                </a:lnTo>
                <a:lnTo>
                  <a:pt x="1280629" y="27940"/>
                </a:lnTo>
                <a:lnTo>
                  <a:pt x="1280629" y="22860"/>
                </a:lnTo>
                <a:lnTo>
                  <a:pt x="1280629" y="21590"/>
                </a:lnTo>
                <a:lnTo>
                  <a:pt x="1280629" y="12700"/>
                </a:lnTo>
                <a:lnTo>
                  <a:pt x="1278724" y="10160"/>
                </a:lnTo>
                <a:lnTo>
                  <a:pt x="1272425" y="10160"/>
                </a:lnTo>
                <a:lnTo>
                  <a:pt x="1272425" y="16510"/>
                </a:lnTo>
                <a:lnTo>
                  <a:pt x="1268552" y="11430"/>
                </a:lnTo>
                <a:lnTo>
                  <a:pt x="1237678" y="10160"/>
                </a:lnTo>
                <a:lnTo>
                  <a:pt x="1234681" y="10160"/>
                </a:lnTo>
                <a:lnTo>
                  <a:pt x="1231849" y="8890"/>
                </a:lnTo>
                <a:lnTo>
                  <a:pt x="1229550" y="7620"/>
                </a:lnTo>
                <a:lnTo>
                  <a:pt x="1227861" y="6350"/>
                </a:lnTo>
                <a:lnTo>
                  <a:pt x="1222070" y="2540"/>
                </a:lnTo>
                <a:lnTo>
                  <a:pt x="1215009" y="0"/>
                </a:lnTo>
                <a:lnTo>
                  <a:pt x="1200061" y="0"/>
                </a:lnTo>
                <a:lnTo>
                  <a:pt x="1193279" y="1270"/>
                </a:lnTo>
                <a:lnTo>
                  <a:pt x="1187653" y="5080"/>
                </a:lnTo>
                <a:lnTo>
                  <a:pt x="1185240" y="7620"/>
                </a:lnTo>
                <a:lnTo>
                  <a:pt x="1182941" y="8890"/>
                </a:lnTo>
                <a:lnTo>
                  <a:pt x="1180109" y="10160"/>
                </a:lnTo>
                <a:lnTo>
                  <a:pt x="1177099" y="10160"/>
                </a:lnTo>
                <a:lnTo>
                  <a:pt x="1146213" y="11430"/>
                </a:lnTo>
                <a:lnTo>
                  <a:pt x="1142365" y="16510"/>
                </a:lnTo>
                <a:lnTo>
                  <a:pt x="1142365" y="19050"/>
                </a:lnTo>
                <a:lnTo>
                  <a:pt x="1138885" y="15240"/>
                </a:lnTo>
                <a:lnTo>
                  <a:pt x="1092085" y="15240"/>
                </a:lnTo>
                <a:lnTo>
                  <a:pt x="1088631" y="19050"/>
                </a:lnTo>
                <a:lnTo>
                  <a:pt x="1088631" y="16510"/>
                </a:lnTo>
                <a:lnTo>
                  <a:pt x="1084719" y="11430"/>
                </a:lnTo>
                <a:lnTo>
                  <a:pt x="1053833" y="10160"/>
                </a:lnTo>
                <a:lnTo>
                  <a:pt x="1050886" y="10160"/>
                </a:lnTo>
                <a:lnTo>
                  <a:pt x="1048029" y="8890"/>
                </a:lnTo>
                <a:lnTo>
                  <a:pt x="1045756" y="7620"/>
                </a:lnTo>
                <a:lnTo>
                  <a:pt x="1043432" y="5080"/>
                </a:lnTo>
                <a:lnTo>
                  <a:pt x="1037793" y="1270"/>
                </a:lnTo>
                <a:lnTo>
                  <a:pt x="1030922" y="0"/>
                </a:lnTo>
                <a:lnTo>
                  <a:pt x="1015796" y="0"/>
                </a:lnTo>
                <a:lnTo>
                  <a:pt x="1008519" y="2540"/>
                </a:lnTo>
                <a:lnTo>
                  <a:pt x="1002677" y="6350"/>
                </a:lnTo>
                <a:lnTo>
                  <a:pt x="999121" y="8890"/>
                </a:lnTo>
                <a:lnTo>
                  <a:pt x="996264" y="10160"/>
                </a:lnTo>
                <a:lnTo>
                  <a:pt x="993317" y="10160"/>
                </a:lnTo>
                <a:lnTo>
                  <a:pt x="962444" y="11430"/>
                </a:lnTo>
                <a:lnTo>
                  <a:pt x="958570" y="16510"/>
                </a:lnTo>
                <a:lnTo>
                  <a:pt x="958570" y="19050"/>
                </a:lnTo>
                <a:lnTo>
                  <a:pt x="955065" y="15240"/>
                </a:lnTo>
                <a:lnTo>
                  <a:pt x="908316" y="15240"/>
                </a:lnTo>
                <a:lnTo>
                  <a:pt x="904836" y="19050"/>
                </a:lnTo>
                <a:lnTo>
                  <a:pt x="904836" y="16510"/>
                </a:lnTo>
                <a:lnTo>
                  <a:pt x="900925" y="11430"/>
                </a:lnTo>
                <a:lnTo>
                  <a:pt x="870038" y="10160"/>
                </a:lnTo>
                <a:lnTo>
                  <a:pt x="867105" y="10160"/>
                </a:lnTo>
                <a:lnTo>
                  <a:pt x="864260" y="8890"/>
                </a:lnTo>
                <a:lnTo>
                  <a:pt x="861961" y="7620"/>
                </a:lnTo>
                <a:lnTo>
                  <a:pt x="860399" y="6350"/>
                </a:lnTo>
                <a:lnTo>
                  <a:pt x="854608" y="2540"/>
                </a:lnTo>
                <a:lnTo>
                  <a:pt x="847483" y="0"/>
                </a:lnTo>
                <a:lnTo>
                  <a:pt x="832459" y="0"/>
                </a:lnTo>
                <a:lnTo>
                  <a:pt x="825652" y="1270"/>
                </a:lnTo>
                <a:lnTo>
                  <a:pt x="820026" y="5080"/>
                </a:lnTo>
                <a:lnTo>
                  <a:pt x="817651" y="7620"/>
                </a:lnTo>
                <a:lnTo>
                  <a:pt x="815327" y="8890"/>
                </a:lnTo>
                <a:lnTo>
                  <a:pt x="812469" y="10160"/>
                </a:lnTo>
                <a:lnTo>
                  <a:pt x="809523" y="10160"/>
                </a:lnTo>
                <a:lnTo>
                  <a:pt x="778649" y="11430"/>
                </a:lnTo>
                <a:lnTo>
                  <a:pt x="774788" y="16510"/>
                </a:lnTo>
                <a:lnTo>
                  <a:pt x="774788" y="19050"/>
                </a:lnTo>
                <a:lnTo>
                  <a:pt x="771271" y="15240"/>
                </a:lnTo>
                <a:lnTo>
                  <a:pt x="724522" y="15240"/>
                </a:lnTo>
                <a:lnTo>
                  <a:pt x="721017" y="19050"/>
                </a:lnTo>
                <a:lnTo>
                  <a:pt x="721017" y="16510"/>
                </a:lnTo>
                <a:lnTo>
                  <a:pt x="717143" y="11430"/>
                </a:lnTo>
                <a:lnTo>
                  <a:pt x="686269" y="10160"/>
                </a:lnTo>
                <a:lnTo>
                  <a:pt x="683310" y="10160"/>
                </a:lnTo>
                <a:lnTo>
                  <a:pt x="680466" y="8890"/>
                </a:lnTo>
                <a:lnTo>
                  <a:pt x="678141" y="7620"/>
                </a:lnTo>
                <a:lnTo>
                  <a:pt x="676097" y="6350"/>
                </a:lnTo>
                <a:lnTo>
                  <a:pt x="670394" y="1270"/>
                </a:lnTo>
                <a:lnTo>
                  <a:pt x="663448" y="0"/>
                </a:lnTo>
                <a:lnTo>
                  <a:pt x="648347" y="0"/>
                </a:lnTo>
                <a:lnTo>
                  <a:pt x="641286" y="2540"/>
                </a:lnTo>
                <a:lnTo>
                  <a:pt x="635457" y="6350"/>
                </a:lnTo>
                <a:lnTo>
                  <a:pt x="633831" y="7620"/>
                </a:lnTo>
                <a:lnTo>
                  <a:pt x="631545" y="8890"/>
                </a:lnTo>
                <a:lnTo>
                  <a:pt x="628700" y="10160"/>
                </a:lnTo>
                <a:lnTo>
                  <a:pt x="625729" y="10160"/>
                </a:lnTo>
                <a:lnTo>
                  <a:pt x="594842" y="11430"/>
                </a:lnTo>
                <a:lnTo>
                  <a:pt x="590956" y="16510"/>
                </a:lnTo>
                <a:lnTo>
                  <a:pt x="590956" y="19050"/>
                </a:lnTo>
                <a:lnTo>
                  <a:pt x="587489" y="15240"/>
                </a:lnTo>
                <a:lnTo>
                  <a:pt x="540727" y="15240"/>
                </a:lnTo>
                <a:lnTo>
                  <a:pt x="537248" y="19050"/>
                </a:lnTo>
                <a:lnTo>
                  <a:pt x="537248" y="16510"/>
                </a:lnTo>
                <a:lnTo>
                  <a:pt x="533361" y="11430"/>
                </a:lnTo>
                <a:lnTo>
                  <a:pt x="502488" y="10160"/>
                </a:lnTo>
                <a:lnTo>
                  <a:pt x="499516" y="10160"/>
                </a:lnTo>
                <a:lnTo>
                  <a:pt x="496671" y="8890"/>
                </a:lnTo>
                <a:lnTo>
                  <a:pt x="494347" y="7620"/>
                </a:lnTo>
                <a:lnTo>
                  <a:pt x="491972" y="5080"/>
                </a:lnTo>
                <a:lnTo>
                  <a:pt x="486308" y="1270"/>
                </a:lnTo>
                <a:lnTo>
                  <a:pt x="479501" y="0"/>
                </a:lnTo>
                <a:lnTo>
                  <a:pt x="464883" y="0"/>
                </a:lnTo>
                <a:lnTo>
                  <a:pt x="458101" y="1270"/>
                </a:lnTo>
                <a:lnTo>
                  <a:pt x="452475" y="5080"/>
                </a:lnTo>
                <a:lnTo>
                  <a:pt x="450049" y="7620"/>
                </a:lnTo>
                <a:lnTo>
                  <a:pt x="447713" y="8890"/>
                </a:lnTo>
                <a:lnTo>
                  <a:pt x="444919" y="10160"/>
                </a:lnTo>
                <a:lnTo>
                  <a:pt x="441909" y="10160"/>
                </a:lnTo>
                <a:lnTo>
                  <a:pt x="411035" y="11430"/>
                </a:lnTo>
                <a:lnTo>
                  <a:pt x="407162" y="16510"/>
                </a:lnTo>
                <a:lnTo>
                  <a:pt x="407162" y="19050"/>
                </a:lnTo>
                <a:lnTo>
                  <a:pt x="403720" y="15240"/>
                </a:lnTo>
                <a:lnTo>
                  <a:pt x="356908" y="15240"/>
                </a:lnTo>
                <a:lnTo>
                  <a:pt x="353441" y="19050"/>
                </a:lnTo>
                <a:lnTo>
                  <a:pt x="353441" y="16510"/>
                </a:lnTo>
                <a:lnTo>
                  <a:pt x="349529" y="11430"/>
                </a:lnTo>
                <a:lnTo>
                  <a:pt x="318668" y="10160"/>
                </a:lnTo>
                <a:lnTo>
                  <a:pt x="315709" y="10160"/>
                </a:lnTo>
                <a:lnTo>
                  <a:pt x="312851" y="8890"/>
                </a:lnTo>
                <a:lnTo>
                  <a:pt x="310565" y="7620"/>
                </a:lnTo>
                <a:lnTo>
                  <a:pt x="308775" y="6350"/>
                </a:lnTo>
                <a:lnTo>
                  <a:pt x="303022" y="1270"/>
                </a:lnTo>
                <a:lnTo>
                  <a:pt x="295973" y="0"/>
                </a:lnTo>
                <a:lnTo>
                  <a:pt x="280771" y="0"/>
                </a:lnTo>
                <a:lnTo>
                  <a:pt x="273672" y="2540"/>
                </a:lnTo>
                <a:lnTo>
                  <a:pt x="267906" y="6350"/>
                </a:lnTo>
                <a:lnTo>
                  <a:pt x="266255" y="7620"/>
                </a:lnTo>
                <a:lnTo>
                  <a:pt x="263918" y="8890"/>
                </a:lnTo>
                <a:lnTo>
                  <a:pt x="261086" y="10160"/>
                </a:lnTo>
                <a:lnTo>
                  <a:pt x="258140" y="10160"/>
                </a:lnTo>
                <a:lnTo>
                  <a:pt x="227253" y="11430"/>
                </a:lnTo>
                <a:lnTo>
                  <a:pt x="223380" y="16510"/>
                </a:lnTo>
                <a:lnTo>
                  <a:pt x="223380" y="19050"/>
                </a:lnTo>
                <a:lnTo>
                  <a:pt x="219887" y="15240"/>
                </a:lnTo>
                <a:lnTo>
                  <a:pt x="173126" y="15240"/>
                </a:lnTo>
                <a:lnTo>
                  <a:pt x="169646" y="19050"/>
                </a:lnTo>
                <a:lnTo>
                  <a:pt x="169646" y="16510"/>
                </a:lnTo>
                <a:lnTo>
                  <a:pt x="165735" y="11430"/>
                </a:lnTo>
                <a:lnTo>
                  <a:pt x="134861" y="10160"/>
                </a:lnTo>
                <a:lnTo>
                  <a:pt x="131927" y="10160"/>
                </a:lnTo>
                <a:lnTo>
                  <a:pt x="129070" y="8890"/>
                </a:lnTo>
                <a:lnTo>
                  <a:pt x="126733" y="7620"/>
                </a:lnTo>
                <a:lnTo>
                  <a:pt x="125044" y="6350"/>
                </a:lnTo>
                <a:lnTo>
                  <a:pt x="119303" y="2540"/>
                </a:lnTo>
                <a:lnTo>
                  <a:pt x="112242" y="0"/>
                </a:lnTo>
                <a:lnTo>
                  <a:pt x="96913" y="0"/>
                </a:lnTo>
                <a:lnTo>
                  <a:pt x="89763" y="2540"/>
                </a:lnTo>
                <a:lnTo>
                  <a:pt x="83921" y="6350"/>
                </a:lnTo>
                <a:lnTo>
                  <a:pt x="80137" y="8890"/>
                </a:lnTo>
                <a:lnTo>
                  <a:pt x="77292" y="10160"/>
                </a:lnTo>
                <a:lnTo>
                  <a:pt x="74345" y="10160"/>
                </a:lnTo>
                <a:lnTo>
                  <a:pt x="43459" y="11430"/>
                </a:lnTo>
                <a:lnTo>
                  <a:pt x="39573" y="16510"/>
                </a:lnTo>
                <a:lnTo>
                  <a:pt x="39573" y="10160"/>
                </a:lnTo>
                <a:lnTo>
                  <a:pt x="33274" y="10160"/>
                </a:lnTo>
                <a:lnTo>
                  <a:pt x="31381" y="12700"/>
                </a:lnTo>
                <a:lnTo>
                  <a:pt x="31381" y="27940"/>
                </a:lnTo>
                <a:lnTo>
                  <a:pt x="28206" y="31750"/>
                </a:lnTo>
                <a:lnTo>
                  <a:pt x="2095" y="31750"/>
                </a:lnTo>
                <a:lnTo>
                  <a:pt x="342" y="33020"/>
                </a:lnTo>
                <a:lnTo>
                  <a:pt x="0" y="35560"/>
                </a:lnTo>
                <a:lnTo>
                  <a:pt x="0" y="148590"/>
                </a:lnTo>
                <a:lnTo>
                  <a:pt x="342" y="151130"/>
                </a:lnTo>
                <a:lnTo>
                  <a:pt x="2095" y="152400"/>
                </a:lnTo>
                <a:lnTo>
                  <a:pt x="28206" y="152400"/>
                </a:lnTo>
                <a:lnTo>
                  <a:pt x="31381" y="154940"/>
                </a:lnTo>
                <a:lnTo>
                  <a:pt x="31381" y="171450"/>
                </a:lnTo>
                <a:lnTo>
                  <a:pt x="33274" y="173990"/>
                </a:lnTo>
                <a:lnTo>
                  <a:pt x="39573" y="173990"/>
                </a:lnTo>
                <a:lnTo>
                  <a:pt x="39573" y="167640"/>
                </a:lnTo>
                <a:lnTo>
                  <a:pt x="43459" y="171450"/>
                </a:lnTo>
                <a:lnTo>
                  <a:pt x="63360" y="172720"/>
                </a:lnTo>
                <a:lnTo>
                  <a:pt x="69240" y="179070"/>
                </a:lnTo>
                <a:lnTo>
                  <a:pt x="69240" y="673100"/>
                </a:lnTo>
                <a:lnTo>
                  <a:pt x="63360" y="679450"/>
                </a:lnTo>
                <a:lnTo>
                  <a:pt x="43459" y="679450"/>
                </a:lnTo>
                <a:lnTo>
                  <a:pt x="39573" y="684530"/>
                </a:lnTo>
                <a:lnTo>
                  <a:pt x="39573" y="678180"/>
                </a:lnTo>
                <a:lnTo>
                  <a:pt x="33274" y="678180"/>
                </a:lnTo>
                <a:lnTo>
                  <a:pt x="31381" y="680720"/>
                </a:lnTo>
                <a:lnTo>
                  <a:pt x="31381" y="695960"/>
                </a:lnTo>
                <a:lnTo>
                  <a:pt x="28206" y="699770"/>
                </a:lnTo>
                <a:lnTo>
                  <a:pt x="2095" y="699770"/>
                </a:lnTo>
                <a:lnTo>
                  <a:pt x="342" y="701040"/>
                </a:lnTo>
                <a:lnTo>
                  <a:pt x="0" y="703580"/>
                </a:lnTo>
                <a:lnTo>
                  <a:pt x="0" y="817880"/>
                </a:lnTo>
                <a:lnTo>
                  <a:pt x="342" y="820420"/>
                </a:lnTo>
                <a:lnTo>
                  <a:pt x="2095" y="821690"/>
                </a:lnTo>
                <a:lnTo>
                  <a:pt x="28206" y="821690"/>
                </a:lnTo>
                <a:lnTo>
                  <a:pt x="31381" y="825500"/>
                </a:lnTo>
                <a:lnTo>
                  <a:pt x="31381" y="840740"/>
                </a:lnTo>
                <a:lnTo>
                  <a:pt x="33274" y="843280"/>
                </a:lnTo>
                <a:lnTo>
                  <a:pt x="39573" y="843280"/>
                </a:lnTo>
                <a:lnTo>
                  <a:pt x="39573" y="836930"/>
                </a:lnTo>
                <a:lnTo>
                  <a:pt x="43459" y="842010"/>
                </a:lnTo>
                <a:lnTo>
                  <a:pt x="77292" y="843280"/>
                </a:lnTo>
                <a:lnTo>
                  <a:pt x="80137" y="844550"/>
                </a:lnTo>
                <a:lnTo>
                  <a:pt x="83667" y="847090"/>
                </a:lnTo>
                <a:lnTo>
                  <a:pt x="89509" y="850900"/>
                </a:lnTo>
                <a:lnTo>
                  <a:pt x="96761" y="853440"/>
                </a:lnTo>
                <a:lnTo>
                  <a:pt x="111950" y="853440"/>
                </a:lnTo>
                <a:lnTo>
                  <a:pt x="118732" y="852170"/>
                </a:lnTo>
                <a:lnTo>
                  <a:pt x="124358" y="848360"/>
                </a:lnTo>
                <a:lnTo>
                  <a:pt x="126733" y="845820"/>
                </a:lnTo>
                <a:lnTo>
                  <a:pt x="129070" y="844550"/>
                </a:lnTo>
                <a:lnTo>
                  <a:pt x="131927" y="843280"/>
                </a:lnTo>
                <a:lnTo>
                  <a:pt x="165735" y="842010"/>
                </a:lnTo>
                <a:lnTo>
                  <a:pt x="169646" y="836930"/>
                </a:lnTo>
                <a:lnTo>
                  <a:pt x="169646" y="835660"/>
                </a:lnTo>
                <a:lnTo>
                  <a:pt x="173126" y="838200"/>
                </a:lnTo>
                <a:lnTo>
                  <a:pt x="219887" y="838200"/>
                </a:lnTo>
                <a:lnTo>
                  <a:pt x="223380" y="835660"/>
                </a:lnTo>
                <a:lnTo>
                  <a:pt x="223380" y="836930"/>
                </a:lnTo>
                <a:lnTo>
                  <a:pt x="227253" y="842010"/>
                </a:lnTo>
                <a:lnTo>
                  <a:pt x="266255" y="845820"/>
                </a:lnTo>
                <a:lnTo>
                  <a:pt x="273837" y="852170"/>
                </a:lnTo>
                <a:lnTo>
                  <a:pt x="280847" y="853440"/>
                </a:lnTo>
                <a:lnTo>
                  <a:pt x="295643" y="853440"/>
                </a:lnTo>
                <a:lnTo>
                  <a:pt x="302425" y="852170"/>
                </a:lnTo>
                <a:lnTo>
                  <a:pt x="308051" y="848360"/>
                </a:lnTo>
                <a:lnTo>
                  <a:pt x="310565" y="845820"/>
                </a:lnTo>
                <a:lnTo>
                  <a:pt x="312851" y="844550"/>
                </a:lnTo>
                <a:lnTo>
                  <a:pt x="315709" y="843280"/>
                </a:lnTo>
                <a:lnTo>
                  <a:pt x="349529" y="842010"/>
                </a:lnTo>
                <a:lnTo>
                  <a:pt x="353441" y="836930"/>
                </a:lnTo>
                <a:lnTo>
                  <a:pt x="353441" y="835660"/>
                </a:lnTo>
                <a:lnTo>
                  <a:pt x="356908" y="838200"/>
                </a:lnTo>
                <a:lnTo>
                  <a:pt x="403720" y="838200"/>
                </a:lnTo>
                <a:lnTo>
                  <a:pt x="407162" y="835660"/>
                </a:lnTo>
                <a:lnTo>
                  <a:pt x="407162" y="836930"/>
                </a:lnTo>
                <a:lnTo>
                  <a:pt x="411035" y="842010"/>
                </a:lnTo>
                <a:lnTo>
                  <a:pt x="450049" y="845820"/>
                </a:lnTo>
                <a:lnTo>
                  <a:pt x="457504" y="852170"/>
                </a:lnTo>
                <a:lnTo>
                  <a:pt x="464566" y="853440"/>
                </a:lnTo>
                <a:lnTo>
                  <a:pt x="479437" y="853440"/>
                </a:lnTo>
                <a:lnTo>
                  <a:pt x="486206" y="852170"/>
                </a:lnTo>
                <a:lnTo>
                  <a:pt x="491832" y="848360"/>
                </a:lnTo>
                <a:lnTo>
                  <a:pt x="494347" y="845820"/>
                </a:lnTo>
                <a:lnTo>
                  <a:pt x="496671" y="844550"/>
                </a:lnTo>
                <a:lnTo>
                  <a:pt x="499516" y="843280"/>
                </a:lnTo>
                <a:lnTo>
                  <a:pt x="533361" y="842010"/>
                </a:lnTo>
                <a:lnTo>
                  <a:pt x="537248" y="836930"/>
                </a:lnTo>
                <a:lnTo>
                  <a:pt x="537248" y="835660"/>
                </a:lnTo>
                <a:lnTo>
                  <a:pt x="540727" y="838200"/>
                </a:lnTo>
                <a:lnTo>
                  <a:pt x="587489" y="838200"/>
                </a:lnTo>
                <a:lnTo>
                  <a:pt x="590956" y="835660"/>
                </a:lnTo>
                <a:lnTo>
                  <a:pt x="590956" y="836930"/>
                </a:lnTo>
                <a:lnTo>
                  <a:pt x="594842" y="842010"/>
                </a:lnTo>
                <a:lnTo>
                  <a:pt x="633831" y="845820"/>
                </a:lnTo>
                <a:lnTo>
                  <a:pt x="641286" y="852170"/>
                </a:lnTo>
                <a:lnTo>
                  <a:pt x="648347" y="853440"/>
                </a:lnTo>
                <a:lnTo>
                  <a:pt x="663295" y="853440"/>
                </a:lnTo>
                <a:lnTo>
                  <a:pt x="670115" y="852170"/>
                </a:lnTo>
                <a:lnTo>
                  <a:pt x="675767" y="848360"/>
                </a:lnTo>
                <a:lnTo>
                  <a:pt x="678141" y="845820"/>
                </a:lnTo>
                <a:lnTo>
                  <a:pt x="680466" y="844550"/>
                </a:lnTo>
                <a:lnTo>
                  <a:pt x="683310" y="843280"/>
                </a:lnTo>
                <a:lnTo>
                  <a:pt x="717143" y="842010"/>
                </a:lnTo>
                <a:lnTo>
                  <a:pt x="721017" y="836930"/>
                </a:lnTo>
                <a:lnTo>
                  <a:pt x="721017" y="835660"/>
                </a:lnTo>
                <a:lnTo>
                  <a:pt x="724522" y="838200"/>
                </a:lnTo>
                <a:lnTo>
                  <a:pt x="771271" y="838200"/>
                </a:lnTo>
                <a:lnTo>
                  <a:pt x="774788" y="835660"/>
                </a:lnTo>
                <a:lnTo>
                  <a:pt x="774788" y="836930"/>
                </a:lnTo>
                <a:lnTo>
                  <a:pt x="778649" y="842010"/>
                </a:lnTo>
                <a:lnTo>
                  <a:pt x="817651" y="845820"/>
                </a:lnTo>
                <a:lnTo>
                  <a:pt x="825144" y="852170"/>
                </a:lnTo>
                <a:lnTo>
                  <a:pt x="832180" y="853440"/>
                </a:lnTo>
                <a:lnTo>
                  <a:pt x="846975" y="853440"/>
                </a:lnTo>
                <a:lnTo>
                  <a:pt x="853681" y="852170"/>
                </a:lnTo>
                <a:lnTo>
                  <a:pt x="859218" y="848360"/>
                </a:lnTo>
                <a:lnTo>
                  <a:pt x="861961" y="845820"/>
                </a:lnTo>
                <a:lnTo>
                  <a:pt x="864260" y="844550"/>
                </a:lnTo>
                <a:lnTo>
                  <a:pt x="867105" y="843280"/>
                </a:lnTo>
                <a:lnTo>
                  <a:pt x="900925" y="842010"/>
                </a:lnTo>
                <a:lnTo>
                  <a:pt x="904836" y="836930"/>
                </a:lnTo>
                <a:lnTo>
                  <a:pt x="904836" y="835660"/>
                </a:lnTo>
                <a:lnTo>
                  <a:pt x="908316" y="838200"/>
                </a:lnTo>
                <a:lnTo>
                  <a:pt x="955065" y="838200"/>
                </a:lnTo>
                <a:lnTo>
                  <a:pt x="958570" y="835660"/>
                </a:lnTo>
                <a:lnTo>
                  <a:pt x="958570" y="836930"/>
                </a:lnTo>
                <a:lnTo>
                  <a:pt x="962444" y="842010"/>
                </a:lnTo>
                <a:lnTo>
                  <a:pt x="1001445" y="845820"/>
                </a:lnTo>
                <a:lnTo>
                  <a:pt x="1009053" y="852170"/>
                </a:lnTo>
                <a:lnTo>
                  <a:pt x="1016050" y="853440"/>
                </a:lnTo>
                <a:lnTo>
                  <a:pt x="1030846" y="853440"/>
                </a:lnTo>
                <a:lnTo>
                  <a:pt x="1037628" y="852170"/>
                </a:lnTo>
                <a:lnTo>
                  <a:pt x="1043254" y="848360"/>
                </a:lnTo>
                <a:lnTo>
                  <a:pt x="1045756" y="845820"/>
                </a:lnTo>
                <a:lnTo>
                  <a:pt x="1048029" y="844550"/>
                </a:lnTo>
                <a:lnTo>
                  <a:pt x="1050886" y="843280"/>
                </a:lnTo>
                <a:lnTo>
                  <a:pt x="1084719" y="842010"/>
                </a:lnTo>
                <a:lnTo>
                  <a:pt x="1088631" y="836930"/>
                </a:lnTo>
                <a:lnTo>
                  <a:pt x="1088631" y="835660"/>
                </a:lnTo>
                <a:lnTo>
                  <a:pt x="1092085" y="838200"/>
                </a:lnTo>
                <a:lnTo>
                  <a:pt x="1138885" y="838200"/>
                </a:lnTo>
                <a:lnTo>
                  <a:pt x="1142365" y="835660"/>
                </a:lnTo>
                <a:lnTo>
                  <a:pt x="1142365" y="836930"/>
                </a:lnTo>
                <a:lnTo>
                  <a:pt x="1146213" y="842010"/>
                </a:lnTo>
                <a:lnTo>
                  <a:pt x="1185240" y="845820"/>
                </a:lnTo>
                <a:lnTo>
                  <a:pt x="1192530" y="852170"/>
                </a:lnTo>
                <a:lnTo>
                  <a:pt x="1199680" y="853440"/>
                </a:lnTo>
                <a:lnTo>
                  <a:pt x="1214678" y="853440"/>
                </a:lnTo>
                <a:lnTo>
                  <a:pt x="1221486" y="852170"/>
                </a:lnTo>
                <a:lnTo>
                  <a:pt x="1227137" y="848360"/>
                </a:lnTo>
                <a:lnTo>
                  <a:pt x="1229550" y="845820"/>
                </a:lnTo>
                <a:lnTo>
                  <a:pt x="1231849" y="844550"/>
                </a:lnTo>
                <a:lnTo>
                  <a:pt x="1234681" y="843280"/>
                </a:lnTo>
                <a:lnTo>
                  <a:pt x="1268552" y="842010"/>
                </a:lnTo>
                <a:lnTo>
                  <a:pt x="1272425" y="836930"/>
                </a:lnTo>
                <a:lnTo>
                  <a:pt x="1272425" y="843280"/>
                </a:lnTo>
                <a:lnTo>
                  <a:pt x="1278724" y="843280"/>
                </a:lnTo>
                <a:lnTo>
                  <a:pt x="1280629" y="840740"/>
                </a:lnTo>
                <a:lnTo>
                  <a:pt x="1280629" y="833120"/>
                </a:lnTo>
                <a:lnTo>
                  <a:pt x="1280629" y="830580"/>
                </a:lnTo>
                <a:lnTo>
                  <a:pt x="1280629" y="825500"/>
                </a:lnTo>
                <a:lnTo>
                  <a:pt x="1283779" y="821690"/>
                </a:lnTo>
                <a:lnTo>
                  <a:pt x="1309890" y="821690"/>
                </a:lnTo>
                <a:lnTo>
                  <a:pt x="1311681" y="820420"/>
                </a:lnTo>
                <a:lnTo>
                  <a:pt x="1312011" y="817880"/>
                </a:lnTo>
                <a:lnTo>
                  <a:pt x="1312011" y="703580"/>
                </a:lnTo>
                <a:lnTo>
                  <a:pt x="1311681" y="701040"/>
                </a:lnTo>
                <a:lnTo>
                  <a:pt x="1309890" y="699770"/>
                </a:lnTo>
                <a:lnTo>
                  <a:pt x="1283779" y="699770"/>
                </a:lnTo>
                <a:lnTo>
                  <a:pt x="1280629" y="695960"/>
                </a:lnTo>
                <a:lnTo>
                  <a:pt x="1280629" y="689610"/>
                </a:lnTo>
                <a:lnTo>
                  <a:pt x="1280629" y="680720"/>
                </a:lnTo>
                <a:lnTo>
                  <a:pt x="1278724" y="678180"/>
                </a:lnTo>
                <a:lnTo>
                  <a:pt x="1272425" y="678180"/>
                </a:lnTo>
                <a:lnTo>
                  <a:pt x="1272425" y="684530"/>
                </a:lnTo>
                <a:lnTo>
                  <a:pt x="1268552" y="679450"/>
                </a:lnTo>
                <a:lnTo>
                  <a:pt x="1248613" y="679450"/>
                </a:lnTo>
                <a:lnTo>
                  <a:pt x="1242733" y="673100"/>
                </a:lnTo>
                <a:lnTo>
                  <a:pt x="1242733" y="179070"/>
                </a:lnTo>
                <a:lnTo>
                  <a:pt x="1248613" y="172720"/>
                </a:lnTo>
                <a:lnTo>
                  <a:pt x="1268552" y="171450"/>
                </a:lnTo>
                <a:lnTo>
                  <a:pt x="1272425" y="167640"/>
                </a:lnTo>
                <a:lnTo>
                  <a:pt x="1272425" y="173990"/>
                </a:lnTo>
                <a:lnTo>
                  <a:pt x="1278724" y="173990"/>
                </a:lnTo>
                <a:lnTo>
                  <a:pt x="1280629" y="171450"/>
                </a:lnTo>
                <a:lnTo>
                  <a:pt x="1280629" y="162560"/>
                </a:lnTo>
                <a:lnTo>
                  <a:pt x="1280629" y="154940"/>
                </a:lnTo>
                <a:lnTo>
                  <a:pt x="1283779" y="152400"/>
                </a:lnTo>
                <a:lnTo>
                  <a:pt x="1309890" y="152400"/>
                </a:lnTo>
                <a:lnTo>
                  <a:pt x="1311681" y="151130"/>
                </a:lnTo>
                <a:lnTo>
                  <a:pt x="1312011" y="148590"/>
                </a:lnTo>
                <a:lnTo>
                  <a:pt x="1312011" y="35560"/>
                </a:lnTo>
                <a:close/>
              </a:path>
            </a:pathLst>
          </a:custGeom>
          <a:solidFill>
            <a:srgbClr val="E3E3E3"/>
          </a:solidFill>
        </xdr:spPr>
      </xdr:sp>
      <xdr:sp macro="" textlink="">
        <xdr:nvSpPr>
          <xdr:cNvPr id="250" name="Shape 749">
            <a:extLst>
              <a:ext uri="{FF2B5EF4-FFF2-40B4-BE49-F238E27FC236}">
                <a16:creationId xmlns:a16="http://schemas.microsoft.com/office/drawing/2014/main" id="{84AB0752-FBFF-A061-5936-F593BF3DF80D}"/>
              </a:ext>
            </a:extLst>
          </xdr:cNvPr>
          <xdr:cNvSpPr/>
        </xdr:nvSpPr>
        <xdr:spPr>
          <a:xfrm>
            <a:off x="627056" y="650560"/>
            <a:ext cx="1032510" cy="521334"/>
          </a:xfrm>
          <a:custGeom>
            <a:avLst/>
            <a:gdLst/>
            <a:ahLst/>
            <a:cxnLst/>
            <a:rect l="0" t="0" r="0" b="0"/>
            <a:pathLst>
              <a:path w="1032510" h="521334">
                <a:moveTo>
                  <a:pt x="113118" y="13741"/>
                </a:moveTo>
                <a:lnTo>
                  <a:pt x="107213" y="7556"/>
                </a:lnTo>
                <a:lnTo>
                  <a:pt x="87287" y="6515"/>
                </a:lnTo>
                <a:lnTo>
                  <a:pt x="84416" y="3479"/>
                </a:lnTo>
                <a:lnTo>
                  <a:pt x="83413" y="2413"/>
                </a:lnTo>
                <a:lnTo>
                  <a:pt x="83413" y="0"/>
                </a:lnTo>
                <a:lnTo>
                  <a:pt x="79921" y="3479"/>
                </a:lnTo>
                <a:lnTo>
                  <a:pt x="33159" y="3479"/>
                </a:lnTo>
                <a:lnTo>
                  <a:pt x="29679" y="0"/>
                </a:lnTo>
                <a:lnTo>
                  <a:pt x="29679" y="2413"/>
                </a:lnTo>
                <a:lnTo>
                  <a:pt x="25768" y="6515"/>
                </a:lnTo>
                <a:lnTo>
                  <a:pt x="5892" y="7556"/>
                </a:lnTo>
                <a:lnTo>
                  <a:pt x="0" y="13741"/>
                </a:lnTo>
                <a:lnTo>
                  <a:pt x="0" y="507504"/>
                </a:lnTo>
                <a:lnTo>
                  <a:pt x="5892" y="513702"/>
                </a:lnTo>
                <a:lnTo>
                  <a:pt x="25768" y="514743"/>
                </a:lnTo>
                <a:lnTo>
                  <a:pt x="29679" y="518858"/>
                </a:lnTo>
                <a:lnTo>
                  <a:pt x="29679" y="521271"/>
                </a:lnTo>
                <a:lnTo>
                  <a:pt x="33159" y="517791"/>
                </a:lnTo>
                <a:lnTo>
                  <a:pt x="79921" y="517791"/>
                </a:lnTo>
                <a:lnTo>
                  <a:pt x="83413" y="521271"/>
                </a:lnTo>
                <a:lnTo>
                  <a:pt x="83413" y="518858"/>
                </a:lnTo>
                <a:lnTo>
                  <a:pt x="84416" y="517791"/>
                </a:lnTo>
                <a:lnTo>
                  <a:pt x="87287" y="514743"/>
                </a:lnTo>
                <a:lnTo>
                  <a:pt x="107213" y="513702"/>
                </a:lnTo>
                <a:lnTo>
                  <a:pt x="113118" y="507504"/>
                </a:lnTo>
                <a:lnTo>
                  <a:pt x="113118" y="13741"/>
                </a:lnTo>
                <a:close/>
              </a:path>
              <a:path w="1032510" h="521334">
                <a:moveTo>
                  <a:pt x="296887" y="13741"/>
                </a:moveTo>
                <a:lnTo>
                  <a:pt x="291007" y="7556"/>
                </a:lnTo>
                <a:lnTo>
                  <a:pt x="271068" y="6515"/>
                </a:lnTo>
                <a:lnTo>
                  <a:pt x="268211" y="3479"/>
                </a:lnTo>
                <a:lnTo>
                  <a:pt x="267195" y="2413"/>
                </a:lnTo>
                <a:lnTo>
                  <a:pt x="267195" y="0"/>
                </a:lnTo>
                <a:lnTo>
                  <a:pt x="263753" y="3479"/>
                </a:lnTo>
                <a:lnTo>
                  <a:pt x="216941" y="3479"/>
                </a:lnTo>
                <a:lnTo>
                  <a:pt x="213474" y="0"/>
                </a:lnTo>
                <a:lnTo>
                  <a:pt x="213474" y="2413"/>
                </a:lnTo>
                <a:lnTo>
                  <a:pt x="209562" y="6515"/>
                </a:lnTo>
                <a:lnTo>
                  <a:pt x="189661" y="7556"/>
                </a:lnTo>
                <a:lnTo>
                  <a:pt x="183781" y="13741"/>
                </a:lnTo>
                <a:lnTo>
                  <a:pt x="183781" y="507504"/>
                </a:lnTo>
                <a:lnTo>
                  <a:pt x="189661" y="513702"/>
                </a:lnTo>
                <a:lnTo>
                  <a:pt x="209562" y="514743"/>
                </a:lnTo>
                <a:lnTo>
                  <a:pt x="213474" y="518858"/>
                </a:lnTo>
                <a:lnTo>
                  <a:pt x="213474" y="521271"/>
                </a:lnTo>
                <a:lnTo>
                  <a:pt x="216941" y="517791"/>
                </a:lnTo>
                <a:lnTo>
                  <a:pt x="263753" y="517791"/>
                </a:lnTo>
                <a:lnTo>
                  <a:pt x="267195" y="521271"/>
                </a:lnTo>
                <a:lnTo>
                  <a:pt x="267195" y="518858"/>
                </a:lnTo>
                <a:lnTo>
                  <a:pt x="268198" y="517791"/>
                </a:lnTo>
                <a:lnTo>
                  <a:pt x="271068" y="514743"/>
                </a:lnTo>
                <a:lnTo>
                  <a:pt x="291007" y="513702"/>
                </a:lnTo>
                <a:lnTo>
                  <a:pt x="296887" y="507504"/>
                </a:lnTo>
                <a:lnTo>
                  <a:pt x="296887" y="13741"/>
                </a:lnTo>
                <a:close/>
              </a:path>
              <a:path w="1032510" h="521334">
                <a:moveTo>
                  <a:pt x="480174" y="13741"/>
                </a:moveTo>
                <a:lnTo>
                  <a:pt x="474294" y="7556"/>
                </a:lnTo>
                <a:lnTo>
                  <a:pt x="454367" y="6515"/>
                </a:lnTo>
                <a:lnTo>
                  <a:pt x="451497" y="3479"/>
                </a:lnTo>
                <a:lnTo>
                  <a:pt x="450481" y="2413"/>
                </a:lnTo>
                <a:lnTo>
                  <a:pt x="450481" y="0"/>
                </a:lnTo>
                <a:lnTo>
                  <a:pt x="447014" y="3479"/>
                </a:lnTo>
                <a:lnTo>
                  <a:pt x="400240" y="3479"/>
                </a:lnTo>
                <a:lnTo>
                  <a:pt x="396760" y="0"/>
                </a:lnTo>
                <a:lnTo>
                  <a:pt x="396760" y="2413"/>
                </a:lnTo>
                <a:lnTo>
                  <a:pt x="392874" y="6515"/>
                </a:lnTo>
                <a:lnTo>
                  <a:pt x="372948" y="7556"/>
                </a:lnTo>
                <a:lnTo>
                  <a:pt x="367068" y="13741"/>
                </a:lnTo>
                <a:lnTo>
                  <a:pt x="367068" y="507504"/>
                </a:lnTo>
                <a:lnTo>
                  <a:pt x="372948" y="513702"/>
                </a:lnTo>
                <a:lnTo>
                  <a:pt x="392874" y="514743"/>
                </a:lnTo>
                <a:lnTo>
                  <a:pt x="396760" y="518858"/>
                </a:lnTo>
                <a:lnTo>
                  <a:pt x="396760" y="521271"/>
                </a:lnTo>
                <a:lnTo>
                  <a:pt x="400240" y="517791"/>
                </a:lnTo>
                <a:lnTo>
                  <a:pt x="447014" y="517791"/>
                </a:lnTo>
                <a:lnTo>
                  <a:pt x="450481" y="521271"/>
                </a:lnTo>
                <a:lnTo>
                  <a:pt x="450481" y="518858"/>
                </a:lnTo>
                <a:lnTo>
                  <a:pt x="451485" y="517791"/>
                </a:lnTo>
                <a:lnTo>
                  <a:pt x="454367" y="514743"/>
                </a:lnTo>
                <a:lnTo>
                  <a:pt x="474294" y="513702"/>
                </a:lnTo>
                <a:lnTo>
                  <a:pt x="480174" y="507504"/>
                </a:lnTo>
                <a:lnTo>
                  <a:pt x="480174" y="13741"/>
                </a:lnTo>
                <a:close/>
              </a:path>
              <a:path w="1032510" h="521334">
                <a:moveTo>
                  <a:pt x="663270" y="13741"/>
                </a:moveTo>
                <a:lnTo>
                  <a:pt x="657402" y="7556"/>
                </a:lnTo>
                <a:lnTo>
                  <a:pt x="637438" y="6515"/>
                </a:lnTo>
                <a:lnTo>
                  <a:pt x="634593" y="3479"/>
                </a:lnTo>
                <a:lnTo>
                  <a:pt x="633590" y="2413"/>
                </a:lnTo>
                <a:lnTo>
                  <a:pt x="633590" y="0"/>
                </a:lnTo>
                <a:lnTo>
                  <a:pt x="630097" y="3479"/>
                </a:lnTo>
                <a:lnTo>
                  <a:pt x="583311" y="3479"/>
                </a:lnTo>
                <a:lnTo>
                  <a:pt x="579856" y="0"/>
                </a:lnTo>
                <a:lnTo>
                  <a:pt x="579856" y="2413"/>
                </a:lnTo>
                <a:lnTo>
                  <a:pt x="575945" y="6515"/>
                </a:lnTo>
                <a:lnTo>
                  <a:pt x="556031" y="7556"/>
                </a:lnTo>
                <a:lnTo>
                  <a:pt x="550151" y="13741"/>
                </a:lnTo>
                <a:lnTo>
                  <a:pt x="550151" y="507504"/>
                </a:lnTo>
                <a:lnTo>
                  <a:pt x="556031" y="513702"/>
                </a:lnTo>
                <a:lnTo>
                  <a:pt x="575945" y="514743"/>
                </a:lnTo>
                <a:lnTo>
                  <a:pt x="579856" y="518858"/>
                </a:lnTo>
                <a:lnTo>
                  <a:pt x="579856" y="521271"/>
                </a:lnTo>
                <a:lnTo>
                  <a:pt x="583311" y="517791"/>
                </a:lnTo>
                <a:lnTo>
                  <a:pt x="630097" y="517791"/>
                </a:lnTo>
                <a:lnTo>
                  <a:pt x="633590" y="521271"/>
                </a:lnTo>
                <a:lnTo>
                  <a:pt x="633590" y="518858"/>
                </a:lnTo>
                <a:lnTo>
                  <a:pt x="634593" y="517791"/>
                </a:lnTo>
                <a:lnTo>
                  <a:pt x="637438" y="514743"/>
                </a:lnTo>
                <a:lnTo>
                  <a:pt x="657402" y="513702"/>
                </a:lnTo>
                <a:lnTo>
                  <a:pt x="663270" y="507504"/>
                </a:lnTo>
                <a:lnTo>
                  <a:pt x="663270" y="13741"/>
                </a:lnTo>
                <a:close/>
              </a:path>
              <a:path w="1032510" h="521334">
                <a:moveTo>
                  <a:pt x="847217" y="13741"/>
                </a:moveTo>
                <a:lnTo>
                  <a:pt x="841336" y="7556"/>
                </a:lnTo>
                <a:lnTo>
                  <a:pt x="821397" y="6515"/>
                </a:lnTo>
                <a:lnTo>
                  <a:pt x="818527" y="3479"/>
                </a:lnTo>
                <a:lnTo>
                  <a:pt x="817524" y="2413"/>
                </a:lnTo>
                <a:lnTo>
                  <a:pt x="817524" y="0"/>
                </a:lnTo>
                <a:lnTo>
                  <a:pt x="814082" y="3479"/>
                </a:lnTo>
                <a:lnTo>
                  <a:pt x="767270" y="3479"/>
                </a:lnTo>
                <a:lnTo>
                  <a:pt x="763803" y="0"/>
                </a:lnTo>
                <a:lnTo>
                  <a:pt x="763803" y="2413"/>
                </a:lnTo>
                <a:lnTo>
                  <a:pt x="759891" y="6515"/>
                </a:lnTo>
                <a:lnTo>
                  <a:pt x="739990" y="7556"/>
                </a:lnTo>
                <a:lnTo>
                  <a:pt x="734110" y="13741"/>
                </a:lnTo>
                <a:lnTo>
                  <a:pt x="734110" y="507504"/>
                </a:lnTo>
                <a:lnTo>
                  <a:pt x="739990" y="513702"/>
                </a:lnTo>
                <a:lnTo>
                  <a:pt x="759891" y="514743"/>
                </a:lnTo>
                <a:lnTo>
                  <a:pt x="763803" y="518858"/>
                </a:lnTo>
                <a:lnTo>
                  <a:pt x="763803" y="521271"/>
                </a:lnTo>
                <a:lnTo>
                  <a:pt x="767270" y="517791"/>
                </a:lnTo>
                <a:lnTo>
                  <a:pt x="814082" y="517791"/>
                </a:lnTo>
                <a:lnTo>
                  <a:pt x="817524" y="521271"/>
                </a:lnTo>
                <a:lnTo>
                  <a:pt x="817524" y="518858"/>
                </a:lnTo>
                <a:lnTo>
                  <a:pt x="818527" y="517791"/>
                </a:lnTo>
                <a:lnTo>
                  <a:pt x="821397" y="514743"/>
                </a:lnTo>
                <a:lnTo>
                  <a:pt x="841336" y="513702"/>
                </a:lnTo>
                <a:lnTo>
                  <a:pt x="847217" y="507504"/>
                </a:lnTo>
                <a:lnTo>
                  <a:pt x="847217" y="13741"/>
                </a:lnTo>
                <a:close/>
              </a:path>
              <a:path w="1032510" h="521334">
                <a:moveTo>
                  <a:pt x="1032256" y="13741"/>
                </a:moveTo>
                <a:lnTo>
                  <a:pt x="1026375" y="7556"/>
                </a:lnTo>
                <a:lnTo>
                  <a:pt x="1006436" y="6515"/>
                </a:lnTo>
                <a:lnTo>
                  <a:pt x="1003566" y="3479"/>
                </a:lnTo>
                <a:lnTo>
                  <a:pt x="1002563" y="2413"/>
                </a:lnTo>
                <a:lnTo>
                  <a:pt x="1002563" y="0"/>
                </a:lnTo>
                <a:lnTo>
                  <a:pt x="999121" y="3479"/>
                </a:lnTo>
                <a:lnTo>
                  <a:pt x="952309" y="3479"/>
                </a:lnTo>
                <a:lnTo>
                  <a:pt x="948842" y="0"/>
                </a:lnTo>
                <a:lnTo>
                  <a:pt x="948842" y="2413"/>
                </a:lnTo>
                <a:lnTo>
                  <a:pt x="944930" y="6515"/>
                </a:lnTo>
                <a:lnTo>
                  <a:pt x="925029" y="7556"/>
                </a:lnTo>
                <a:lnTo>
                  <a:pt x="919149" y="13741"/>
                </a:lnTo>
                <a:lnTo>
                  <a:pt x="919149" y="507504"/>
                </a:lnTo>
                <a:lnTo>
                  <a:pt x="925029" y="513702"/>
                </a:lnTo>
                <a:lnTo>
                  <a:pt x="944930" y="514743"/>
                </a:lnTo>
                <a:lnTo>
                  <a:pt x="948842" y="518858"/>
                </a:lnTo>
                <a:lnTo>
                  <a:pt x="948842" y="521271"/>
                </a:lnTo>
                <a:lnTo>
                  <a:pt x="952309" y="517791"/>
                </a:lnTo>
                <a:lnTo>
                  <a:pt x="999121" y="517791"/>
                </a:lnTo>
                <a:lnTo>
                  <a:pt x="1002563" y="521271"/>
                </a:lnTo>
                <a:lnTo>
                  <a:pt x="1002563" y="518858"/>
                </a:lnTo>
                <a:lnTo>
                  <a:pt x="1003566" y="517791"/>
                </a:lnTo>
                <a:lnTo>
                  <a:pt x="1006436" y="514743"/>
                </a:lnTo>
                <a:lnTo>
                  <a:pt x="1026375" y="513702"/>
                </a:lnTo>
                <a:lnTo>
                  <a:pt x="1032256" y="507504"/>
                </a:lnTo>
                <a:lnTo>
                  <a:pt x="1032256" y="13741"/>
                </a:lnTo>
                <a:close/>
              </a:path>
            </a:pathLst>
          </a:custGeom>
          <a:solidFill>
            <a:srgbClr val="FFFFFF"/>
          </a:solidFill>
        </xdr:spPr>
      </xdr:sp>
      <xdr:sp macro="" textlink="">
        <xdr:nvSpPr>
          <xdr:cNvPr id="251" name="Shape 750">
            <a:extLst>
              <a:ext uri="{FF2B5EF4-FFF2-40B4-BE49-F238E27FC236}">
                <a16:creationId xmlns:a16="http://schemas.microsoft.com/office/drawing/2014/main" id="{78F9FEB0-18E9-E445-2E98-EF7C642A0701}"/>
              </a:ext>
            </a:extLst>
          </xdr:cNvPr>
          <xdr:cNvSpPr/>
        </xdr:nvSpPr>
        <xdr:spPr>
          <a:xfrm>
            <a:off x="487093" y="500155"/>
            <a:ext cx="399415" cy="822960"/>
          </a:xfrm>
          <a:custGeom>
            <a:avLst/>
            <a:gdLst/>
            <a:ahLst/>
            <a:cxnLst/>
            <a:rect l="0" t="0" r="0" b="0"/>
            <a:pathLst>
              <a:path w="399415" h="822960">
                <a:moveTo>
                  <a:pt x="0" y="690651"/>
                </a:moveTo>
                <a:lnTo>
                  <a:pt x="0" y="799515"/>
                </a:lnTo>
              </a:path>
              <a:path w="399415" h="822960">
                <a:moveTo>
                  <a:pt x="361200" y="667321"/>
                </a:moveTo>
                <a:lnTo>
                  <a:pt x="399376" y="667321"/>
                </a:lnTo>
              </a:path>
              <a:path w="399415" h="822960">
                <a:moveTo>
                  <a:pt x="361200" y="822832"/>
                </a:moveTo>
                <a:lnTo>
                  <a:pt x="399376" y="822832"/>
                </a:lnTo>
              </a:path>
              <a:path w="399415" h="822960">
                <a:moveTo>
                  <a:pt x="361200" y="0"/>
                </a:moveTo>
                <a:lnTo>
                  <a:pt x="399376" y="0"/>
                </a:lnTo>
              </a:path>
              <a:path w="399415" h="822960">
                <a:moveTo>
                  <a:pt x="361200" y="155511"/>
                </a:moveTo>
                <a:lnTo>
                  <a:pt x="399376" y="155511"/>
                </a:lnTo>
              </a:path>
              <a:path w="399415" h="822960">
                <a:moveTo>
                  <a:pt x="253085" y="803655"/>
                </a:moveTo>
                <a:lnTo>
                  <a:pt x="253085" y="19786"/>
                </a:lnTo>
              </a:path>
              <a:path w="399415" h="822960">
                <a:moveTo>
                  <a:pt x="323748" y="803059"/>
                </a:moveTo>
                <a:lnTo>
                  <a:pt x="323748" y="19786"/>
                </a:lnTo>
              </a:path>
              <a:path w="399415" h="822960">
                <a:moveTo>
                  <a:pt x="139979" y="803655"/>
                </a:moveTo>
                <a:lnTo>
                  <a:pt x="139979" y="19786"/>
                </a:lnTo>
              </a:path>
              <a:path w="399415" h="822960">
                <a:moveTo>
                  <a:pt x="69253" y="803059"/>
                </a:moveTo>
                <a:lnTo>
                  <a:pt x="69253" y="19786"/>
                </a:lnTo>
              </a:path>
            </a:pathLst>
          </a:custGeom>
          <a:ln w="10071">
            <a:solidFill>
              <a:srgbClr val="000000"/>
            </a:solidFill>
          </a:ln>
        </xdr:spPr>
      </xdr:sp>
      <xdr:pic>
        <xdr:nvPicPr>
          <xdr:cNvPr id="252" name="image93.png">
            <a:extLst>
              <a:ext uri="{FF2B5EF4-FFF2-40B4-BE49-F238E27FC236}">
                <a16:creationId xmlns:a16="http://schemas.microsoft.com/office/drawing/2014/main" id="{030CD280-5C85-0530-6CAA-AAC2784049F2}"/>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482048" y="1144648"/>
            <a:ext cx="371281" cy="198945"/>
          </a:xfrm>
          <a:prstGeom prst="rect">
            <a:avLst/>
          </a:prstGeom>
        </xdr:spPr>
      </xdr:pic>
      <xdr:pic>
        <xdr:nvPicPr>
          <xdr:cNvPr id="253" name="image94.png">
            <a:extLst>
              <a:ext uri="{FF2B5EF4-FFF2-40B4-BE49-F238E27FC236}">
                <a16:creationId xmlns:a16="http://schemas.microsoft.com/office/drawing/2014/main" id="{4F127879-1079-0D90-1E87-306B54185DE3}"/>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482048" y="479562"/>
            <a:ext cx="371281" cy="198932"/>
          </a:xfrm>
          <a:prstGeom prst="rect">
            <a:avLst/>
          </a:prstGeom>
        </xdr:spPr>
      </xdr:pic>
      <xdr:sp macro="" textlink="">
        <xdr:nvSpPr>
          <xdr:cNvPr id="254" name="Shape 753">
            <a:extLst>
              <a:ext uri="{FF2B5EF4-FFF2-40B4-BE49-F238E27FC236}">
                <a16:creationId xmlns:a16="http://schemas.microsoft.com/office/drawing/2014/main" id="{915397CA-B86F-E79D-FDB1-9827F156C5F8}"/>
              </a:ext>
            </a:extLst>
          </xdr:cNvPr>
          <xdr:cNvSpPr/>
        </xdr:nvSpPr>
        <xdr:spPr>
          <a:xfrm>
            <a:off x="886470" y="519941"/>
            <a:ext cx="659765" cy="819150"/>
          </a:xfrm>
          <a:custGeom>
            <a:avLst/>
            <a:gdLst/>
            <a:ahLst/>
            <a:cxnLst/>
            <a:rect l="0" t="0" r="0" b="0"/>
            <a:pathLst>
              <a:path w="659765" h="819150">
                <a:moveTo>
                  <a:pt x="588873" y="783869"/>
                </a:moveTo>
                <a:lnTo>
                  <a:pt x="588873" y="0"/>
                </a:lnTo>
              </a:path>
              <a:path w="659765" h="819150">
                <a:moveTo>
                  <a:pt x="659561" y="783272"/>
                </a:moveTo>
                <a:lnTo>
                  <a:pt x="659561" y="0"/>
                </a:lnTo>
              </a:path>
              <a:path w="659765" h="819150">
                <a:moveTo>
                  <a:pt x="405053" y="783869"/>
                </a:moveTo>
                <a:lnTo>
                  <a:pt x="405053" y="0"/>
                </a:lnTo>
              </a:path>
              <a:path w="659765" h="819150">
                <a:moveTo>
                  <a:pt x="475780" y="783272"/>
                </a:moveTo>
                <a:lnTo>
                  <a:pt x="475780" y="0"/>
                </a:lnTo>
              </a:path>
              <a:path w="659765" h="819150">
                <a:moveTo>
                  <a:pt x="221284" y="783869"/>
                </a:moveTo>
                <a:lnTo>
                  <a:pt x="221284" y="0"/>
                </a:lnTo>
              </a:path>
              <a:path w="659765" h="819150">
                <a:moveTo>
                  <a:pt x="291947" y="783272"/>
                </a:moveTo>
                <a:lnTo>
                  <a:pt x="291947" y="0"/>
                </a:lnTo>
              </a:path>
              <a:path w="659765" h="819150">
                <a:moveTo>
                  <a:pt x="37490" y="783869"/>
                </a:moveTo>
                <a:lnTo>
                  <a:pt x="37490" y="0"/>
                </a:lnTo>
              </a:path>
              <a:path w="659765" h="819150">
                <a:moveTo>
                  <a:pt x="108153" y="783272"/>
                </a:moveTo>
                <a:lnTo>
                  <a:pt x="108153" y="0"/>
                </a:lnTo>
              </a:path>
              <a:path w="659765" h="819150">
                <a:moveTo>
                  <a:pt x="405053" y="783272"/>
                </a:moveTo>
                <a:lnTo>
                  <a:pt x="407835" y="797024"/>
                </a:lnTo>
                <a:lnTo>
                  <a:pt x="415418" y="808259"/>
                </a:lnTo>
                <a:lnTo>
                  <a:pt x="426661" y="815837"/>
                </a:lnTo>
                <a:lnTo>
                  <a:pt x="440423" y="818616"/>
                </a:lnTo>
              </a:path>
              <a:path w="659765" h="819150">
                <a:moveTo>
                  <a:pt x="375411" y="653554"/>
                </a:moveTo>
                <a:lnTo>
                  <a:pt x="375411" y="797013"/>
                </a:lnTo>
              </a:path>
              <a:path w="659765" h="819150">
                <a:moveTo>
                  <a:pt x="375411" y="653554"/>
                </a:moveTo>
                <a:lnTo>
                  <a:pt x="375411" y="797013"/>
                </a:lnTo>
              </a:path>
              <a:path w="659765" h="819150">
                <a:moveTo>
                  <a:pt x="375411" y="655307"/>
                </a:moveTo>
                <a:lnTo>
                  <a:pt x="375411" y="795261"/>
                </a:lnTo>
              </a:path>
              <a:path w="659765" h="819150">
                <a:moveTo>
                  <a:pt x="375411" y="797013"/>
                </a:moveTo>
                <a:lnTo>
                  <a:pt x="375411" y="653554"/>
                </a:lnTo>
              </a:path>
              <a:path w="659765" h="819150">
                <a:moveTo>
                  <a:pt x="321640" y="653554"/>
                </a:moveTo>
                <a:lnTo>
                  <a:pt x="321640" y="797013"/>
                </a:lnTo>
              </a:path>
              <a:path w="659765" h="819150">
                <a:moveTo>
                  <a:pt x="321640" y="797013"/>
                </a:moveTo>
                <a:lnTo>
                  <a:pt x="321640" y="653554"/>
                </a:lnTo>
              </a:path>
              <a:path w="659765" h="819150">
                <a:moveTo>
                  <a:pt x="321640" y="653554"/>
                </a:moveTo>
                <a:lnTo>
                  <a:pt x="321640" y="797013"/>
                </a:lnTo>
              </a:path>
              <a:path w="659765" h="819150">
                <a:moveTo>
                  <a:pt x="191579" y="653554"/>
                </a:moveTo>
                <a:lnTo>
                  <a:pt x="191579" y="797013"/>
                </a:lnTo>
              </a:path>
              <a:path w="659765" h="819150">
                <a:moveTo>
                  <a:pt x="191579" y="653554"/>
                </a:moveTo>
                <a:lnTo>
                  <a:pt x="191579" y="797013"/>
                </a:lnTo>
              </a:path>
              <a:path w="659765" h="819150">
                <a:moveTo>
                  <a:pt x="191579" y="655307"/>
                </a:moveTo>
                <a:lnTo>
                  <a:pt x="191579" y="795261"/>
                </a:lnTo>
              </a:path>
              <a:path w="659765" h="819150">
                <a:moveTo>
                  <a:pt x="191579" y="797013"/>
                </a:moveTo>
                <a:lnTo>
                  <a:pt x="191579" y="653554"/>
                </a:lnTo>
              </a:path>
              <a:path w="659765" h="819150">
                <a:moveTo>
                  <a:pt x="137871" y="653554"/>
                </a:moveTo>
                <a:lnTo>
                  <a:pt x="137871" y="797013"/>
                </a:lnTo>
              </a:path>
              <a:path w="659765" h="819150">
                <a:moveTo>
                  <a:pt x="137871" y="797013"/>
                </a:moveTo>
                <a:lnTo>
                  <a:pt x="137871" y="653554"/>
                </a:lnTo>
              </a:path>
              <a:path w="659765" h="819150">
                <a:moveTo>
                  <a:pt x="137871" y="653554"/>
                </a:moveTo>
                <a:lnTo>
                  <a:pt x="137871" y="797013"/>
                </a:lnTo>
              </a:path>
              <a:path w="659765" h="819150">
                <a:moveTo>
                  <a:pt x="7785" y="653554"/>
                </a:moveTo>
                <a:lnTo>
                  <a:pt x="7785" y="797013"/>
                </a:lnTo>
              </a:path>
              <a:path w="659765" h="819150">
                <a:moveTo>
                  <a:pt x="7785" y="653554"/>
                </a:moveTo>
                <a:lnTo>
                  <a:pt x="7785" y="797013"/>
                </a:lnTo>
              </a:path>
              <a:path w="659765" h="819150">
                <a:moveTo>
                  <a:pt x="7785" y="655307"/>
                </a:moveTo>
                <a:lnTo>
                  <a:pt x="7785" y="795261"/>
                </a:lnTo>
              </a:path>
              <a:path w="659765" h="819150">
                <a:moveTo>
                  <a:pt x="7785" y="797013"/>
                </a:moveTo>
                <a:lnTo>
                  <a:pt x="7785" y="653554"/>
                </a:lnTo>
              </a:path>
              <a:path w="659765" h="819150">
                <a:moveTo>
                  <a:pt x="200456" y="806335"/>
                </a:moveTo>
                <a:lnTo>
                  <a:pt x="226352" y="807694"/>
                </a:lnTo>
              </a:path>
              <a:path w="659765" h="819150">
                <a:moveTo>
                  <a:pt x="72821" y="818616"/>
                </a:moveTo>
                <a:lnTo>
                  <a:pt x="86593" y="815837"/>
                </a:lnTo>
                <a:lnTo>
                  <a:pt x="97821" y="808259"/>
                </a:lnTo>
                <a:lnTo>
                  <a:pt x="105383" y="797024"/>
                </a:lnTo>
                <a:lnTo>
                  <a:pt x="108153" y="783272"/>
                </a:lnTo>
              </a:path>
              <a:path w="659765" h="819150">
                <a:moveTo>
                  <a:pt x="7785" y="797013"/>
                </a:moveTo>
                <a:lnTo>
                  <a:pt x="7785" y="801992"/>
                </a:lnTo>
                <a:lnTo>
                  <a:pt x="11658" y="806081"/>
                </a:lnTo>
                <a:lnTo>
                  <a:pt x="16611" y="806335"/>
                </a:lnTo>
              </a:path>
              <a:path w="659765" h="819150">
                <a:moveTo>
                  <a:pt x="37490" y="783272"/>
                </a:moveTo>
                <a:lnTo>
                  <a:pt x="40267" y="797024"/>
                </a:lnTo>
                <a:lnTo>
                  <a:pt x="47840" y="808259"/>
                </a:lnTo>
                <a:lnTo>
                  <a:pt x="59071" y="815837"/>
                </a:lnTo>
                <a:lnTo>
                  <a:pt x="72821" y="818616"/>
                </a:lnTo>
              </a:path>
              <a:path w="659765" h="819150">
                <a:moveTo>
                  <a:pt x="0" y="803046"/>
                </a:moveTo>
                <a:lnTo>
                  <a:pt x="4343" y="803046"/>
                </a:lnTo>
                <a:lnTo>
                  <a:pt x="7785" y="799566"/>
                </a:lnTo>
                <a:lnTo>
                  <a:pt x="7785" y="795261"/>
                </a:lnTo>
              </a:path>
              <a:path w="659765" h="819150">
                <a:moveTo>
                  <a:pt x="16611" y="806335"/>
                </a:moveTo>
                <a:lnTo>
                  <a:pt x="42544" y="807694"/>
                </a:lnTo>
              </a:path>
              <a:path w="659765" h="819150">
                <a:moveTo>
                  <a:pt x="50685" y="810806"/>
                </a:moveTo>
                <a:lnTo>
                  <a:pt x="48336" y="808939"/>
                </a:lnTo>
                <a:lnTo>
                  <a:pt x="45554" y="807846"/>
                </a:lnTo>
                <a:lnTo>
                  <a:pt x="42544" y="807694"/>
                </a:lnTo>
              </a:path>
              <a:path w="659765" h="819150">
                <a:moveTo>
                  <a:pt x="191579" y="797013"/>
                </a:moveTo>
                <a:lnTo>
                  <a:pt x="191579" y="801992"/>
                </a:lnTo>
                <a:lnTo>
                  <a:pt x="195478" y="806081"/>
                </a:lnTo>
                <a:lnTo>
                  <a:pt x="200456" y="806335"/>
                </a:lnTo>
              </a:path>
              <a:path w="659765" h="819150">
                <a:moveTo>
                  <a:pt x="183807" y="803046"/>
                </a:moveTo>
                <a:lnTo>
                  <a:pt x="188125" y="803046"/>
                </a:lnTo>
                <a:lnTo>
                  <a:pt x="191579" y="799566"/>
                </a:lnTo>
                <a:lnTo>
                  <a:pt x="191579" y="795261"/>
                </a:lnTo>
              </a:path>
              <a:path w="659765" h="819150">
                <a:moveTo>
                  <a:pt x="137871" y="795261"/>
                </a:moveTo>
                <a:lnTo>
                  <a:pt x="137871" y="799566"/>
                </a:lnTo>
                <a:lnTo>
                  <a:pt x="141350" y="803046"/>
                </a:lnTo>
                <a:lnTo>
                  <a:pt x="145656" y="803046"/>
                </a:lnTo>
              </a:path>
              <a:path w="659765" h="819150">
                <a:moveTo>
                  <a:pt x="129019" y="806335"/>
                </a:moveTo>
                <a:lnTo>
                  <a:pt x="133997" y="806081"/>
                </a:lnTo>
                <a:lnTo>
                  <a:pt x="137871" y="801992"/>
                </a:lnTo>
                <a:lnTo>
                  <a:pt x="137871" y="797013"/>
                </a:lnTo>
              </a:path>
              <a:path w="659765" h="819150">
                <a:moveTo>
                  <a:pt x="145656" y="803046"/>
                </a:moveTo>
                <a:lnTo>
                  <a:pt x="183807" y="803046"/>
                </a:lnTo>
              </a:path>
              <a:path w="659765" h="819150">
                <a:moveTo>
                  <a:pt x="103111" y="807694"/>
                </a:moveTo>
                <a:lnTo>
                  <a:pt x="100152" y="807846"/>
                </a:lnTo>
                <a:lnTo>
                  <a:pt x="97294" y="808939"/>
                </a:lnTo>
                <a:lnTo>
                  <a:pt x="94970" y="810806"/>
                </a:lnTo>
              </a:path>
              <a:path w="659765" h="819150">
                <a:moveTo>
                  <a:pt x="129019" y="806335"/>
                </a:moveTo>
                <a:lnTo>
                  <a:pt x="103111" y="807694"/>
                </a:lnTo>
              </a:path>
              <a:path w="659765" h="819150">
                <a:moveTo>
                  <a:pt x="321640" y="795261"/>
                </a:moveTo>
                <a:lnTo>
                  <a:pt x="321640" y="799566"/>
                </a:lnTo>
                <a:lnTo>
                  <a:pt x="325145" y="803046"/>
                </a:lnTo>
                <a:lnTo>
                  <a:pt x="329438" y="803046"/>
                </a:lnTo>
              </a:path>
              <a:path w="659765" h="819150">
                <a:moveTo>
                  <a:pt x="312813" y="806335"/>
                </a:moveTo>
                <a:lnTo>
                  <a:pt x="317766" y="806081"/>
                </a:lnTo>
                <a:lnTo>
                  <a:pt x="321640" y="801992"/>
                </a:lnTo>
                <a:lnTo>
                  <a:pt x="321640" y="797013"/>
                </a:lnTo>
              </a:path>
              <a:path w="659765" h="819150">
                <a:moveTo>
                  <a:pt x="256603" y="818616"/>
                </a:moveTo>
                <a:lnTo>
                  <a:pt x="270371" y="815837"/>
                </a:lnTo>
                <a:lnTo>
                  <a:pt x="281605" y="808259"/>
                </a:lnTo>
                <a:lnTo>
                  <a:pt x="289173" y="797024"/>
                </a:lnTo>
                <a:lnTo>
                  <a:pt x="291947" y="783272"/>
                </a:lnTo>
              </a:path>
              <a:path w="659765" h="819150">
                <a:moveTo>
                  <a:pt x="221284" y="783272"/>
                </a:moveTo>
                <a:lnTo>
                  <a:pt x="224065" y="797024"/>
                </a:lnTo>
                <a:lnTo>
                  <a:pt x="231643" y="808259"/>
                </a:lnTo>
                <a:lnTo>
                  <a:pt x="242871" y="815837"/>
                </a:lnTo>
                <a:lnTo>
                  <a:pt x="256603" y="818616"/>
                </a:lnTo>
              </a:path>
              <a:path w="659765" h="819150">
                <a:moveTo>
                  <a:pt x="234454" y="810806"/>
                </a:moveTo>
                <a:lnTo>
                  <a:pt x="232181" y="808939"/>
                </a:lnTo>
                <a:lnTo>
                  <a:pt x="229323" y="807846"/>
                </a:lnTo>
                <a:lnTo>
                  <a:pt x="226352" y="807694"/>
                </a:lnTo>
              </a:path>
              <a:path w="659765" h="819150">
                <a:moveTo>
                  <a:pt x="286892" y="807694"/>
                </a:moveTo>
                <a:lnTo>
                  <a:pt x="283946" y="807846"/>
                </a:lnTo>
                <a:lnTo>
                  <a:pt x="281089" y="808939"/>
                </a:lnTo>
                <a:lnTo>
                  <a:pt x="278752" y="810806"/>
                </a:lnTo>
              </a:path>
              <a:path w="659765" h="819150">
                <a:moveTo>
                  <a:pt x="312813" y="806335"/>
                </a:moveTo>
                <a:lnTo>
                  <a:pt x="286892" y="807694"/>
                </a:lnTo>
              </a:path>
              <a:path w="659765" h="819150">
                <a:moveTo>
                  <a:pt x="375411" y="797013"/>
                </a:moveTo>
                <a:lnTo>
                  <a:pt x="375411" y="801992"/>
                </a:lnTo>
                <a:lnTo>
                  <a:pt x="379272" y="806081"/>
                </a:lnTo>
                <a:lnTo>
                  <a:pt x="384225" y="806335"/>
                </a:lnTo>
              </a:path>
              <a:path w="659765" h="819150">
                <a:moveTo>
                  <a:pt x="367614" y="803046"/>
                </a:moveTo>
                <a:lnTo>
                  <a:pt x="371894" y="803046"/>
                </a:lnTo>
                <a:lnTo>
                  <a:pt x="375411" y="799566"/>
                </a:lnTo>
                <a:lnTo>
                  <a:pt x="375411" y="795261"/>
                </a:lnTo>
              </a:path>
              <a:path w="659765" h="819150">
                <a:moveTo>
                  <a:pt x="329438" y="803046"/>
                </a:moveTo>
                <a:lnTo>
                  <a:pt x="367614" y="803046"/>
                </a:lnTo>
              </a:path>
              <a:path w="659765" h="819150">
                <a:moveTo>
                  <a:pt x="384225" y="806335"/>
                </a:moveTo>
                <a:lnTo>
                  <a:pt x="410146" y="807694"/>
                </a:lnTo>
              </a:path>
              <a:path w="659765" h="819150">
                <a:moveTo>
                  <a:pt x="418274" y="810806"/>
                </a:moveTo>
                <a:lnTo>
                  <a:pt x="415950" y="808939"/>
                </a:lnTo>
                <a:lnTo>
                  <a:pt x="413105" y="807846"/>
                </a:lnTo>
                <a:lnTo>
                  <a:pt x="410146" y="807694"/>
                </a:lnTo>
              </a:path>
              <a:path w="659765" h="819150">
                <a:moveTo>
                  <a:pt x="207873" y="643839"/>
                </a:moveTo>
                <a:lnTo>
                  <a:pt x="200456" y="644232"/>
                </a:lnTo>
              </a:path>
              <a:path w="659765" h="819150">
                <a:moveTo>
                  <a:pt x="24066" y="643839"/>
                </a:moveTo>
                <a:lnTo>
                  <a:pt x="31610" y="643445"/>
                </a:lnTo>
                <a:lnTo>
                  <a:pt x="37490" y="637247"/>
                </a:lnTo>
                <a:lnTo>
                  <a:pt x="37490" y="629742"/>
                </a:lnTo>
              </a:path>
              <a:path w="659765" h="819150">
                <a:moveTo>
                  <a:pt x="24066" y="643839"/>
                </a:moveTo>
                <a:lnTo>
                  <a:pt x="16611" y="644232"/>
                </a:lnTo>
              </a:path>
              <a:path w="659765" h="819150">
                <a:moveTo>
                  <a:pt x="16611" y="644232"/>
                </a:moveTo>
                <a:lnTo>
                  <a:pt x="11658" y="644486"/>
                </a:lnTo>
                <a:lnTo>
                  <a:pt x="7785" y="648601"/>
                </a:lnTo>
                <a:lnTo>
                  <a:pt x="7785" y="653554"/>
                </a:lnTo>
              </a:path>
              <a:path w="659765" h="819150">
                <a:moveTo>
                  <a:pt x="7785" y="655307"/>
                </a:moveTo>
                <a:lnTo>
                  <a:pt x="7785" y="651027"/>
                </a:lnTo>
                <a:lnTo>
                  <a:pt x="4343" y="647534"/>
                </a:lnTo>
                <a:lnTo>
                  <a:pt x="0" y="647534"/>
                </a:lnTo>
              </a:path>
              <a:path w="659765" h="819150">
                <a:moveTo>
                  <a:pt x="145656" y="647534"/>
                </a:moveTo>
                <a:lnTo>
                  <a:pt x="183807" y="647534"/>
                </a:lnTo>
              </a:path>
              <a:path w="659765" h="819150">
                <a:moveTo>
                  <a:pt x="145656" y="647534"/>
                </a:moveTo>
                <a:lnTo>
                  <a:pt x="141350" y="647534"/>
                </a:lnTo>
                <a:lnTo>
                  <a:pt x="137871" y="651027"/>
                </a:lnTo>
                <a:lnTo>
                  <a:pt x="137871" y="655307"/>
                </a:lnTo>
              </a:path>
              <a:path w="659765" h="819150">
                <a:moveTo>
                  <a:pt x="137871" y="653554"/>
                </a:moveTo>
                <a:lnTo>
                  <a:pt x="137871" y="648601"/>
                </a:lnTo>
                <a:lnTo>
                  <a:pt x="133997" y="644486"/>
                </a:lnTo>
                <a:lnTo>
                  <a:pt x="129019" y="644232"/>
                </a:lnTo>
              </a:path>
            </a:pathLst>
          </a:custGeom>
          <a:ln w="10071">
            <a:solidFill>
              <a:srgbClr val="000000"/>
            </a:solidFill>
          </a:ln>
        </xdr:spPr>
      </xdr:sp>
      <xdr:sp macro="" textlink="">
        <xdr:nvSpPr>
          <xdr:cNvPr id="255" name="Shape 754">
            <a:extLst>
              <a:ext uri="{FF2B5EF4-FFF2-40B4-BE49-F238E27FC236}">
                <a16:creationId xmlns:a16="http://schemas.microsoft.com/office/drawing/2014/main" id="{5A60F15C-F58C-856A-DBDA-0EF120E7F43F}"/>
              </a:ext>
            </a:extLst>
          </xdr:cNvPr>
          <xdr:cNvSpPr/>
        </xdr:nvSpPr>
        <xdr:spPr>
          <a:xfrm>
            <a:off x="886468" y="484595"/>
            <a:ext cx="843915" cy="854075"/>
          </a:xfrm>
          <a:custGeom>
            <a:avLst/>
            <a:gdLst/>
            <a:ahLst/>
            <a:cxnLst/>
            <a:rect l="0" t="0" r="0" b="0"/>
            <a:pathLst>
              <a:path w="843915" h="854075">
                <a:moveTo>
                  <a:pt x="108153" y="665086"/>
                </a:moveTo>
                <a:lnTo>
                  <a:pt x="108153" y="672604"/>
                </a:lnTo>
                <a:lnTo>
                  <a:pt x="114058" y="678789"/>
                </a:lnTo>
                <a:lnTo>
                  <a:pt x="121589" y="679183"/>
                </a:lnTo>
              </a:path>
              <a:path w="843915" h="854075">
                <a:moveTo>
                  <a:pt x="121589" y="679183"/>
                </a:moveTo>
                <a:lnTo>
                  <a:pt x="129019" y="679577"/>
                </a:lnTo>
              </a:path>
              <a:path w="843915" h="854075">
                <a:moveTo>
                  <a:pt x="200456" y="679577"/>
                </a:moveTo>
                <a:lnTo>
                  <a:pt x="195478" y="679831"/>
                </a:lnTo>
                <a:lnTo>
                  <a:pt x="191579" y="683945"/>
                </a:lnTo>
                <a:lnTo>
                  <a:pt x="191579" y="688898"/>
                </a:lnTo>
              </a:path>
              <a:path w="843915" h="854075">
                <a:moveTo>
                  <a:pt x="191579" y="690651"/>
                </a:moveTo>
                <a:lnTo>
                  <a:pt x="191579" y="686371"/>
                </a:lnTo>
                <a:lnTo>
                  <a:pt x="188125" y="682879"/>
                </a:lnTo>
                <a:lnTo>
                  <a:pt x="183819" y="682879"/>
                </a:lnTo>
              </a:path>
              <a:path w="843915" h="854075">
                <a:moveTo>
                  <a:pt x="329438" y="682879"/>
                </a:moveTo>
                <a:lnTo>
                  <a:pt x="325145" y="682879"/>
                </a:lnTo>
                <a:lnTo>
                  <a:pt x="321652" y="686371"/>
                </a:lnTo>
                <a:lnTo>
                  <a:pt x="321652" y="690651"/>
                </a:lnTo>
              </a:path>
              <a:path w="843915" h="854075">
                <a:moveTo>
                  <a:pt x="321652" y="688898"/>
                </a:moveTo>
                <a:lnTo>
                  <a:pt x="321652" y="683945"/>
                </a:lnTo>
                <a:lnTo>
                  <a:pt x="317766" y="679831"/>
                </a:lnTo>
                <a:lnTo>
                  <a:pt x="312813" y="679577"/>
                </a:lnTo>
              </a:path>
              <a:path w="843915" h="854075">
                <a:moveTo>
                  <a:pt x="207873" y="679183"/>
                </a:moveTo>
                <a:lnTo>
                  <a:pt x="215404" y="678789"/>
                </a:lnTo>
                <a:lnTo>
                  <a:pt x="221284" y="672604"/>
                </a:lnTo>
                <a:lnTo>
                  <a:pt x="221284" y="665086"/>
                </a:lnTo>
              </a:path>
              <a:path w="843915" h="854075">
                <a:moveTo>
                  <a:pt x="291947" y="665086"/>
                </a:moveTo>
                <a:lnTo>
                  <a:pt x="291947" y="672604"/>
                </a:lnTo>
                <a:lnTo>
                  <a:pt x="297891" y="678789"/>
                </a:lnTo>
                <a:lnTo>
                  <a:pt x="305358" y="679183"/>
                </a:lnTo>
              </a:path>
              <a:path w="843915" h="854075">
                <a:moveTo>
                  <a:pt x="305358" y="679183"/>
                </a:moveTo>
                <a:lnTo>
                  <a:pt x="312813" y="679577"/>
                </a:lnTo>
              </a:path>
              <a:path w="843915" h="854075">
                <a:moveTo>
                  <a:pt x="384225" y="679577"/>
                </a:moveTo>
                <a:lnTo>
                  <a:pt x="379272" y="679831"/>
                </a:lnTo>
                <a:lnTo>
                  <a:pt x="375424" y="683945"/>
                </a:lnTo>
                <a:lnTo>
                  <a:pt x="375424" y="688898"/>
                </a:lnTo>
              </a:path>
              <a:path w="843915" h="854075">
                <a:moveTo>
                  <a:pt x="375424" y="690651"/>
                </a:moveTo>
                <a:lnTo>
                  <a:pt x="375424" y="686371"/>
                </a:lnTo>
                <a:lnTo>
                  <a:pt x="371894" y="682879"/>
                </a:lnTo>
                <a:lnTo>
                  <a:pt x="367614" y="682879"/>
                </a:lnTo>
              </a:path>
              <a:path w="843915" h="854075">
                <a:moveTo>
                  <a:pt x="329438" y="682879"/>
                </a:moveTo>
                <a:lnTo>
                  <a:pt x="367614" y="682879"/>
                </a:lnTo>
              </a:path>
              <a:path w="843915" h="854075">
                <a:moveTo>
                  <a:pt x="391706" y="679183"/>
                </a:moveTo>
                <a:lnTo>
                  <a:pt x="384225" y="679577"/>
                </a:lnTo>
              </a:path>
              <a:path w="843915" h="854075">
                <a:moveTo>
                  <a:pt x="391706" y="679183"/>
                </a:moveTo>
                <a:lnTo>
                  <a:pt x="399173" y="678789"/>
                </a:lnTo>
                <a:lnTo>
                  <a:pt x="405053" y="672604"/>
                </a:lnTo>
                <a:lnTo>
                  <a:pt x="405053" y="665086"/>
                </a:lnTo>
              </a:path>
              <a:path w="843915" h="854075">
                <a:moveTo>
                  <a:pt x="742988" y="688898"/>
                </a:moveTo>
                <a:lnTo>
                  <a:pt x="742988" y="832358"/>
                </a:lnTo>
              </a:path>
              <a:path w="843915" h="854075">
                <a:moveTo>
                  <a:pt x="742988" y="688898"/>
                </a:moveTo>
                <a:lnTo>
                  <a:pt x="742988" y="832358"/>
                </a:lnTo>
              </a:path>
              <a:path w="843915" h="854075">
                <a:moveTo>
                  <a:pt x="689254" y="832358"/>
                </a:moveTo>
                <a:lnTo>
                  <a:pt x="689254" y="688898"/>
                </a:lnTo>
              </a:path>
              <a:path w="843915" h="854075">
                <a:moveTo>
                  <a:pt x="689254" y="688898"/>
                </a:moveTo>
                <a:lnTo>
                  <a:pt x="689254" y="832358"/>
                </a:lnTo>
              </a:path>
              <a:path w="843915" h="854075">
                <a:moveTo>
                  <a:pt x="742988" y="832358"/>
                </a:moveTo>
                <a:lnTo>
                  <a:pt x="742988" y="688898"/>
                </a:lnTo>
              </a:path>
              <a:path w="843915" h="854075">
                <a:moveTo>
                  <a:pt x="742988" y="690651"/>
                </a:moveTo>
                <a:lnTo>
                  <a:pt x="742988" y="830605"/>
                </a:lnTo>
              </a:path>
              <a:path w="843915" h="854075">
                <a:moveTo>
                  <a:pt x="689254" y="688898"/>
                </a:moveTo>
                <a:lnTo>
                  <a:pt x="689254" y="832358"/>
                </a:lnTo>
              </a:path>
              <a:path w="843915" h="854075">
                <a:moveTo>
                  <a:pt x="559193" y="688898"/>
                </a:moveTo>
                <a:lnTo>
                  <a:pt x="559193" y="832358"/>
                </a:lnTo>
              </a:path>
              <a:path w="843915" h="854075">
                <a:moveTo>
                  <a:pt x="559193" y="688898"/>
                </a:moveTo>
                <a:lnTo>
                  <a:pt x="559193" y="832358"/>
                </a:lnTo>
              </a:path>
              <a:path w="843915" h="854075">
                <a:moveTo>
                  <a:pt x="505460" y="832358"/>
                </a:moveTo>
                <a:lnTo>
                  <a:pt x="505460" y="688898"/>
                </a:lnTo>
              </a:path>
              <a:path w="843915" h="854075">
                <a:moveTo>
                  <a:pt x="505460" y="688898"/>
                </a:moveTo>
                <a:lnTo>
                  <a:pt x="505460" y="832358"/>
                </a:lnTo>
              </a:path>
              <a:path w="843915" h="854075">
                <a:moveTo>
                  <a:pt x="559193" y="832358"/>
                </a:moveTo>
                <a:lnTo>
                  <a:pt x="559193" y="688898"/>
                </a:lnTo>
              </a:path>
              <a:path w="843915" h="854075">
                <a:moveTo>
                  <a:pt x="559193" y="690651"/>
                </a:moveTo>
                <a:lnTo>
                  <a:pt x="559193" y="830605"/>
                </a:lnTo>
              </a:path>
              <a:path w="843915" h="854075">
                <a:moveTo>
                  <a:pt x="505460" y="688898"/>
                </a:moveTo>
                <a:lnTo>
                  <a:pt x="505460" y="832358"/>
                </a:lnTo>
              </a:path>
              <a:path w="843915" h="854075">
                <a:moveTo>
                  <a:pt x="680389" y="841679"/>
                </a:moveTo>
                <a:lnTo>
                  <a:pt x="654469" y="843038"/>
                </a:lnTo>
              </a:path>
              <a:path w="843915" h="854075">
                <a:moveTo>
                  <a:pt x="624230" y="853960"/>
                </a:moveTo>
                <a:lnTo>
                  <a:pt x="637975" y="851181"/>
                </a:lnTo>
                <a:lnTo>
                  <a:pt x="649206" y="843603"/>
                </a:lnTo>
                <a:lnTo>
                  <a:pt x="656782" y="832368"/>
                </a:lnTo>
                <a:lnTo>
                  <a:pt x="659561" y="818616"/>
                </a:lnTo>
              </a:path>
              <a:path w="843915" h="854075">
                <a:moveTo>
                  <a:pt x="551408" y="838403"/>
                </a:moveTo>
                <a:lnTo>
                  <a:pt x="555701" y="838403"/>
                </a:lnTo>
                <a:lnTo>
                  <a:pt x="559193" y="834910"/>
                </a:lnTo>
                <a:lnTo>
                  <a:pt x="559193" y="830605"/>
                </a:lnTo>
              </a:path>
              <a:path w="843915" h="854075">
                <a:moveTo>
                  <a:pt x="505460" y="830605"/>
                </a:moveTo>
                <a:lnTo>
                  <a:pt x="505460" y="834910"/>
                </a:lnTo>
                <a:lnTo>
                  <a:pt x="508939" y="838403"/>
                </a:lnTo>
                <a:lnTo>
                  <a:pt x="513207" y="838403"/>
                </a:lnTo>
              </a:path>
              <a:path w="843915" h="854075">
                <a:moveTo>
                  <a:pt x="496608" y="841679"/>
                </a:moveTo>
                <a:lnTo>
                  <a:pt x="501548" y="841425"/>
                </a:lnTo>
                <a:lnTo>
                  <a:pt x="505460" y="837336"/>
                </a:lnTo>
                <a:lnTo>
                  <a:pt x="505460" y="832358"/>
                </a:lnTo>
              </a:path>
              <a:path w="843915" h="854075">
                <a:moveTo>
                  <a:pt x="440423" y="853960"/>
                </a:moveTo>
                <a:lnTo>
                  <a:pt x="454177" y="851181"/>
                </a:lnTo>
                <a:lnTo>
                  <a:pt x="465416" y="843603"/>
                </a:lnTo>
                <a:lnTo>
                  <a:pt x="472998" y="832368"/>
                </a:lnTo>
                <a:lnTo>
                  <a:pt x="475780" y="818616"/>
                </a:lnTo>
              </a:path>
              <a:path w="843915" h="854075">
                <a:moveTo>
                  <a:pt x="496608" y="841679"/>
                </a:moveTo>
                <a:lnTo>
                  <a:pt x="470674" y="843038"/>
                </a:lnTo>
              </a:path>
              <a:path w="843915" h="854075">
                <a:moveTo>
                  <a:pt x="470674" y="843038"/>
                </a:moveTo>
                <a:lnTo>
                  <a:pt x="467741" y="843203"/>
                </a:lnTo>
                <a:lnTo>
                  <a:pt x="464883" y="844283"/>
                </a:lnTo>
                <a:lnTo>
                  <a:pt x="462546" y="846150"/>
                </a:lnTo>
              </a:path>
              <a:path w="843915" h="854075">
                <a:moveTo>
                  <a:pt x="513207" y="838403"/>
                </a:moveTo>
                <a:lnTo>
                  <a:pt x="551408" y="838403"/>
                </a:lnTo>
              </a:path>
              <a:path w="843915" h="854075">
                <a:moveTo>
                  <a:pt x="559193" y="832358"/>
                </a:moveTo>
                <a:lnTo>
                  <a:pt x="559193" y="837336"/>
                </a:lnTo>
                <a:lnTo>
                  <a:pt x="563067" y="841425"/>
                </a:lnTo>
                <a:lnTo>
                  <a:pt x="568032" y="841679"/>
                </a:lnTo>
              </a:path>
              <a:path w="843915" h="854075">
                <a:moveTo>
                  <a:pt x="588873" y="818616"/>
                </a:moveTo>
                <a:lnTo>
                  <a:pt x="591649" y="832368"/>
                </a:lnTo>
                <a:lnTo>
                  <a:pt x="599222" y="843603"/>
                </a:lnTo>
                <a:lnTo>
                  <a:pt x="610460" y="851181"/>
                </a:lnTo>
                <a:lnTo>
                  <a:pt x="624230" y="853960"/>
                </a:lnTo>
              </a:path>
              <a:path w="843915" h="854075">
                <a:moveTo>
                  <a:pt x="568032" y="841679"/>
                </a:moveTo>
                <a:lnTo>
                  <a:pt x="593953" y="843038"/>
                </a:lnTo>
              </a:path>
              <a:path w="843915" h="854075">
                <a:moveTo>
                  <a:pt x="602068" y="846150"/>
                </a:moveTo>
                <a:lnTo>
                  <a:pt x="599744" y="844283"/>
                </a:lnTo>
                <a:lnTo>
                  <a:pt x="596900" y="843203"/>
                </a:lnTo>
                <a:lnTo>
                  <a:pt x="593953" y="843038"/>
                </a:lnTo>
              </a:path>
              <a:path w="843915" h="854075">
                <a:moveTo>
                  <a:pt x="654469" y="843038"/>
                </a:moveTo>
                <a:lnTo>
                  <a:pt x="651510" y="843203"/>
                </a:lnTo>
                <a:lnTo>
                  <a:pt x="648665" y="844283"/>
                </a:lnTo>
                <a:lnTo>
                  <a:pt x="646379" y="846150"/>
                </a:lnTo>
              </a:path>
              <a:path w="843915" h="854075">
                <a:moveTo>
                  <a:pt x="735177" y="838403"/>
                </a:moveTo>
                <a:lnTo>
                  <a:pt x="739508" y="838403"/>
                </a:lnTo>
                <a:lnTo>
                  <a:pt x="742988" y="834910"/>
                </a:lnTo>
                <a:lnTo>
                  <a:pt x="742988" y="830605"/>
                </a:lnTo>
              </a:path>
              <a:path w="843915" h="854075">
                <a:moveTo>
                  <a:pt x="689254" y="830605"/>
                </a:moveTo>
                <a:lnTo>
                  <a:pt x="689254" y="834910"/>
                </a:lnTo>
                <a:lnTo>
                  <a:pt x="692721" y="838403"/>
                </a:lnTo>
                <a:lnTo>
                  <a:pt x="697014" y="838403"/>
                </a:lnTo>
              </a:path>
              <a:path w="843915" h="854075">
                <a:moveTo>
                  <a:pt x="680389" y="841679"/>
                </a:moveTo>
                <a:lnTo>
                  <a:pt x="685342" y="841425"/>
                </a:lnTo>
                <a:lnTo>
                  <a:pt x="689254" y="837336"/>
                </a:lnTo>
                <a:lnTo>
                  <a:pt x="689254" y="832358"/>
                </a:lnTo>
              </a:path>
              <a:path w="843915" h="854075">
                <a:moveTo>
                  <a:pt x="697014" y="838403"/>
                </a:moveTo>
                <a:lnTo>
                  <a:pt x="735177" y="838403"/>
                </a:lnTo>
              </a:path>
              <a:path w="843915" h="854075">
                <a:moveTo>
                  <a:pt x="659561" y="665086"/>
                </a:moveTo>
                <a:lnTo>
                  <a:pt x="659561" y="672604"/>
                </a:lnTo>
                <a:lnTo>
                  <a:pt x="665441" y="678789"/>
                </a:lnTo>
                <a:lnTo>
                  <a:pt x="672998" y="679183"/>
                </a:lnTo>
              </a:path>
              <a:path w="843915" h="854075">
                <a:moveTo>
                  <a:pt x="559193" y="690651"/>
                </a:moveTo>
                <a:lnTo>
                  <a:pt x="559193" y="686371"/>
                </a:lnTo>
                <a:lnTo>
                  <a:pt x="555701" y="682879"/>
                </a:lnTo>
                <a:lnTo>
                  <a:pt x="551408" y="682879"/>
                </a:lnTo>
              </a:path>
              <a:path w="843915" h="854075">
                <a:moveTo>
                  <a:pt x="489153" y="679183"/>
                </a:moveTo>
                <a:lnTo>
                  <a:pt x="496608" y="679577"/>
                </a:lnTo>
              </a:path>
              <a:path w="843915" h="854075">
                <a:moveTo>
                  <a:pt x="475780" y="665086"/>
                </a:moveTo>
                <a:lnTo>
                  <a:pt x="475780" y="672604"/>
                </a:lnTo>
                <a:lnTo>
                  <a:pt x="481660" y="678789"/>
                </a:lnTo>
                <a:lnTo>
                  <a:pt x="489153" y="679183"/>
                </a:lnTo>
              </a:path>
              <a:path w="843915" h="854075">
                <a:moveTo>
                  <a:pt x="513207" y="682879"/>
                </a:moveTo>
                <a:lnTo>
                  <a:pt x="551408" y="682879"/>
                </a:lnTo>
              </a:path>
              <a:path w="843915" h="854075">
                <a:moveTo>
                  <a:pt x="513207" y="682879"/>
                </a:moveTo>
                <a:lnTo>
                  <a:pt x="508939" y="682879"/>
                </a:lnTo>
                <a:lnTo>
                  <a:pt x="505460" y="686371"/>
                </a:lnTo>
                <a:lnTo>
                  <a:pt x="505460" y="690651"/>
                </a:lnTo>
              </a:path>
              <a:path w="843915" h="854075">
                <a:moveTo>
                  <a:pt x="505460" y="688898"/>
                </a:moveTo>
                <a:lnTo>
                  <a:pt x="505460" y="683945"/>
                </a:lnTo>
                <a:lnTo>
                  <a:pt x="501548" y="679831"/>
                </a:lnTo>
                <a:lnTo>
                  <a:pt x="496608" y="679577"/>
                </a:lnTo>
              </a:path>
              <a:path w="843915" h="854075">
                <a:moveTo>
                  <a:pt x="575475" y="679183"/>
                </a:moveTo>
                <a:lnTo>
                  <a:pt x="568032" y="679577"/>
                </a:lnTo>
              </a:path>
              <a:path w="843915" h="854075">
                <a:moveTo>
                  <a:pt x="575475" y="679183"/>
                </a:moveTo>
                <a:lnTo>
                  <a:pt x="582968" y="678789"/>
                </a:lnTo>
                <a:lnTo>
                  <a:pt x="588873" y="672604"/>
                </a:lnTo>
                <a:lnTo>
                  <a:pt x="588873" y="665086"/>
                </a:lnTo>
              </a:path>
              <a:path w="843915" h="854075">
                <a:moveTo>
                  <a:pt x="568032" y="679577"/>
                </a:moveTo>
                <a:lnTo>
                  <a:pt x="563067" y="679831"/>
                </a:lnTo>
                <a:lnTo>
                  <a:pt x="559193" y="683945"/>
                </a:lnTo>
                <a:lnTo>
                  <a:pt x="559193" y="688898"/>
                </a:lnTo>
              </a:path>
              <a:path w="843915" h="854075">
                <a:moveTo>
                  <a:pt x="697014" y="682879"/>
                </a:moveTo>
                <a:lnTo>
                  <a:pt x="735177" y="682879"/>
                </a:lnTo>
              </a:path>
              <a:path w="843915" h="854075">
                <a:moveTo>
                  <a:pt x="697014" y="682879"/>
                </a:moveTo>
                <a:lnTo>
                  <a:pt x="692721" y="682879"/>
                </a:lnTo>
                <a:lnTo>
                  <a:pt x="689254" y="686371"/>
                </a:lnTo>
                <a:lnTo>
                  <a:pt x="689254" y="690651"/>
                </a:lnTo>
              </a:path>
              <a:path w="843915" h="854075">
                <a:moveTo>
                  <a:pt x="689254" y="688898"/>
                </a:moveTo>
                <a:lnTo>
                  <a:pt x="689254" y="683945"/>
                </a:lnTo>
                <a:lnTo>
                  <a:pt x="685342" y="679831"/>
                </a:lnTo>
                <a:lnTo>
                  <a:pt x="680389" y="679577"/>
                </a:lnTo>
              </a:path>
              <a:path w="843915" h="854075">
                <a:moveTo>
                  <a:pt x="672998" y="679183"/>
                </a:moveTo>
                <a:lnTo>
                  <a:pt x="680389" y="679577"/>
                </a:lnTo>
              </a:path>
              <a:path w="843915" h="854075">
                <a:moveTo>
                  <a:pt x="742988" y="690651"/>
                </a:moveTo>
                <a:lnTo>
                  <a:pt x="742988" y="686371"/>
                </a:lnTo>
                <a:lnTo>
                  <a:pt x="739508" y="682879"/>
                </a:lnTo>
                <a:lnTo>
                  <a:pt x="735177" y="682879"/>
                </a:lnTo>
              </a:path>
              <a:path w="843915" h="854075">
                <a:moveTo>
                  <a:pt x="440423" y="0"/>
                </a:moveTo>
                <a:lnTo>
                  <a:pt x="426667" y="2779"/>
                </a:lnTo>
                <a:lnTo>
                  <a:pt x="415423" y="10356"/>
                </a:lnTo>
                <a:lnTo>
                  <a:pt x="407837" y="21591"/>
                </a:lnTo>
                <a:lnTo>
                  <a:pt x="405053" y="35344"/>
                </a:lnTo>
              </a:path>
              <a:path w="843915" h="854075">
                <a:moveTo>
                  <a:pt x="375424" y="165049"/>
                </a:moveTo>
                <a:lnTo>
                  <a:pt x="375424" y="21577"/>
                </a:lnTo>
              </a:path>
              <a:path w="843915" h="854075">
                <a:moveTo>
                  <a:pt x="375424" y="165049"/>
                </a:moveTo>
                <a:lnTo>
                  <a:pt x="375424" y="21577"/>
                </a:lnTo>
              </a:path>
              <a:path w="843915" h="854075">
                <a:moveTo>
                  <a:pt x="375424" y="23329"/>
                </a:moveTo>
                <a:lnTo>
                  <a:pt x="375424" y="163296"/>
                </a:lnTo>
              </a:path>
              <a:path w="843915" h="854075">
                <a:moveTo>
                  <a:pt x="375424" y="165049"/>
                </a:moveTo>
                <a:lnTo>
                  <a:pt x="375424" y="21577"/>
                </a:lnTo>
              </a:path>
              <a:path w="843915" h="854075">
                <a:moveTo>
                  <a:pt x="321652" y="21577"/>
                </a:moveTo>
                <a:lnTo>
                  <a:pt x="321652" y="165049"/>
                </a:lnTo>
              </a:path>
              <a:path w="843915" h="854075">
                <a:moveTo>
                  <a:pt x="321652" y="165049"/>
                </a:moveTo>
                <a:lnTo>
                  <a:pt x="321652" y="21577"/>
                </a:lnTo>
              </a:path>
              <a:path w="843915" h="854075">
                <a:moveTo>
                  <a:pt x="291947" y="35344"/>
                </a:moveTo>
                <a:lnTo>
                  <a:pt x="289175" y="21591"/>
                </a:lnTo>
                <a:lnTo>
                  <a:pt x="281609" y="10356"/>
                </a:lnTo>
                <a:lnTo>
                  <a:pt x="270377" y="2779"/>
                </a:lnTo>
                <a:lnTo>
                  <a:pt x="256603" y="0"/>
                </a:lnTo>
              </a:path>
              <a:path w="843915" h="854075">
                <a:moveTo>
                  <a:pt x="256603" y="0"/>
                </a:moveTo>
                <a:lnTo>
                  <a:pt x="242871" y="2779"/>
                </a:lnTo>
                <a:lnTo>
                  <a:pt x="231643" y="10356"/>
                </a:lnTo>
                <a:lnTo>
                  <a:pt x="224065" y="21591"/>
                </a:lnTo>
                <a:lnTo>
                  <a:pt x="221284" y="35344"/>
                </a:lnTo>
              </a:path>
              <a:path w="843915" h="854075">
                <a:moveTo>
                  <a:pt x="191579" y="165049"/>
                </a:moveTo>
                <a:lnTo>
                  <a:pt x="191579" y="21577"/>
                </a:lnTo>
              </a:path>
              <a:path w="843915" h="854075">
                <a:moveTo>
                  <a:pt x="191579" y="165049"/>
                </a:moveTo>
                <a:lnTo>
                  <a:pt x="191579" y="21577"/>
                </a:lnTo>
              </a:path>
              <a:path w="843915" h="854075">
                <a:moveTo>
                  <a:pt x="321652" y="165049"/>
                </a:moveTo>
                <a:lnTo>
                  <a:pt x="321652" y="21577"/>
                </a:lnTo>
              </a:path>
              <a:path w="843915" h="854075">
                <a:moveTo>
                  <a:pt x="191579" y="23329"/>
                </a:moveTo>
                <a:lnTo>
                  <a:pt x="191579" y="163296"/>
                </a:lnTo>
              </a:path>
              <a:path w="843915" h="854075">
                <a:moveTo>
                  <a:pt x="191579" y="165049"/>
                </a:moveTo>
                <a:lnTo>
                  <a:pt x="191579" y="21577"/>
                </a:lnTo>
              </a:path>
              <a:path w="843915" h="854075">
                <a:moveTo>
                  <a:pt x="137871" y="21577"/>
                </a:moveTo>
                <a:lnTo>
                  <a:pt x="137871" y="165049"/>
                </a:lnTo>
              </a:path>
              <a:path w="843915" h="854075">
                <a:moveTo>
                  <a:pt x="137871" y="165049"/>
                </a:moveTo>
                <a:lnTo>
                  <a:pt x="137871" y="21577"/>
                </a:lnTo>
              </a:path>
              <a:path w="843915" h="854075">
                <a:moveTo>
                  <a:pt x="108153" y="35344"/>
                </a:moveTo>
                <a:lnTo>
                  <a:pt x="105383" y="21591"/>
                </a:lnTo>
                <a:lnTo>
                  <a:pt x="97823" y="10356"/>
                </a:lnTo>
                <a:lnTo>
                  <a:pt x="86598" y="2779"/>
                </a:lnTo>
                <a:lnTo>
                  <a:pt x="72834" y="0"/>
                </a:lnTo>
              </a:path>
              <a:path w="843915" h="854075">
                <a:moveTo>
                  <a:pt x="72834" y="0"/>
                </a:moveTo>
                <a:lnTo>
                  <a:pt x="59077" y="2779"/>
                </a:lnTo>
                <a:lnTo>
                  <a:pt x="47842" y="10356"/>
                </a:lnTo>
                <a:lnTo>
                  <a:pt x="40267" y="21591"/>
                </a:lnTo>
                <a:lnTo>
                  <a:pt x="37490" y="35344"/>
                </a:lnTo>
              </a:path>
              <a:path w="843915" h="854075">
                <a:moveTo>
                  <a:pt x="7785" y="165049"/>
                </a:moveTo>
                <a:lnTo>
                  <a:pt x="7785" y="21577"/>
                </a:lnTo>
              </a:path>
              <a:path w="843915" h="854075">
                <a:moveTo>
                  <a:pt x="7785" y="165049"/>
                </a:moveTo>
                <a:lnTo>
                  <a:pt x="7785" y="21577"/>
                </a:lnTo>
              </a:path>
              <a:path w="843915" h="854075">
                <a:moveTo>
                  <a:pt x="137871" y="165049"/>
                </a:moveTo>
                <a:lnTo>
                  <a:pt x="137871" y="21577"/>
                </a:lnTo>
              </a:path>
              <a:path w="843915" h="854075">
                <a:moveTo>
                  <a:pt x="7785" y="23329"/>
                </a:moveTo>
                <a:lnTo>
                  <a:pt x="7785" y="163296"/>
                </a:lnTo>
              </a:path>
              <a:path w="843915" h="854075">
                <a:moveTo>
                  <a:pt x="7785" y="165049"/>
                </a:moveTo>
                <a:lnTo>
                  <a:pt x="7785" y="21577"/>
                </a:lnTo>
              </a:path>
              <a:path w="843915" h="854075">
                <a:moveTo>
                  <a:pt x="207873" y="174752"/>
                </a:moveTo>
                <a:lnTo>
                  <a:pt x="200456" y="174371"/>
                </a:lnTo>
              </a:path>
              <a:path w="843915" h="854075">
                <a:moveTo>
                  <a:pt x="37490" y="188874"/>
                </a:moveTo>
                <a:lnTo>
                  <a:pt x="37490" y="181356"/>
                </a:lnTo>
                <a:lnTo>
                  <a:pt x="31610" y="175145"/>
                </a:lnTo>
                <a:lnTo>
                  <a:pt x="24079" y="174752"/>
                </a:lnTo>
              </a:path>
              <a:path w="843915" h="854075">
                <a:moveTo>
                  <a:pt x="24079" y="174752"/>
                </a:moveTo>
                <a:lnTo>
                  <a:pt x="16624" y="174371"/>
                </a:lnTo>
              </a:path>
              <a:path w="843915" h="854075">
                <a:moveTo>
                  <a:pt x="7785" y="165049"/>
                </a:moveTo>
                <a:lnTo>
                  <a:pt x="7785" y="170002"/>
                </a:lnTo>
                <a:lnTo>
                  <a:pt x="11658" y="174104"/>
                </a:lnTo>
                <a:lnTo>
                  <a:pt x="16624" y="174371"/>
                </a:lnTo>
              </a:path>
              <a:path w="843915" h="854075">
                <a:moveTo>
                  <a:pt x="0" y="171069"/>
                </a:moveTo>
                <a:lnTo>
                  <a:pt x="4343" y="171069"/>
                </a:lnTo>
                <a:lnTo>
                  <a:pt x="7785" y="167589"/>
                </a:lnTo>
                <a:lnTo>
                  <a:pt x="7785" y="163296"/>
                </a:lnTo>
              </a:path>
              <a:path w="843915" h="854075">
                <a:moveTo>
                  <a:pt x="145656" y="171069"/>
                </a:moveTo>
                <a:lnTo>
                  <a:pt x="183819" y="171069"/>
                </a:lnTo>
              </a:path>
              <a:path w="843915" h="854075">
                <a:moveTo>
                  <a:pt x="137871" y="163296"/>
                </a:moveTo>
                <a:lnTo>
                  <a:pt x="137871" y="167589"/>
                </a:lnTo>
                <a:lnTo>
                  <a:pt x="141351" y="171069"/>
                </a:lnTo>
                <a:lnTo>
                  <a:pt x="145656" y="171069"/>
                </a:lnTo>
              </a:path>
              <a:path w="843915" h="854075">
                <a:moveTo>
                  <a:pt x="129019" y="174371"/>
                </a:moveTo>
                <a:lnTo>
                  <a:pt x="133997" y="174104"/>
                </a:lnTo>
                <a:lnTo>
                  <a:pt x="137871" y="170002"/>
                </a:lnTo>
                <a:lnTo>
                  <a:pt x="137871" y="165049"/>
                </a:lnTo>
              </a:path>
              <a:path w="843915" h="854075">
                <a:moveTo>
                  <a:pt x="121589" y="174752"/>
                </a:moveTo>
                <a:lnTo>
                  <a:pt x="114058" y="175145"/>
                </a:lnTo>
                <a:lnTo>
                  <a:pt x="108153" y="181356"/>
                </a:lnTo>
                <a:lnTo>
                  <a:pt x="108153" y="188874"/>
                </a:lnTo>
              </a:path>
              <a:path w="843915" h="854075">
                <a:moveTo>
                  <a:pt x="121589" y="174752"/>
                </a:moveTo>
                <a:lnTo>
                  <a:pt x="129019" y="174371"/>
                </a:lnTo>
              </a:path>
              <a:path w="843915" h="854075">
                <a:moveTo>
                  <a:pt x="191579" y="165049"/>
                </a:moveTo>
                <a:lnTo>
                  <a:pt x="191579" y="170002"/>
                </a:lnTo>
                <a:lnTo>
                  <a:pt x="195478" y="174104"/>
                </a:lnTo>
                <a:lnTo>
                  <a:pt x="200456" y="174371"/>
                </a:lnTo>
              </a:path>
              <a:path w="843915" h="854075">
                <a:moveTo>
                  <a:pt x="183819" y="171069"/>
                </a:moveTo>
                <a:lnTo>
                  <a:pt x="188125" y="171069"/>
                </a:lnTo>
                <a:lnTo>
                  <a:pt x="191579" y="167589"/>
                </a:lnTo>
                <a:lnTo>
                  <a:pt x="191579" y="163296"/>
                </a:lnTo>
              </a:path>
              <a:path w="843915" h="854075">
                <a:moveTo>
                  <a:pt x="321652" y="163296"/>
                </a:moveTo>
                <a:lnTo>
                  <a:pt x="321652" y="167589"/>
                </a:lnTo>
                <a:lnTo>
                  <a:pt x="325145" y="171069"/>
                </a:lnTo>
                <a:lnTo>
                  <a:pt x="329438" y="171069"/>
                </a:lnTo>
              </a:path>
              <a:path w="843915" h="854075">
                <a:moveTo>
                  <a:pt x="312813" y="174371"/>
                </a:moveTo>
                <a:lnTo>
                  <a:pt x="317766" y="174104"/>
                </a:lnTo>
                <a:lnTo>
                  <a:pt x="321652" y="170002"/>
                </a:lnTo>
                <a:lnTo>
                  <a:pt x="321652" y="165049"/>
                </a:lnTo>
              </a:path>
              <a:path w="843915" h="854075">
                <a:moveTo>
                  <a:pt x="221284" y="188874"/>
                </a:moveTo>
                <a:lnTo>
                  <a:pt x="221284" y="181356"/>
                </a:lnTo>
                <a:lnTo>
                  <a:pt x="215404" y="175145"/>
                </a:lnTo>
                <a:lnTo>
                  <a:pt x="207873" y="174752"/>
                </a:lnTo>
              </a:path>
              <a:path w="843915" h="854075">
                <a:moveTo>
                  <a:pt x="305358" y="174752"/>
                </a:moveTo>
                <a:lnTo>
                  <a:pt x="297891" y="175145"/>
                </a:lnTo>
                <a:lnTo>
                  <a:pt x="291947" y="181356"/>
                </a:lnTo>
                <a:lnTo>
                  <a:pt x="291947" y="188874"/>
                </a:lnTo>
              </a:path>
              <a:path w="843915" h="854075">
                <a:moveTo>
                  <a:pt x="305358" y="174752"/>
                </a:moveTo>
                <a:lnTo>
                  <a:pt x="312813" y="174371"/>
                </a:lnTo>
              </a:path>
              <a:path w="843915" h="854075">
                <a:moveTo>
                  <a:pt x="375424" y="165049"/>
                </a:moveTo>
                <a:lnTo>
                  <a:pt x="375424" y="170002"/>
                </a:lnTo>
                <a:lnTo>
                  <a:pt x="379272" y="174104"/>
                </a:lnTo>
                <a:lnTo>
                  <a:pt x="384225" y="174371"/>
                </a:lnTo>
              </a:path>
              <a:path w="843915" h="854075">
                <a:moveTo>
                  <a:pt x="367614" y="171069"/>
                </a:moveTo>
                <a:lnTo>
                  <a:pt x="371894" y="171069"/>
                </a:lnTo>
                <a:lnTo>
                  <a:pt x="375424" y="167589"/>
                </a:lnTo>
                <a:lnTo>
                  <a:pt x="375424" y="163296"/>
                </a:lnTo>
              </a:path>
              <a:path w="843915" h="854075">
                <a:moveTo>
                  <a:pt x="329438" y="171069"/>
                </a:moveTo>
                <a:lnTo>
                  <a:pt x="367614" y="171069"/>
                </a:lnTo>
              </a:path>
              <a:path w="843915" h="854075">
                <a:moveTo>
                  <a:pt x="391706" y="174752"/>
                </a:moveTo>
                <a:lnTo>
                  <a:pt x="384225" y="174371"/>
                </a:lnTo>
              </a:path>
              <a:path w="843915" h="854075">
                <a:moveTo>
                  <a:pt x="405053" y="188874"/>
                </a:moveTo>
                <a:lnTo>
                  <a:pt x="405053" y="181356"/>
                </a:lnTo>
                <a:lnTo>
                  <a:pt x="399173" y="175145"/>
                </a:lnTo>
                <a:lnTo>
                  <a:pt x="391706" y="174752"/>
                </a:lnTo>
              </a:path>
              <a:path w="843915" h="854075">
                <a:moveTo>
                  <a:pt x="200456" y="12268"/>
                </a:moveTo>
                <a:lnTo>
                  <a:pt x="226352" y="10909"/>
                </a:lnTo>
              </a:path>
              <a:path w="843915" h="854075">
                <a:moveTo>
                  <a:pt x="16624" y="12268"/>
                </a:moveTo>
                <a:lnTo>
                  <a:pt x="42545" y="10909"/>
                </a:lnTo>
              </a:path>
              <a:path w="843915" h="854075">
                <a:moveTo>
                  <a:pt x="16624" y="12268"/>
                </a:moveTo>
                <a:lnTo>
                  <a:pt x="11658" y="12522"/>
                </a:lnTo>
                <a:lnTo>
                  <a:pt x="7785" y="16624"/>
                </a:lnTo>
                <a:lnTo>
                  <a:pt x="7785" y="21577"/>
                </a:lnTo>
              </a:path>
              <a:path w="843915" h="854075">
                <a:moveTo>
                  <a:pt x="7785" y="23329"/>
                </a:moveTo>
                <a:lnTo>
                  <a:pt x="7785" y="19037"/>
                </a:lnTo>
                <a:lnTo>
                  <a:pt x="4343" y="15557"/>
                </a:lnTo>
                <a:lnTo>
                  <a:pt x="0" y="15557"/>
                </a:lnTo>
              </a:path>
              <a:path w="843915" h="854075">
                <a:moveTo>
                  <a:pt x="42545" y="10909"/>
                </a:moveTo>
                <a:lnTo>
                  <a:pt x="45554" y="10756"/>
                </a:lnTo>
                <a:lnTo>
                  <a:pt x="48348" y="9677"/>
                </a:lnTo>
                <a:lnTo>
                  <a:pt x="50685" y="7810"/>
                </a:lnTo>
              </a:path>
              <a:path w="843915" h="854075">
                <a:moveTo>
                  <a:pt x="145656" y="15557"/>
                </a:moveTo>
                <a:lnTo>
                  <a:pt x="183819" y="15557"/>
                </a:lnTo>
              </a:path>
              <a:path w="843915" h="854075">
                <a:moveTo>
                  <a:pt x="145656" y="15557"/>
                </a:moveTo>
                <a:lnTo>
                  <a:pt x="141351" y="15557"/>
                </a:lnTo>
                <a:lnTo>
                  <a:pt x="137871" y="19037"/>
                </a:lnTo>
                <a:lnTo>
                  <a:pt x="137871" y="23329"/>
                </a:lnTo>
              </a:path>
              <a:path w="843915" h="854075">
                <a:moveTo>
                  <a:pt x="137871" y="21577"/>
                </a:moveTo>
                <a:lnTo>
                  <a:pt x="137871" y="16624"/>
                </a:lnTo>
                <a:lnTo>
                  <a:pt x="133997" y="12522"/>
                </a:lnTo>
                <a:lnTo>
                  <a:pt x="129019" y="12268"/>
                </a:lnTo>
              </a:path>
              <a:path w="843915" h="854075">
                <a:moveTo>
                  <a:pt x="94970" y="7810"/>
                </a:moveTo>
                <a:lnTo>
                  <a:pt x="97294" y="9677"/>
                </a:lnTo>
                <a:lnTo>
                  <a:pt x="100152" y="10756"/>
                </a:lnTo>
                <a:lnTo>
                  <a:pt x="103124" y="10909"/>
                </a:lnTo>
              </a:path>
              <a:path w="843915" h="854075">
                <a:moveTo>
                  <a:pt x="129019" y="12268"/>
                </a:moveTo>
                <a:lnTo>
                  <a:pt x="103124" y="10909"/>
                </a:lnTo>
              </a:path>
              <a:path w="843915" h="854075">
                <a:moveTo>
                  <a:pt x="200456" y="12268"/>
                </a:moveTo>
                <a:lnTo>
                  <a:pt x="195478" y="12522"/>
                </a:lnTo>
                <a:lnTo>
                  <a:pt x="191579" y="16624"/>
                </a:lnTo>
                <a:lnTo>
                  <a:pt x="191579" y="21577"/>
                </a:lnTo>
              </a:path>
              <a:path w="843915" h="854075">
                <a:moveTo>
                  <a:pt x="191579" y="23329"/>
                </a:moveTo>
                <a:lnTo>
                  <a:pt x="191579" y="19037"/>
                </a:lnTo>
                <a:lnTo>
                  <a:pt x="188125" y="15557"/>
                </a:lnTo>
                <a:lnTo>
                  <a:pt x="183819" y="15557"/>
                </a:lnTo>
              </a:path>
              <a:path w="843915" h="854075">
                <a:moveTo>
                  <a:pt x="329438" y="15557"/>
                </a:moveTo>
                <a:lnTo>
                  <a:pt x="325145" y="15557"/>
                </a:lnTo>
                <a:lnTo>
                  <a:pt x="321652" y="19037"/>
                </a:lnTo>
                <a:lnTo>
                  <a:pt x="321652" y="23329"/>
                </a:lnTo>
              </a:path>
              <a:path w="843915" h="854075">
                <a:moveTo>
                  <a:pt x="321652" y="21577"/>
                </a:moveTo>
                <a:lnTo>
                  <a:pt x="321652" y="16624"/>
                </a:lnTo>
                <a:lnTo>
                  <a:pt x="317766" y="12522"/>
                </a:lnTo>
                <a:lnTo>
                  <a:pt x="312813" y="12268"/>
                </a:lnTo>
              </a:path>
              <a:path w="843915" h="854075">
                <a:moveTo>
                  <a:pt x="226352" y="10909"/>
                </a:moveTo>
                <a:lnTo>
                  <a:pt x="229323" y="10756"/>
                </a:lnTo>
                <a:lnTo>
                  <a:pt x="232181" y="9677"/>
                </a:lnTo>
                <a:lnTo>
                  <a:pt x="234454" y="7810"/>
                </a:lnTo>
              </a:path>
              <a:path w="843915" h="854075">
                <a:moveTo>
                  <a:pt x="278752" y="7810"/>
                </a:moveTo>
                <a:lnTo>
                  <a:pt x="281089" y="9677"/>
                </a:lnTo>
                <a:lnTo>
                  <a:pt x="283946" y="10756"/>
                </a:lnTo>
                <a:lnTo>
                  <a:pt x="286893" y="10909"/>
                </a:lnTo>
              </a:path>
              <a:path w="843915" h="854075">
                <a:moveTo>
                  <a:pt x="312813" y="12268"/>
                </a:moveTo>
                <a:lnTo>
                  <a:pt x="286893" y="10909"/>
                </a:lnTo>
              </a:path>
              <a:path w="843915" h="854075">
                <a:moveTo>
                  <a:pt x="384225" y="12268"/>
                </a:moveTo>
                <a:lnTo>
                  <a:pt x="379272" y="12522"/>
                </a:lnTo>
                <a:lnTo>
                  <a:pt x="375424" y="16624"/>
                </a:lnTo>
                <a:lnTo>
                  <a:pt x="375424" y="21577"/>
                </a:lnTo>
              </a:path>
              <a:path w="843915" h="854075">
                <a:moveTo>
                  <a:pt x="375424" y="23329"/>
                </a:moveTo>
                <a:lnTo>
                  <a:pt x="375424" y="19037"/>
                </a:lnTo>
                <a:lnTo>
                  <a:pt x="371894" y="15557"/>
                </a:lnTo>
                <a:lnTo>
                  <a:pt x="367614" y="15557"/>
                </a:lnTo>
              </a:path>
              <a:path w="843915" h="854075">
                <a:moveTo>
                  <a:pt x="329438" y="15557"/>
                </a:moveTo>
                <a:lnTo>
                  <a:pt x="367614" y="15557"/>
                </a:lnTo>
              </a:path>
              <a:path w="843915" h="854075">
                <a:moveTo>
                  <a:pt x="384225" y="12268"/>
                </a:moveTo>
                <a:lnTo>
                  <a:pt x="410146" y="10909"/>
                </a:lnTo>
              </a:path>
              <a:path w="843915" h="854075">
                <a:moveTo>
                  <a:pt x="410146" y="10909"/>
                </a:moveTo>
                <a:lnTo>
                  <a:pt x="413105" y="10756"/>
                </a:lnTo>
                <a:lnTo>
                  <a:pt x="415950" y="9677"/>
                </a:lnTo>
                <a:lnTo>
                  <a:pt x="418274" y="7810"/>
                </a:lnTo>
              </a:path>
              <a:path w="843915" h="854075">
                <a:moveTo>
                  <a:pt x="742988" y="165049"/>
                </a:moveTo>
                <a:lnTo>
                  <a:pt x="742988" y="21577"/>
                </a:lnTo>
              </a:path>
              <a:path w="843915" h="854075">
                <a:moveTo>
                  <a:pt x="742988" y="165049"/>
                </a:moveTo>
                <a:lnTo>
                  <a:pt x="742988" y="21577"/>
                </a:lnTo>
              </a:path>
              <a:path w="843915" h="854075">
                <a:moveTo>
                  <a:pt x="689254" y="165049"/>
                </a:moveTo>
                <a:lnTo>
                  <a:pt x="689254" y="21577"/>
                </a:lnTo>
              </a:path>
              <a:path w="843915" h="854075">
                <a:moveTo>
                  <a:pt x="689254" y="21577"/>
                </a:moveTo>
                <a:lnTo>
                  <a:pt x="689254" y="165049"/>
                </a:lnTo>
              </a:path>
              <a:path w="843915" h="854075">
                <a:moveTo>
                  <a:pt x="742988" y="165049"/>
                </a:moveTo>
                <a:lnTo>
                  <a:pt x="742988" y="21577"/>
                </a:lnTo>
              </a:path>
              <a:path w="843915" h="854075">
                <a:moveTo>
                  <a:pt x="742988" y="23329"/>
                </a:moveTo>
                <a:lnTo>
                  <a:pt x="742988" y="163296"/>
                </a:lnTo>
              </a:path>
              <a:path w="843915" h="854075">
                <a:moveTo>
                  <a:pt x="659561" y="35344"/>
                </a:moveTo>
                <a:lnTo>
                  <a:pt x="656782" y="21591"/>
                </a:lnTo>
                <a:lnTo>
                  <a:pt x="649206" y="10356"/>
                </a:lnTo>
                <a:lnTo>
                  <a:pt x="637975" y="2779"/>
                </a:lnTo>
                <a:lnTo>
                  <a:pt x="624230" y="0"/>
                </a:lnTo>
              </a:path>
              <a:path w="843915" h="854075">
                <a:moveTo>
                  <a:pt x="624230" y="0"/>
                </a:moveTo>
                <a:lnTo>
                  <a:pt x="610460" y="2779"/>
                </a:lnTo>
                <a:lnTo>
                  <a:pt x="599222" y="10356"/>
                </a:lnTo>
                <a:lnTo>
                  <a:pt x="591649" y="21591"/>
                </a:lnTo>
                <a:lnTo>
                  <a:pt x="588873" y="35344"/>
                </a:lnTo>
              </a:path>
              <a:path w="843915" h="854075">
                <a:moveTo>
                  <a:pt x="559193" y="165049"/>
                </a:moveTo>
                <a:lnTo>
                  <a:pt x="559193" y="21577"/>
                </a:lnTo>
              </a:path>
              <a:path w="843915" h="854075">
                <a:moveTo>
                  <a:pt x="559193" y="165049"/>
                </a:moveTo>
                <a:lnTo>
                  <a:pt x="559193" y="21577"/>
                </a:lnTo>
              </a:path>
              <a:path w="843915" h="854075">
                <a:moveTo>
                  <a:pt x="689254" y="165049"/>
                </a:moveTo>
                <a:lnTo>
                  <a:pt x="689254" y="21577"/>
                </a:lnTo>
              </a:path>
              <a:path w="843915" h="854075">
                <a:moveTo>
                  <a:pt x="505460" y="165049"/>
                </a:moveTo>
                <a:lnTo>
                  <a:pt x="505460" y="21577"/>
                </a:lnTo>
              </a:path>
              <a:path w="843915" h="854075">
                <a:moveTo>
                  <a:pt x="505460" y="21577"/>
                </a:moveTo>
                <a:lnTo>
                  <a:pt x="505460" y="165049"/>
                </a:lnTo>
              </a:path>
              <a:path w="843915" h="854075">
                <a:moveTo>
                  <a:pt x="559193" y="165049"/>
                </a:moveTo>
                <a:lnTo>
                  <a:pt x="559193" y="21577"/>
                </a:lnTo>
              </a:path>
              <a:path w="843915" h="854075">
                <a:moveTo>
                  <a:pt x="559193" y="23329"/>
                </a:moveTo>
                <a:lnTo>
                  <a:pt x="559193" y="163296"/>
                </a:lnTo>
              </a:path>
              <a:path w="843915" h="854075">
                <a:moveTo>
                  <a:pt x="475780" y="35344"/>
                </a:moveTo>
                <a:lnTo>
                  <a:pt x="472998" y="21591"/>
                </a:lnTo>
                <a:lnTo>
                  <a:pt x="465416" y="10356"/>
                </a:lnTo>
                <a:lnTo>
                  <a:pt x="454177" y="2779"/>
                </a:lnTo>
                <a:lnTo>
                  <a:pt x="440423" y="0"/>
                </a:lnTo>
              </a:path>
              <a:path w="843915" h="854075">
                <a:moveTo>
                  <a:pt x="505460" y="165049"/>
                </a:moveTo>
                <a:lnTo>
                  <a:pt x="505460" y="21577"/>
                </a:lnTo>
              </a:path>
              <a:path w="843915" h="854075">
                <a:moveTo>
                  <a:pt x="672998" y="174752"/>
                </a:moveTo>
                <a:lnTo>
                  <a:pt x="665441" y="175145"/>
                </a:lnTo>
                <a:lnTo>
                  <a:pt x="659561" y="181356"/>
                </a:lnTo>
                <a:lnTo>
                  <a:pt x="659561" y="188874"/>
                </a:lnTo>
              </a:path>
              <a:path w="843915" h="854075">
                <a:moveTo>
                  <a:pt x="551408" y="171069"/>
                </a:moveTo>
                <a:lnTo>
                  <a:pt x="555701" y="171069"/>
                </a:lnTo>
                <a:lnTo>
                  <a:pt x="559193" y="167589"/>
                </a:lnTo>
                <a:lnTo>
                  <a:pt x="559193" y="163296"/>
                </a:lnTo>
              </a:path>
              <a:path w="843915" h="854075">
                <a:moveTo>
                  <a:pt x="489153" y="174752"/>
                </a:moveTo>
                <a:lnTo>
                  <a:pt x="496608" y="174371"/>
                </a:lnTo>
              </a:path>
              <a:path w="843915" h="854075">
                <a:moveTo>
                  <a:pt x="489153" y="174752"/>
                </a:moveTo>
                <a:lnTo>
                  <a:pt x="481660" y="175145"/>
                </a:lnTo>
                <a:lnTo>
                  <a:pt x="475780" y="181356"/>
                </a:lnTo>
                <a:lnTo>
                  <a:pt x="475780" y="188874"/>
                </a:lnTo>
              </a:path>
              <a:path w="843915" h="854075">
                <a:moveTo>
                  <a:pt x="513207" y="171069"/>
                </a:moveTo>
                <a:lnTo>
                  <a:pt x="551408" y="171069"/>
                </a:lnTo>
              </a:path>
              <a:path w="843915" h="854075">
                <a:moveTo>
                  <a:pt x="505460" y="163296"/>
                </a:moveTo>
                <a:lnTo>
                  <a:pt x="505460" y="167589"/>
                </a:lnTo>
                <a:lnTo>
                  <a:pt x="508939" y="171069"/>
                </a:lnTo>
                <a:lnTo>
                  <a:pt x="513207" y="171069"/>
                </a:lnTo>
              </a:path>
              <a:path w="843915" h="854075">
                <a:moveTo>
                  <a:pt x="496608" y="174371"/>
                </a:moveTo>
                <a:lnTo>
                  <a:pt x="501548" y="174104"/>
                </a:lnTo>
                <a:lnTo>
                  <a:pt x="505460" y="170002"/>
                </a:lnTo>
                <a:lnTo>
                  <a:pt x="505460" y="165049"/>
                </a:lnTo>
              </a:path>
              <a:path w="843915" h="854075">
                <a:moveTo>
                  <a:pt x="575475" y="174752"/>
                </a:moveTo>
                <a:lnTo>
                  <a:pt x="568032" y="174371"/>
                </a:lnTo>
              </a:path>
              <a:path w="843915" h="854075">
                <a:moveTo>
                  <a:pt x="588873" y="188874"/>
                </a:moveTo>
                <a:lnTo>
                  <a:pt x="588873" y="181356"/>
                </a:lnTo>
                <a:lnTo>
                  <a:pt x="582968" y="175145"/>
                </a:lnTo>
                <a:lnTo>
                  <a:pt x="575475" y="174752"/>
                </a:lnTo>
              </a:path>
              <a:path w="843915" h="854075">
                <a:moveTo>
                  <a:pt x="559193" y="165049"/>
                </a:moveTo>
                <a:lnTo>
                  <a:pt x="559193" y="170002"/>
                </a:lnTo>
                <a:lnTo>
                  <a:pt x="563067" y="174104"/>
                </a:lnTo>
                <a:lnTo>
                  <a:pt x="568032" y="174371"/>
                </a:lnTo>
              </a:path>
              <a:path w="843915" h="854075">
                <a:moveTo>
                  <a:pt x="697014" y="171069"/>
                </a:moveTo>
                <a:lnTo>
                  <a:pt x="735177" y="171069"/>
                </a:lnTo>
              </a:path>
              <a:path w="843915" h="854075">
                <a:moveTo>
                  <a:pt x="689254" y="163296"/>
                </a:moveTo>
                <a:lnTo>
                  <a:pt x="689254" y="167589"/>
                </a:lnTo>
                <a:lnTo>
                  <a:pt x="692721" y="171069"/>
                </a:lnTo>
                <a:lnTo>
                  <a:pt x="697014" y="171069"/>
                </a:lnTo>
              </a:path>
              <a:path w="843915" h="854075">
                <a:moveTo>
                  <a:pt x="680389" y="174371"/>
                </a:moveTo>
                <a:lnTo>
                  <a:pt x="685342" y="174104"/>
                </a:lnTo>
                <a:lnTo>
                  <a:pt x="689254" y="170002"/>
                </a:lnTo>
                <a:lnTo>
                  <a:pt x="689254" y="165049"/>
                </a:lnTo>
              </a:path>
              <a:path w="843915" h="854075">
                <a:moveTo>
                  <a:pt x="672998" y="174752"/>
                </a:moveTo>
                <a:lnTo>
                  <a:pt x="680389" y="174371"/>
                </a:lnTo>
              </a:path>
              <a:path w="843915" h="854075">
                <a:moveTo>
                  <a:pt x="735177" y="171069"/>
                </a:moveTo>
                <a:lnTo>
                  <a:pt x="739508" y="171069"/>
                </a:lnTo>
                <a:lnTo>
                  <a:pt x="742988" y="167589"/>
                </a:lnTo>
                <a:lnTo>
                  <a:pt x="742988" y="163296"/>
                </a:lnTo>
              </a:path>
              <a:path w="843915" h="854075">
                <a:moveTo>
                  <a:pt x="680389" y="12268"/>
                </a:moveTo>
                <a:lnTo>
                  <a:pt x="654469" y="10909"/>
                </a:lnTo>
              </a:path>
              <a:path w="843915" h="854075">
                <a:moveTo>
                  <a:pt x="559193" y="23329"/>
                </a:moveTo>
                <a:lnTo>
                  <a:pt x="559193" y="19037"/>
                </a:lnTo>
                <a:lnTo>
                  <a:pt x="555701" y="15557"/>
                </a:lnTo>
                <a:lnTo>
                  <a:pt x="551408" y="15557"/>
                </a:lnTo>
              </a:path>
              <a:path w="843915" h="854075">
                <a:moveTo>
                  <a:pt x="496608" y="12268"/>
                </a:moveTo>
                <a:lnTo>
                  <a:pt x="470674" y="10909"/>
                </a:lnTo>
              </a:path>
              <a:path w="843915" h="854075">
                <a:moveTo>
                  <a:pt x="462546" y="7810"/>
                </a:moveTo>
                <a:lnTo>
                  <a:pt x="464883" y="9677"/>
                </a:lnTo>
                <a:lnTo>
                  <a:pt x="467741" y="10756"/>
                </a:lnTo>
                <a:lnTo>
                  <a:pt x="470674" y="10909"/>
                </a:lnTo>
              </a:path>
              <a:path w="843915" h="854075">
                <a:moveTo>
                  <a:pt x="513207" y="15557"/>
                </a:moveTo>
                <a:lnTo>
                  <a:pt x="551408" y="15557"/>
                </a:lnTo>
              </a:path>
              <a:path w="843915" h="854075">
                <a:moveTo>
                  <a:pt x="513207" y="15557"/>
                </a:moveTo>
                <a:lnTo>
                  <a:pt x="508939" y="15557"/>
                </a:lnTo>
                <a:lnTo>
                  <a:pt x="505460" y="19037"/>
                </a:lnTo>
                <a:lnTo>
                  <a:pt x="505460" y="23329"/>
                </a:lnTo>
              </a:path>
              <a:path w="843915" h="854075">
                <a:moveTo>
                  <a:pt x="505460" y="21577"/>
                </a:moveTo>
                <a:lnTo>
                  <a:pt x="505460" y="16624"/>
                </a:lnTo>
                <a:lnTo>
                  <a:pt x="501548" y="12522"/>
                </a:lnTo>
                <a:lnTo>
                  <a:pt x="496608" y="12268"/>
                </a:lnTo>
              </a:path>
              <a:path w="843915" h="854075">
                <a:moveTo>
                  <a:pt x="568032" y="12268"/>
                </a:moveTo>
                <a:lnTo>
                  <a:pt x="593953" y="10909"/>
                </a:lnTo>
              </a:path>
              <a:path w="843915" h="854075">
                <a:moveTo>
                  <a:pt x="593953" y="10909"/>
                </a:moveTo>
                <a:lnTo>
                  <a:pt x="596900" y="10756"/>
                </a:lnTo>
                <a:lnTo>
                  <a:pt x="599744" y="9677"/>
                </a:lnTo>
                <a:lnTo>
                  <a:pt x="602068" y="7810"/>
                </a:lnTo>
              </a:path>
              <a:path w="843915" h="854075">
                <a:moveTo>
                  <a:pt x="568032" y="12268"/>
                </a:moveTo>
                <a:lnTo>
                  <a:pt x="563067" y="12522"/>
                </a:lnTo>
                <a:lnTo>
                  <a:pt x="559193" y="16624"/>
                </a:lnTo>
                <a:lnTo>
                  <a:pt x="559193" y="21577"/>
                </a:lnTo>
              </a:path>
              <a:path w="843915" h="854075">
                <a:moveTo>
                  <a:pt x="646379" y="7810"/>
                </a:moveTo>
                <a:lnTo>
                  <a:pt x="648665" y="9677"/>
                </a:lnTo>
                <a:lnTo>
                  <a:pt x="651510" y="10756"/>
                </a:lnTo>
                <a:lnTo>
                  <a:pt x="654469" y="10909"/>
                </a:lnTo>
              </a:path>
              <a:path w="843915" h="854075">
                <a:moveTo>
                  <a:pt x="697014" y="15557"/>
                </a:moveTo>
                <a:lnTo>
                  <a:pt x="735177" y="15557"/>
                </a:lnTo>
              </a:path>
              <a:path w="843915" h="854075">
                <a:moveTo>
                  <a:pt x="697014" y="15557"/>
                </a:moveTo>
                <a:lnTo>
                  <a:pt x="692721" y="15557"/>
                </a:lnTo>
                <a:lnTo>
                  <a:pt x="689254" y="19037"/>
                </a:lnTo>
                <a:lnTo>
                  <a:pt x="689254" y="23329"/>
                </a:lnTo>
              </a:path>
              <a:path w="843915" h="854075">
                <a:moveTo>
                  <a:pt x="689254" y="21577"/>
                </a:moveTo>
                <a:lnTo>
                  <a:pt x="689254" y="16624"/>
                </a:lnTo>
                <a:lnTo>
                  <a:pt x="685342" y="12522"/>
                </a:lnTo>
                <a:lnTo>
                  <a:pt x="680389" y="12268"/>
                </a:lnTo>
              </a:path>
              <a:path w="843915" h="854075">
                <a:moveTo>
                  <a:pt x="742988" y="23329"/>
                </a:moveTo>
                <a:lnTo>
                  <a:pt x="742988" y="19037"/>
                </a:lnTo>
                <a:lnTo>
                  <a:pt x="739508" y="15557"/>
                </a:lnTo>
                <a:lnTo>
                  <a:pt x="735177" y="15557"/>
                </a:lnTo>
              </a:path>
              <a:path w="843915" h="854075">
                <a:moveTo>
                  <a:pt x="772668" y="819226"/>
                </a:moveTo>
                <a:lnTo>
                  <a:pt x="772668" y="35344"/>
                </a:lnTo>
              </a:path>
              <a:path w="843915" h="854075">
                <a:moveTo>
                  <a:pt x="843356" y="818616"/>
                </a:moveTo>
                <a:lnTo>
                  <a:pt x="843356" y="35344"/>
                </a:lnTo>
              </a:path>
            </a:pathLst>
          </a:custGeom>
          <a:ln w="10071">
            <a:solidFill>
              <a:srgbClr val="000000"/>
            </a:solidFill>
          </a:ln>
        </xdr:spPr>
      </xdr:sp>
      <xdr:pic>
        <xdr:nvPicPr>
          <xdr:cNvPr id="256" name="image95.png">
            <a:extLst>
              <a:ext uri="{FF2B5EF4-FFF2-40B4-BE49-F238E27FC236}">
                <a16:creationId xmlns:a16="http://schemas.microsoft.com/office/drawing/2014/main" id="{541557AE-282E-FE09-840B-018CF7B790FA}"/>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1624421" y="1144650"/>
            <a:ext cx="179730" cy="198940"/>
          </a:xfrm>
          <a:prstGeom prst="rect">
            <a:avLst/>
          </a:prstGeom>
        </xdr:spPr>
      </xdr:pic>
      <xdr:pic>
        <xdr:nvPicPr>
          <xdr:cNvPr id="257" name="image96.png">
            <a:extLst>
              <a:ext uri="{FF2B5EF4-FFF2-40B4-BE49-F238E27FC236}">
                <a16:creationId xmlns:a16="http://schemas.microsoft.com/office/drawing/2014/main" id="{97B94FF6-17FF-F8B3-12C1-13148E5DD155}"/>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1624421" y="479564"/>
            <a:ext cx="179730" cy="198932"/>
          </a:xfrm>
          <a:prstGeom prst="rect">
            <a:avLst/>
          </a:prstGeom>
        </xdr:spPr>
      </xdr:pic>
      <xdr:sp macro="" textlink="">
        <xdr:nvSpPr>
          <xdr:cNvPr id="258" name="Shape 757">
            <a:extLst>
              <a:ext uri="{FF2B5EF4-FFF2-40B4-BE49-F238E27FC236}">
                <a16:creationId xmlns:a16="http://schemas.microsoft.com/office/drawing/2014/main" id="{CC712A00-E6DA-875B-F786-EE82B21E217C}"/>
              </a:ext>
            </a:extLst>
          </xdr:cNvPr>
          <xdr:cNvSpPr/>
        </xdr:nvSpPr>
        <xdr:spPr>
          <a:xfrm>
            <a:off x="41876" y="42456"/>
            <a:ext cx="1985010" cy="1563370"/>
          </a:xfrm>
          <a:custGeom>
            <a:avLst/>
            <a:gdLst/>
            <a:ahLst/>
            <a:cxnLst/>
            <a:rect l="0" t="0" r="0" b="0"/>
            <a:pathLst>
              <a:path w="1985010" h="1563370">
                <a:moveTo>
                  <a:pt x="484797" y="407327"/>
                </a:moveTo>
                <a:lnTo>
                  <a:pt x="484797" y="171259"/>
                </a:lnTo>
              </a:path>
              <a:path w="1985010" h="1563370">
                <a:moveTo>
                  <a:pt x="445211" y="424637"/>
                </a:moveTo>
                <a:lnTo>
                  <a:pt x="445211" y="0"/>
                </a:lnTo>
              </a:path>
              <a:path w="1985010" h="1563370">
                <a:moveTo>
                  <a:pt x="541350" y="227812"/>
                </a:moveTo>
                <a:lnTo>
                  <a:pt x="626414" y="227812"/>
                </a:lnTo>
              </a:path>
              <a:path w="1985010" h="1563370">
                <a:moveTo>
                  <a:pt x="388658" y="227812"/>
                </a:moveTo>
                <a:lnTo>
                  <a:pt x="215201" y="227812"/>
                </a:lnTo>
              </a:path>
              <a:path w="1985010" h="1563370">
                <a:moveTo>
                  <a:pt x="1718475" y="407327"/>
                </a:moveTo>
                <a:lnTo>
                  <a:pt x="1718475" y="171259"/>
                </a:lnTo>
              </a:path>
              <a:path w="1985010" h="1563370">
                <a:moveTo>
                  <a:pt x="1758022" y="424637"/>
                </a:moveTo>
                <a:lnTo>
                  <a:pt x="1758022" y="0"/>
                </a:lnTo>
              </a:path>
              <a:path w="1985010" h="1563370">
                <a:moveTo>
                  <a:pt x="1661909" y="227812"/>
                </a:moveTo>
                <a:lnTo>
                  <a:pt x="1576819" y="227812"/>
                </a:lnTo>
              </a:path>
              <a:path w="1985010" h="1563370">
                <a:moveTo>
                  <a:pt x="1814563" y="227812"/>
                </a:moveTo>
                <a:lnTo>
                  <a:pt x="1984933" y="227812"/>
                </a:lnTo>
              </a:path>
              <a:path w="1985010" h="1563370">
                <a:moveTo>
                  <a:pt x="445211" y="227812"/>
                </a:moveTo>
                <a:lnTo>
                  <a:pt x="484797" y="227812"/>
                </a:lnTo>
              </a:path>
              <a:path w="1985010" h="1563370">
                <a:moveTo>
                  <a:pt x="1718475" y="227812"/>
                </a:moveTo>
                <a:lnTo>
                  <a:pt x="1758022" y="227812"/>
                </a:lnTo>
              </a:path>
              <a:path w="1985010" h="1563370">
                <a:moveTo>
                  <a:pt x="493280" y="442302"/>
                </a:moveTo>
                <a:lnTo>
                  <a:pt x="0" y="442302"/>
                </a:lnTo>
              </a:path>
              <a:path w="1985010" h="1563370">
                <a:moveTo>
                  <a:pt x="493280" y="1296250"/>
                </a:moveTo>
                <a:lnTo>
                  <a:pt x="0" y="1296250"/>
                </a:lnTo>
              </a:path>
              <a:path w="1985010" h="1563370">
                <a:moveTo>
                  <a:pt x="56553" y="498855"/>
                </a:moveTo>
                <a:lnTo>
                  <a:pt x="56553" y="1239685"/>
                </a:lnTo>
              </a:path>
              <a:path w="1985010" h="1563370">
                <a:moveTo>
                  <a:pt x="484797" y="407327"/>
                </a:moveTo>
                <a:lnTo>
                  <a:pt x="484797" y="171259"/>
                </a:lnTo>
              </a:path>
              <a:path w="1985010" h="1563370">
                <a:moveTo>
                  <a:pt x="1718475" y="407327"/>
                </a:moveTo>
                <a:lnTo>
                  <a:pt x="1718475" y="171259"/>
                </a:lnTo>
              </a:path>
              <a:path w="1985010" h="1563370">
                <a:moveTo>
                  <a:pt x="541350" y="56553"/>
                </a:moveTo>
                <a:lnTo>
                  <a:pt x="1661909" y="56553"/>
                </a:lnTo>
              </a:path>
              <a:path w="1985010" h="1563370">
                <a:moveTo>
                  <a:pt x="388658" y="1201813"/>
                </a:moveTo>
                <a:lnTo>
                  <a:pt x="169659" y="1201813"/>
                </a:lnTo>
              </a:path>
              <a:path w="1985010" h="1563370">
                <a:moveTo>
                  <a:pt x="388658" y="534479"/>
                </a:moveTo>
                <a:lnTo>
                  <a:pt x="169659" y="534479"/>
                </a:lnTo>
              </a:path>
              <a:path w="1985010" h="1563370">
                <a:moveTo>
                  <a:pt x="226212" y="1145260"/>
                </a:moveTo>
                <a:lnTo>
                  <a:pt x="226212" y="591045"/>
                </a:lnTo>
              </a:path>
              <a:path w="1985010" h="1563370">
                <a:moveTo>
                  <a:pt x="614870" y="1329321"/>
                </a:moveTo>
                <a:lnTo>
                  <a:pt x="614870" y="1563268"/>
                </a:lnTo>
              </a:path>
              <a:path w="1985010" h="1563370">
                <a:moveTo>
                  <a:pt x="798664" y="1329321"/>
                </a:moveTo>
                <a:lnTo>
                  <a:pt x="798664" y="1563268"/>
                </a:lnTo>
              </a:path>
              <a:path w="1985010" h="1563370">
                <a:moveTo>
                  <a:pt x="615149" y="1506715"/>
                </a:moveTo>
                <a:lnTo>
                  <a:pt x="797737" y="1506715"/>
                </a:lnTo>
              </a:path>
              <a:path w="1985010" h="1563370">
                <a:moveTo>
                  <a:pt x="473456" y="1506715"/>
                </a:moveTo>
                <a:lnTo>
                  <a:pt x="544169" y="1506715"/>
                </a:lnTo>
              </a:path>
              <a:path w="1985010" h="1563370">
                <a:moveTo>
                  <a:pt x="871601" y="1506715"/>
                </a:moveTo>
                <a:lnTo>
                  <a:pt x="942314" y="1506715"/>
                </a:lnTo>
              </a:path>
              <a:path w="1985010" h="1563370">
                <a:moveTo>
                  <a:pt x="1166241" y="1329321"/>
                </a:moveTo>
                <a:lnTo>
                  <a:pt x="1166241" y="1563268"/>
                </a:lnTo>
              </a:path>
              <a:path w="1985010" h="1563370">
                <a:moveTo>
                  <a:pt x="1220012" y="1329321"/>
                </a:moveTo>
                <a:lnTo>
                  <a:pt x="1220012" y="1563268"/>
                </a:lnTo>
              </a:path>
              <a:path w="1985010" h="1563370">
                <a:moveTo>
                  <a:pt x="1087043" y="1506715"/>
                </a:moveTo>
                <a:lnTo>
                  <a:pt x="1030478" y="1506715"/>
                </a:lnTo>
              </a:path>
              <a:path w="1985010" h="1563370">
                <a:moveTo>
                  <a:pt x="1276515" y="1506715"/>
                </a:moveTo>
                <a:lnTo>
                  <a:pt x="1475790" y="1506715"/>
                </a:lnTo>
              </a:path>
              <a:path w="1985010" h="1563370">
                <a:moveTo>
                  <a:pt x="1166241" y="1506715"/>
                </a:moveTo>
                <a:lnTo>
                  <a:pt x="1220012" y="1506715"/>
                </a:lnTo>
              </a:path>
            </a:pathLst>
          </a:custGeom>
          <a:ln w="6045">
            <a:solidFill>
              <a:srgbClr val="000000"/>
            </a:solidFill>
          </a:ln>
        </xdr:spPr>
      </xdr:sp>
      <xdr:sp macro="" textlink="">
        <xdr:nvSpPr>
          <xdr:cNvPr id="259" name="Shape 758">
            <a:extLst>
              <a:ext uri="{FF2B5EF4-FFF2-40B4-BE49-F238E27FC236}">
                <a16:creationId xmlns:a16="http://schemas.microsoft.com/office/drawing/2014/main" id="{7A2D6994-C1E8-D475-F9DB-6BAB3EC4431C}"/>
              </a:ext>
            </a:extLst>
          </xdr:cNvPr>
          <xdr:cNvSpPr/>
        </xdr:nvSpPr>
        <xdr:spPr>
          <a:xfrm>
            <a:off x="-6" y="3"/>
            <a:ext cx="2006600" cy="1569720"/>
          </a:xfrm>
          <a:custGeom>
            <a:avLst/>
            <a:gdLst/>
            <a:ahLst/>
            <a:cxnLst/>
            <a:rect l="0" t="0" r="0" b="0"/>
            <a:pathLst>
              <a:path w="2006600" h="1569720">
                <a:moveTo>
                  <a:pt x="71894" y="881722"/>
                </a:moveTo>
                <a:lnTo>
                  <a:pt x="0" y="881722"/>
                </a:lnTo>
                <a:lnTo>
                  <a:pt x="0" y="891286"/>
                </a:lnTo>
                <a:lnTo>
                  <a:pt x="30911" y="891286"/>
                </a:lnTo>
                <a:lnTo>
                  <a:pt x="30911" y="929144"/>
                </a:lnTo>
                <a:lnTo>
                  <a:pt x="0" y="929144"/>
                </a:lnTo>
                <a:lnTo>
                  <a:pt x="0" y="938720"/>
                </a:lnTo>
                <a:lnTo>
                  <a:pt x="71894" y="938720"/>
                </a:lnTo>
                <a:lnTo>
                  <a:pt x="71894" y="929144"/>
                </a:lnTo>
                <a:lnTo>
                  <a:pt x="38963" y="929144"/>
                </a:lnTo>
                <a:lnTo>
                  <a:pt x="38963" y="891286"/>
                </a:lnTo>
                <a:lnTo>
                  <a:pt x="71894" y="891286"/>
                </a:lnTo>
                <a:lnTo>
                  <a:pt x="71894" y="881722"/>
                </a:lnTo>
                <a:close/>
              </a:path>
              <a:path w="2006600" h="1569720">
                <a:moveTo>
                  <a:pt x="118414" y="1238796"/>
                </a:moveTo>
                <a:lnTo>
                  <a:pt x="78460" y="1238796"/>
                </a:lnTo>
                <a:lnTo>
                  <a:pt x="98425" y="1338707"/>
                </a:lnTo>
                <a:lnTo>
                  <a:pt x="118414" y="1238796"/>
                </a:lnTo>
                <a:close/>
              </a:path>
              <a:path w="2006600" h="1569720">
                <a:moveTo>
                  <a:pt x="118414" y="584669"/>
                </a:moveTo>
                <a:lnTo>
                  <a:pt x="98425" y="484771"/>
                </a:lnTo>
                <a:lnTo>
                  <a:pt x="78460" y="584669"/>
                </a:lnTo>
                <a:lnTo>
                  <a:pt x="118414" y="584669"/>
                </a:lnTo>
                <a:close/>
              </a:path>
              <a:path w="2006600" h="1569720">
                <a:moveTo>
                  <a:pt x="241554" y="881824"/>
                </a:moveTo>
                <a:lnTo>
                  <a:pt x="169659" y="881824"/>
                </a:lnTo>
                <a:lnTo>
                  <a:pt x="169659" y="890892"/>
                </a:lnTo>
                <a:lnTo>
                  <a:pt x="227965" y="890892"/>
                </a:lnTo>
                <a:lnTo>
                  <a:pt x="227965" y="891108"/>
                </a:lnTo>
                <a:lnTo>
                  <a:pt x="169659" y="928966"/>
                </a:lnTo>
                <a:lnTo>
                  <a:pt x="169659" y="939139"/>
                </a:lnTo>
                <a:lnTo>
                  <a:pt x="241554" y="939139"/>
                </a:lnTo>
                <a:lnTo>
                  <a:pt x="241554" y="930071"/>
                </a:lnTo>
                <a:lnTo>
                  <a:pt x="183845" y="930071"/>
                </a:lnTo>
                <a:lnTo>
                  <a:pt x="183845" y="929881"/>
                </a:lnTo>
                <a:lnTo>
                  <a:pt x="241554" y="892314"/>
                </a:lnTo>
                <a:lnTo>
                  <a:pt x="241554" y="881824"/>
                </a:lnTo>
                <a:close/>
              </a:path>
              <a:path w="2006600" h="1569720">
                <a:moveTo>
                  <a:pt x="288061" y="1144358"/>
                </a:moveTo>
                <a:lnTo>
                  <a:pt x="248107" y="1144358"/>
                </a:lnTo>
                <a:lnTo>
                  <a:pt x="268084" y="1244269"/>
                </a:lnTo>
                <a:lnTo>
                  <a:pt x="288061" y="1144358"/>
                </a:lnTo>
                <a:close/>
              </a:path>
              <a:path w="2006600" h="1569720">
                <a:moveTo>
                  <a:pt x="288061" y="676846"/>
                </a:moveTo>
                <a:lnTo>
                  <a:pt x="268084" y="576935"/>
                </a:lnTo>
                <a:lnTo>
                  <a:pt x="248107" y="676846"/>
                </a:lnTo>
                <a:lnTo>
                  <a:pt x="288061" y="676846"/>
                </a:lnTo>
                <a:close/>
              </a:path>
              <a:path w="2006600" h="1569720">
                <a:moveTo>
                  <a:pt x="304863" y="171678"/>
                </a:moveTo>
                <a:lnTo>
                  <a:pt x="298310" y="171678"/>
                </a:lnTo>
                <a:lnTo>
                  <a:pt x="296392" y="182460"/>
                </a:lnTo>
                <a:lnTo>
                  <a:pt x="287528" y="185077"/>
                </a:lnTo>
                <a:lnTo>
                  <a:pt x="277749" y="185077"/>
                </a:lnTo>
                <a:lnTo>
                  <a:pt x="277749" y="191935"/>
                </a:lnTo>
                <a:lnTo>
                  <a:pt x="296303" y="191935"/>
                </a:lnTo>
                <a:lnTo>
                  <a:pt x="296303" y="243141"/>
                </a:lnTo>
                <a:lnTo>
                  <a:pt x="304863" y="243141"/>
                </a:lnTo>
                <a:lnTo>
                  <a:pt x="304863" y="171678"/>
                </a:lnTo>
                <a:close/>
              </a:path>
              <a:path w="2006600" h="1569720">
                <a:moveTo>
                  <a:pt x="370700" y="213995"/>
                </a:moveTo>
                <a:lnTo>
                  <a:pt x="366471" y="207137"/>
                </a:lnTo>
                <a:lnTo>
                  <a:pt x="357797" y="205219"/>
                </a:lnTo>
                <a:lnTo>
                  <a:pt x="357797" y="205016"/>
                </a:lnTo>
                <a:lnTo>
                  <a:pt x="363245" y="202501"/>
                </a:lnTo>
                <a:lnTo>
                  <a:pt x="367677" y="197053"/>
                </a:lnTo>
                <a:lnTo>
                  <a:pt x="367677" y="190804"/>
                </a:lnTo>
                <a:lnTo>
                  <a:pt x="366026" y="182245"/>
                </a:lnTo>
                <a:lnTo>
                  <a:pt x="361442" y="176276"/>
                </a:lnTo>
                <a:lnTo>
                  <a:pt x="354533" y="172796"/>
                </a:lnTo>
                <a:lnTo>
                  <a:pt x="345897" y="171653"/>
                </a:lnTo>
                <a:lnTo>
                  <a:pt x="336486" y="173355"/>
                </a:lnTo>
                <a:lnTo>
                  <a:pt x="329692" y="178092"/>
                </a:lnTo>
                <a:lnTo>
                  <a:pt x="325488" y="185394"/>
                </a:lnTo>
                <a:lnTo>
                  <a:pt x="323837" y="194741"/>
                </a:lnTo>
                <a:lnTo>
                  <a:pt x="332384" y="194741"/>
                </a:lnTo>
                <a:lnTo>
                  <a:pt x="332486" y="186372"/>
                </a:lnTo>
                <a:lnTo>
                  <a:pt x="336524" y="179209"/>
                </a:lnTo>
                <a:lnTo>
                  <a:pt x="353161" y="179209"/>
                </a:lnTo>
                <a:lnTo>
                  <a:pt x="358609" y="183235"/>
                </a:lnTo>
                <a:lnTo>
                  <a:pt x="358609" y="198462"/>
                </a:lnTo>
                <a:lnTo>
                  <a:pt x="352247" y="202399"/>
                </a:lnTo>
                <a:lnTo>
                  <a:pt x="341261" y="202298"/>
                </a:lnTo>
                <a:lnTo>
                  <a:pt x="341261" y="209550"/>
                </a:lnTo>
                <a:lnTo>
                  <a:pt x="344678" y="209245"/>
                </a:lnTo>
                <a:lnTo>
                  <a:pt x="354876" y="209245"/>
                </a:lnTo>
                <a:lnTo>
                  <a:pt x="361632" y="213995"/>
                </a:lnTo>
                <a:lnTo>
                  <a:pt x="361632" y="231622"/>
                </a:lnTo>
                <a:lnTo>
                  <a:pt x="354482" y="236766"/>
                </a:lnTo>
                <a:lnTo>
                  <a:pt x="336321" y="236766"/>
                </a:lnTo>
                <a:lnTo>
                  <a:pt x="331190" y="230314"/>
                </a:lnTo>
                <a:lnTo>
                  <a:pt x="330873" y="221043"/>
                </a:lnTo>
                <a:lnTo>
                  <a:pt x="322326" y="221043"/>
                </a:lnTo>
                <a:lnTo>
                  <a:pt x="323875" y="230898"/>
                </a:lnTo>
                <a:lnTo>
                  <a:pt x="328650" y="238213"/>
                </a:lnTo>
                <a:lnTo>
                  <a:pt x="336219" y="242760"/>
                </a:lnTo>
                <a:lnTo>
                  <a:pt x="346100" y="244322"/>
                </a:lnTo>
                <a:lnTo>
                  <a:pt x="355612" y="242938"/>
                </a:lnTo>
                <a:lnTo>
                  <a:pt x="363435" y="238810"/>
                </a:lnTo>
                <a:lnTo>
                  <a:pt x="368744" y="232003"/>
                </a:lnTo>
                <a:lnTo>
                  <a:pt x="370700" y="222554"/>
                </a:lnTo>
                <a:lnTo>
                  <a:pt x="370700" y="213995"/>
                </a:lnTo>
                <a:close/>
              </a:path>
              <a:path w="2006600" h="1569720">
                <a:moveTo>
                  <a:pt x="487083" y="270281"/>
                </a:moveTo>
                <a:lnTo>
                  <a:pt x="387184" y="250291"/>
                </a:lnTo>
                <a:lnTo>
                  <a:pt x="387184" y="290245"/>
                </a:lnTo>
                <a:lnTo>
                  <a:pt x="487083" y="270281"/>
                </a:lnTo>
                <a:close/>
              </a:path>
              <a:path w="2006600" h="1569720">
                <a:moveTo>
                  <a:pt x="583755" y="79019"/>
                </a:moveTo>
                <a:lnTo>
                  <a:pt x="483857" y="99009"/>
                </a:lnTo>
                <a:lnTo>
                  <a:pt x="583755" y="118973"/>
                </a:lnTo>
                <a:lnTo>
                  <a:pt x="583755" y="79019"/>
                </a:lnTo>
                <a:close/>
              </a:path>
              <a:path w="2006600" h="1569720">
                <a:moveTo>
                  <a:pt x="626579" y="250291"/>
                </a:moveTo>
                <a:lnTo>
                  <a:pt x="526681" y="270281"/>
                </a:lnTo>
                <a:lnTo>
                  <a:pt x="626579" y="290245"/>
                </a:lnTo>
                <a:lnTo>
                  <a:pt x="626579" y="250291"/>
                </a:lnTo>
                <a:close/>
              </a:path>
              <a:path w="2006600" h="1569720">
                <a:moveTo>
                  <a:pt x="652487" y="1549196"/>
                </a:moveTo>
                <a:lnTo>
                  <a:pt x="552551" y="1529194"/>
                </a:lnTo>
                <a:lnTo>
                  <a:pt x="552551" y="1569135"/>
                </a:lnTo>
                <a:lnTo>
                  <a:pt x="652487" y="1549196"/>
                </a:lnTo>
                <a:close/>
              </a:path>
              <a:path w="2006600" h="1569720">
                <a:moveTo>
                  <a:pt x="747217" y="1499793"/>
                </a:moveTo>
                <a:lnTo>
                  <a:pt x="745871" y="1491526"/>
                </a:lnTo>
                <a:lnTo>
                  <a:pt x="745845" y="1491335"/>
                </a:lnTo>
                <a:lnTo>
                  <a:pt x="745731" y="1490599"/>
                </a:lnTo>
                <a:lnTo>
                  <a:pt x="741972" y="1484172"/>
                </a:lnTo>
                <a:lnTo>
                  <a:pt x="741426" y="1483258"/>
                </a:lnTo>
                <a:lnTo>
                  <a:pt x="738162" y="1480947"/>
                </a:lnTo>
                <a:lnTo>
                  <a:pt x="738162" y="1508861"/>
                </a:lnTo>
                <a:lnTo>
                  <a:pt x="733018" y="1516189"/>
                </a:lnTo>
                <a:lnTo>
                  <a:pt x="714400" y="1516189"/>
                </a:lnTo>
                <a:lnTo>
                  <a:pt x="708964" y="1509153"/>
                </a:lnTo>
                <a:lnTo>
                  <a:pt x="708964" y="1491335"/>
                </a:lnTo>
                <a:lnTo>
                  <a:pt x="712863" y="1485988"/>
                </a:lnTo>
                <a:lnTo>
                  <a:pt x="714197" y="1484172"/>
                </a:lnTo>
                <a:lnTo>
                  <a:pt x="733539" y="1484172"/>
                </a:lnTo>
                <a:lnTo>
                  <a:pt x="738035" y="1491335"/>
                </a:lnTo>
                <a:lnTo>
                  <a:pt x="738162" y="1508861"/>
                </a:lnTo>
                <a:lnTo>
                  <a:pt x="738162" y="1480947"/>
                </a:lnTo>
                <a:lnTo>
                  <a:pt x="734568" y="1478381"/>
                </a:lnTo>
                <a:lnTo>
                  <a:pt x="725373" y="1476616"/>
                </a:lnTo>
                <a:lnTo>
                  <a:pt x="717626" y="1476616"/>
                </a:lnTo>
                <a:lnTo>
                  <a:pt x="711581" y="1479448"/>
                </a:lnTo>
                <a:lnTo>
                  <a:pt x="707682" y="1485785"/>
                </a:lnTo>
                <a:lnTo>
                  <a:pt x="707555" y="1485988"/>
                </a:lnTo>
                <a:lnTo>
                  <a:pt x="724662" y="1458709"/>
                </a:lnTo>
                <a:lnTo>
                  <a:pt x="731405" y="1458709"/>
                </a:lnTo>
                <a:lnTo>
                  <a:pt x="735850" y="1462925"/>
                </a:lnTo>
                <a:lnTo>
                  <a:pt x="736663" y="1469390"/>
                </a:lnTo>
                <a:lnTo>
                  <a:pt x="745223" y="1469390"/>
                </a:lnTo>
                <a:lnTo>
                  <a:pt x="743305" y="1461655"/>
                </a:lnTo>
                <a:lnTo>
                  <a:pt x="741184" y="1458709"/>
                </a:lnTo>
                <a:lnTo>
                  <a:pt x="739190" y="1455928"/>
                </a:lnTo>
                <a:lnTo>
                  <a:pt x="733044" y="1452372"/>
                </a:lnTo>
                <a:lnTo>
                  <a:pt x="725081" y="1451152"/>
                </a:lnTo>
                <a:lnTo>
                  <a:pt x="712393" y="1454365"/>
                </a:lnTo>
                <a:lnTo>
                  <a:pt x="704303" y="1462925"/>
                </a:lnTo>
                <a:lnTo>
                  <a:pt x="700049" y="1475168"/>
                </a:lnTo>
                <a:lnTo>
                  <a:pt x="698804" y="1489430"/>
                </a:lnTo>
                <a:lnTo>
                  <a:pt x="699566" y="1499793"/>
                </a:lnTo>
                <a:lnTo>
                  <a:pt x="699668" y="1501114"/>
                </a:lnTo>
                <a:lnTo>
                  <a:pt x="703148" y="1512214"/>
                </a:lnTo>
                <a:lnTo>
                  <a:pt x="710603" y="1520494"/>
                </a:lnTo>
                <a:lnTo>
                  <a:pt x="723366" y="1523746"/>
                </a:lnTo>
                <a:lnTo>
                  <a:pt x="734695" y="1521460"/>
                </a:lnTo>
                <a:lnTo>
                  <a:pt x="741375" y="1516189"/>
                </a:lnTo>
                <a:lnTo>
                  <a:pt x="742048" y="1515656"/>
                </a:lnTo>
                <a:lnTo>
                  <a:pt x="746023" y="1507909"/>
                </a:lnTo>
                <a:lnTo>
                  <a:pt x="747217" y="1499793"/>
                </a:lnTo>
                <a:close/>
              </a:path>
              <a:path w="2006600" h="1569720">
                <a:moveTo>
                  <a:pt x="802220" y="1499984"/>
                </a:moveTo>
                <a:lnTo>
                  <a:pt x="800392" y="1489278"/>
                </a:lnTo>
                <a:lnTo>
                  <a:pt x="795439" y="1481645"/>
                </a:lnTo>
                <a:lnTo>
                  <a:pt x="788098" y="1477048"/>
                </a:lnTo>
                <a:lnTo>
                  <a:pt x="779145" y="1475524"/>
                </a:lnTo>
                <a:lnTo>
                  <a:pt x="774331" y="1475524"/>
                </a:lnTo>
                <a:lnTo>
                  <a:pt x="768972" y="1477137"/>
                </a:lnTo>
                <a:lnTo>
                  <a:pt x="765848" y="1480654"/>
                </a:lnTo>
                <a:lnTo>
                  <a:pt x="765657" y="1480464"/>
                </a:lnTo>
                <a:lnTo>
                  <a:pt x="769493" y="1459903"/>
                </a:lnTo>
                <a:lnTo>
                  <a:pt x="798283" y="1459903"/>
                </a:lnTo>
                <a:lnTo>
                  <a:pt x="798283" y="1452346"/>
                </a:lnTo>
                <a:lnTo>
                  <a:pt x="763041" y="1452346"/>
                </a:lnTo>
                <a:lnTo>
                  <a:pt x="756386" y="1489430"/>
                </a:lnTo>
                <a:lnTo>
                  <a:pt x="763739" y="1489824"/>
                </a:lnTo>
                <a:lnTo>
                  <a:pt x="767067" y="1485785"/>
                </a:lnTo>
                <a:lnTo>
                  <a:pt x="771588" y="1483067"/>
                </a:lnTo>
                <a:lnTo>
                  <a:pt x="786599" y="1483067"/>
                </a:lnTo>
                <a:lnTo>
                  <a:pt x="793153" y="1489824"/>
                </a:lnTo>
                <a:lnTo>
                  <a:pt x="793153" y="1510665"/>
                </a:lnTo>
                <a:lnTo>
                  <a:pt x="786206" y="1516189"/>
                </a:lnTo>
                <a:lnTo>
                  <a:pt x="769493" y="1516189"/>
                </a:lnTo>
                <a:lnTo>
                  <a:pt x="763549" y="1510665"/>
                </a:lnTo>
                <a:lnTo>
                  <a:pt x="763041" y="1503311"/>
                </a:lnTo>
                <a:lnTo>
                  <a:pt x="754481" y="1503311"/>
                </a:lnTo>
                <a:lnTo>
                  <a:pt x="756412" y="1511935"/>
                </a:lnTo>
                <a:lnTo>
                  <a:pt x="761314" y="1518361"/>
                </a:lnTo>
                <a:lnTo>
                  <a:pt x="768489" y="1522361"/>
                </a:lnTo>
                <a:lnTo>
                  <a:pt x="777240" y="1523746"/>
                </a:lnTo>
                <a:lnTo>
                  <a:pt x="788149" y="1521739"/>
                </a:lnTo>
                <a:lnTo>
                  <a:pt x="795959" y="1516405"/>
                </a:lnTo>
                <a:lnTo>
                  <a:pt x="800646" y="1508798"/>
                </a:lnTo>
                <a:lnTo>
                  <a:pt x="802220" y="1499984"/>
                </a:lnTo>
                <a:close/>
              </a:path>
              <a:path w="2006600" h="1569720">
                <a:moveTo>
                  <a:pt x="942403" y="1529194"/>
                </a:moveTo>
                <a:lnTo>
                  <a:pt x="842467" y="1549196"/>
                </a:lnTo>
                <a:lnTo>
                  <a:pt x="942403" y="1569135"/>
                </a:lnTo>
                <a:lnTo>
                  <a:pt x="942403" y="1529194"/>
                </a:lnTo>
                <a:close/>
              </a:path>
              <a:path w="2006600" h="1569720">
                <a:moveTo>
                  <a:pt x="1171752" y="63842"/>
                </a:moveTo>
                <a:lnTo>
                  <a:pt x="1133690" y="63842"/>
                </a:lnTo>
                <a:lnTo>
                  <a:pt x="1133690" y="0"/>
                </a:lnTo>
                <a:lnTo>
                  <a:pt x="1124115" y="0"/>
                </a:lnTo>
                <a:lnTo>
                  <a:pt x="1124115" y="71894"/>
                </a:lnTo>
                <a:lnTo>
                  <a:pt x="1171752" y="71894"/>
                </a:lnTo>
                <a:lnTo>
                  <a:pt x="1171752" y="63842"/>
                </a:lnTo>
                <a:close/>
              </a:path>
              <a:path w="2006600" h="1569720">
                <a:moveTo>
                  <a:pt x="1208125" y="1549196"/>
                </a:moveTo>
                <a:lnTo>
                  <a:pt x="1108227" y="1529194"/>
                </a:lnTo>
                <a:lnTo>
                  <a:pt x="1108227" y="1569135"/>
                </a:lnTo>
                <a:lnTo>
                  <a:pt x="1208125" y="1549196"/>
                </a:lnTo>
                <a:close/>
              </a:path>
              <a:path w="2006600" h="1569720">
                <a:moveTo>
                  <a:pt x="1361782" y="1529194"/>
                </a:moveTo>
                <a:lnTo>
                  <a:pt x="1261884" y="1549196"/>
                </a:lnTo>
                <a:lnTo>
                  <a:pt x="1361782" y="1569135"/>
                </a:lnTo>
                <a:lnTo>
                  <a:pt x="1361782" y="1529194"/>
                </a:lnTo>
                <a:close/>
              </a:path>
              <a:path w="2006600" h="1569720">
                <a:moveTo>
                  <a:pt x="1410868" y="1451152"/>
                </a:moveTo>
                <a:lnTo>
                  <a:pt x="1404315" y="1451152"/>
                </a:lnTo>
                <a:lnTo>
                  <a:pt x="1402410" y="1461935"/>
                </a:lnTo>
                <a:lnTo>
                  <a:pt x="1393545" y="1464551"/>
                </a:lnTo>
                <a:lnTo>
                  <a:pt x="1383766" y="1464551"/>
                </a:lnTo>
                <a:lnTo>
                  <a:pt x="1383766" y="1471396"/>
                </a:lnTo>
                <a:lnTo>
                  <a:pt x="1402308" y="1471396"/>
                </a:lnTo>
                <a:lnTo>
                  <a:pt x="1402308" y="1522552"/>
                </a:lnTo>
                <a:lnTo>
                  <a:pt x="1410868" y="1522552"/>
                </a:lnTo>
                <a:lnTo>
                  <a:pt x="1410868" y="1451152"/>
                </a:lnTo>
                <a:close/>
              </a:path>
              <a:path w="2006600" h="1569720">
                <a:moveTo>
                  <a:pt x="1482369" y="1485303"/>
                </a:moveTo>
                <a:lnTo>
                  <a:pt x="1480413" y="1468564"/>
                </a:lnTo>
                <a:lnTo>
                  <a:pt x="1475422" y="1458709"/>
                </a:lnTo>
                <a:lnTo>
                  <a:pt x="1475117" y="1458099"/>
                </a:lnTo>
                <a:lnTo>
                  <a:pt x="1472196" y="1456080"/>
                </a:lnTo>
                <a:lnTo>
                  <a:pt x="1472196" y="1466253"/>
                </a:lnTo>
                <a:lnTo>
                  <a:pt x="1472196" y="1483474"/>
                </a:lnTo>
                <a:lnTo>
                  <a:pt x="1466557" y="1490726"/>
                </a:lnTo>
                <a:lnTo>
                  <a:pt x="1449349" y="1490726"/>
                </a:lnTo>
                <a:lnTo>
                  <a:pt x="1443507" y="1483474"/>
                </a:lnTo>
                <a:lnTo>
                  <a:pt x="1443507" y="1466875"/>
                </a:lnTo>
                <a:lnTo>
                  <a:pt x="1447317" y="1458709"/>
                </a:lnTo>
                <a:lnTo>
                  <a:pt x="1467065" y="1458709"/>
                </a:lnTo>
                <a:lnTo>
                  <a:pt x="1472196" y="1466253"/>
                </a:lnTo>
                <a:lnTo>
                  <a:pt x="1472196" y="1456080"/>
                </a:lnTo>
                <a:lnTo>
                  <a:pt x="1467332" y="1452689"/>
                </a:lnTo>
                <a:lnTo>
                  <a:pt x="1457896" y="1451152"/>
                </a:lnTo>
                <a:lnTo>
                  <a:pt x="1448409" y="1452841"/>
                </a:lnTo>
                <a:lnTo>
                  <a:pt x="1440992" y="1457604"/>
                </a:lnTo>
                <a:lnTo>
                  <a:pt x="1436166" y="1464957"/>
                </a:lnTo>
                <a:lnTo>
                  <a:pt x="1434439" y="1474419"/>
                </a:lnTo>
                <a:lnTo>
                  <a:pt x="1435823" y="1483474"/>
                </a:lnTo>
                <a:lnTo>
                  <a:pt x="1435925" y="1484083"/>
                </a:lnTo>
                <a:lnTo>
                  <a:pt x="1440268" y="1491627"/>
                </a:lnTo>
                <a:lnTo>
                  <a:pt x="1447342" y="1496529"/>
                </a:lnTo>
                <a:lnTo>
                  <a:pt x="1456994" y="1498282"/>
                </a:lnTo>
                <a:lnTo>
                  <a:pt x="1463941" y="1498282"/>
                </a:lnTo>
                <a:lnTo>
                  <a:pt x="1470291" y="1494459"/>
                </a:lnTo>
                <a:lnTo>
                  <a:pt x="1472260" y="1490726"/>
                </a:lnTo>
                <a:lnTo>
                  <a:pt x="1473377" y="1488617"/>
                </a:lnTo>
                <a:lnTo>
                  <a:pt x="1473492" y="1488401"/>
                </a:lnTo>
                <a:lnTo>
                  <a:pt x="1473708" y="1488617"/>
                </a:lnTo>
                <a:lnTo>
                  <a:pt x="1472450" y="1500695"/>
                </a:lnTo>
                <a:lnTo>
                  <a:pt x="1469390" y="1509318"/>
                </a:lnTo>
                <a:lnTo>
                  <a:pt x="1464449" y="1514487"/>
                </a:lnTo>
                <a:lnTo>
                  <a:pt x="1457579" y="1516202"/>
                </a:lnTo>
                <a:lnTo>
                  <a:pt x="1450733" y="1516202"/>
                </a:lnTo>
                <a:lnTo>
                  <a:pt x="1445120" y="1512277"/>
                </a:lnTo>
                <a:lnTo>
                  <a:pt x="1444510" y="1505318"/>
                </a:lnTo>
                <a:lnTo>
                  <a:pt x="1435950" y="1505318"/>
                </a:lnTo>
                <a:lnTo>
                  <a:pt x="1438109" y="1513382"/>
                </a:lnTo>
                <a:lnTo>
                  <a:pt x="1442681" y="1519135"/>
                </a:lnTo>
                <a:lnTo>
                  <a:pt x="1449298" y="1522590"/>
                </a:lnTo>
                <a:lnTo>
                  <a:pt x="1457579" y="1523746"/>
                </a:lnTo>
                <a:lnTo>
                  <a:pt x="1468767" y="1521206"/>
                </a:lnTo>
                <a:lnTo>
                  <a:pt x="1473949" y="1516202"/>
                </a:lnTo>
                <a:lnTo>
                  <a:pt x="1476476" y="1513776"/>
                </a:lnTo>
                <a:lnTo>
                  <a:pt x="1480934" y="1501711"/>
                </a:lnTo>
                <a:lnTo>
                  <a:pt x="1482077" y="1488617"/>
                </a:lnTo>
                <a:lnTo>
                  <a:pt x="1482090" y="1488401"/>
                </a:lnTo>
                <a:lnTo>
                  <a:pt x="1482369" y="1485303"/>
                </a:lnTo>
                <a:close/>
              </a:path>
              <a:path w="2006600" h="1569720">
                <a:moveTo>
                  <a:pt x="1760359" y="270281"/>
                </a:moveTo>
                <a:lnTo>
                  <a:pt x="1660423" y="250291"/>
                </a:lnTo>
                <a:lnTo>
                  <a:pt x="1660423" y="290245"/>
                </a:lnTo>
                <a:lnTo>
                  <a:pt x="1760359" y="270281"/>
                </a:lnTo>
                <a:close/>
              </a:path>
              <a:path w="2006600" h="1569720">
                <a:moveTo>
                  <a:pt x="1803171" y="99009"/>
                </a:moveTo>
                <a:lnTo>
                  <a:pt x="1703235" y="79019"/>
                </a:lnTo>
                <a:lnTo>
                  <a:pt x="1703235" y="118973"/>
                </a:lnTo>
                <a:lnTo>
                  <a:pt x="1803171" y="99009"/>
                </a:lnTo>
                <a:close/>
              </a:path>
              <a:path w="2006600" h="1569720">
                <a:moveTo>
                  <a:pt x="1899831" y="250291"/>
                </a:moveTo>
                <a:lnTo>
                  <a:pt x="1799894" y="270281"/>
                </a:lnTo>
                <a:lnTo>
                  <a:pt x="1899831" y="290245"/>
                </a:lnTo>
                <a:lnTo>
                  <a:pt x="1899831" y="250291"/>
                </a:lnTo>
                <a:close/>
              </a:path>
              <a:path w="2006600" h="1569720">
                <a:moveTo>
                  <a:pt x="1940699" y="171678"/>
                </a:moveTo>
                <a:lnTo>
                  <a:pt x="1934146" y="171678"/>
                </a:lnTo>
                <a:lnTo>
                  <a:pt x="1932228" y="182460"/>
                </a:lnTo>
                <a:lnTo>
                  <a:pt x="1923351" y="185077"/>
                </a:lnTo>
                <a:lnTo>
                  <a:pt x="1913572" y="185077"/>
                </a:lnTo>
                <a:lnTo>
                  <a:pt x="1913572" y="191935"/>
                </a:lnTo>
                <a:lnTo>
                  <a:pt x="1932127" y="191935"/>
                </a:lnTo>
                <a:lnTo>
                  <a:pt x="1932127" y="243141"/>
                </a:lnTo>
                <a:lnTo>
                  <a:pt x="1940699" y="243141"/>
                </a:lnTo>
                <a:lnTo>
                  <a:pt x="1940699" y="171678"/>
                </a:lnTo>
                <a:close/>
              </a:path>
              <a:path w="2006600" h="1569720">
                <a:moveTo>
                  <a:pt x="2006536" y="213995"/>
                </a:moveTo>
                <a:lnTo>
                  <a:pt x="2002307" y="207137"/>
                </a:lnTo>
                <a:lnTo>
                  <a:pt x="1993658" y="205219"/>
                </a:lnTo>
                <a:lnTo>
                  <a:pt x="1993658" y="205016"/>
                </a:lnTo>
                <a:lnTo>
                  <a:pt x="1999094" y="202501"/>
                </a:lnTo>
                <a:lnTo>
                  <a:pt x="2003526" y="197053"/>
                </a:lnTo>
                <a:lnTo>
                  <a:pt x="2003526" y="190804"/>
                </a:lnTo>
                <a:lnTo>
                  <a:pt x="2001862" y="182245"/>
                </a:lnTo>
                <a:lnTo>
                  <a:pt x="1997290" y="176276"/>
                </a:lnTo>
                <a:lnTo>
                  <a:pt x="1990382" y="172796"/>
                </a:lnTo>
                <a:lnTo>
                  <a:pt x="1981746" y="171653"/>
                </a:lnTo>
                <a:lnTo>
                  <a:pt x="1972335" y="173355"/>
                </a:lnTo>
                <a:lnTo>
                  <a:pt x="1965540" y="178092"/>
                </a:lnTo>
                <a:lnTo>
                  <a:pt x="1961324" y="185394"/>
                </a:lnTo>
                <a:lnTo>
                  <a:pt x="1959673" y="194741"/>
                </a:lnTo>
                <a:lnTo>
                  <a:pt x="1968233" y="194741"/>
                </a:lnTo>
                <a:lnTo>
                  <a:pt x="1968334" y="186372"/>
                </a:lnTo>
                <a:lnTo>
                  <a:pt x="1972360" y="179209"/>
                </a:lnTo>
                <a:lnTo>
                  <a:pt x="1988997" y="179209"/>
                </a:lnTo>
                <a:lnTo>
                  <a:pt x="1994458" y="183235"/>
                </a:lnTo>
                <a:lnTo>
                  <a:pt x="1994458" y="198462"/>
                </a:lnTo>
                <a:lnTo>
                  <a:pt x="1988096" y="202399"/>
                </a:lnTo>
                <a:lnTo>
                  <a:pt x="1977097" y="202298"/>
                </a:lnTo>
                <a:lnTo>
                  <a:pt x="1977097" y="209550"/>
                </a:lnTo>
                <a:lnTo>
                  <a:pt x="1980526" y="209245"/>
                </a:lnTo>
                <a:lnTo>
                  <a:pt x="1990712" y="209245"/>
                </a:lnTo>
                <a:lnTo>
                  <a:pt x="1997481" y="213995"/>
                </a:lnTo>
                <a:lnTo>
                  <a:pt x="1997481" y="231622"/>
                </a:lnTo>
                <a:lnTo>
                  <a:pt x="1990331" y="236766"/>
                </a:lnTo>
                <a:lnTo>
                  <a:pt x="1972157" y="236766"/>
                </a:lnTo>
                <a:lnTo>
                  <a:pt x="1967026" y="230314"/>
                </a:lnTo>
                <a:lnTo>
                  <a:pt x="1966722" y="221043"/>
                </a:lnTo>
                <a:lnTo>
                  <a:pt x="1958162" y="221043"/>
                </a:lnTo>
                <a:lnTo>
                  <a:pt x="1959711" y="230898"/>
                </a:lnTo>
                <a:lnTo>
                  <a:pt x="1964499" y="238213"/>
                </a:lnTo>
                <a:lnTo>
                  <a:pt x="1972068" y="242760"/>
                </a:lnTo>
                <a:lnTo>
                  <a:pt x="1981949" y="244322"/>
                </a:lnTo>
                <a:lnTo>
                  <a:pt x="1991448" y="242938"/>
                </a:lnTo>
                <a:lnTo>
                  <a:pt x="1999272" y="238810"/>
                </a:lnTo>
                <a:lnTo>
                  <a:pt x="2004580" y="232003"/>
                </a:lnTo>
                <a:lnTo>
                  <a:pt x="2006536" y="222554"/>
                </a:lnTo>
                <a:lnTo>
                  <a:pt x="2006536" y="213995"/>
                </a:lnTo>
                <a:close/>
              </a:path>
            </a:pathLst>
          </a:custGeom>
          <a:solidFill>
            <a:srgbClr val="000000"/>
          </a:solidFill>
        </xdr:spPr>
      </xdr:sp>
    </xdr:grpSp>
    <xdr:clientData/>
  </xdr:oneCellAnchor>
  <xdr:oneCellAnchor>
    <xdr:from>
      <xdr:col>0</xdr:col>
      <xdr:colOff>58112</xdr:colOff>
      <xdr:row>240</xdr:row>
      <xdr:rowOff>2101148</xdr:rowOff>
    </xdr:from>
    <xdr:ext cx="1807303" cy="603884"/>
    <xdr:pic>
      <xdr:nvPicPr>
        <xdr:cNvPr id="260" name="image97.png">
          <a:extLst>
            <a:ext uri="{FF2B5EF4-FFF2-40B4-BE49-F238E27FC236}">
              <a16:creationId xmlns:a16="http://schemas.microsoft.com/office/drawing/2014/main" id="{2D7C84CB-4A1C-48A3-A9EF-8E27A003E499}"/>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58112" y="61365698"/>
          <a:ext cx="1807303" cy="603884"/>
        </a:xfrm>
        <a:prstGeom prst="rect">
          <a:avLst/>
        </a:prstGeom>
      </xdr:spPr>
    </xdr:pic>
    <xdr:clientData/>
  </xdr:oneCellAnchor>
  <xdr:oneCellAnchor>
    <xdr:from>
      <xdr:col>1</xdr:col>
      <xdr:colOff>0</xdr:colOff>
      <xdr:row>266</xdr:row>
      <xdr:rowOff>295989</xdr:rowOff>
    </xdr:from>
    <xdr:ext cx="3081655" cy="888365"/>
    <xdr:grpSp>
      <xdr:nvGrpSpPr>
        <xdr:cNvPr id="261" name="Group 761">
          <a:extLst>
            <a:ext uri="{FF2B5EF4-FFF2-40B4-BE49-F238E27FC236}">
              <a16:creationId xmlns:a16="http://schemas.microsoft.com/office/drawing/2014/main" id="{68B4D351-AA9A-43F3-89E4-7FA7435CCFD3}"/>
            </a:ext>
          </a:extLst>
        </xdr:cNvPr>
        <xdr:cNvGrpSpPr/>
      </xdr:nvGrpSpPr>
      <xdr:grpSpPr>
        <a:xfrm>
          <a:off x="495300" y="65504139"/>
          <a:ext cx="3081655" cy="888365"/>
          <a:chOff x="0" y="0"/>
          <a:chExt cx="3081655" cy="888365"/>
        </a:xfrm>
      </xdr:grpSpPr>
      <xdr:pic>
        <xdr:nvPicPr>
          <xdr:cNvPr id="262" name="image99.png">
            <a:extLst>
              <a:ext uri="{FF2B5EF4-FFF2-40B4-BE49-F238E27FC236}">
                <a16:creationId xmlns:a16="http://schemas.microsoft.com/office/drawing/2014/main" id="{D337F10D-3892-8589-F83D-6CC1F350ED14}"/>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0" y="0"/>
            <a:ext cx="3081417" cy="888342"/>
          </a:xfrm>
          <a:prstGeom prst="rect">
            <a:avLst/>
          </a:prstGeom>
        </xdr:spPr>
      </xdr:pic>
      <xdr:pic>
        <xdr:nvPicPr>
          <xdr:cNvPr id="263" name="image100.png">
            <a:extLst>
              <a:ext uri="{FF2B5EF4-FFF2-40B4-BE49-F238E27FC236}">
                <a16:creationId xmlns:a16="http://schemas.microsoft.com/office/drawing/2014/main" id="{0DA401CF-13F4-B165-9C67-E389C56166CB}"/>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256324" y="648039"/>
            <a:ext cx="3733" cy="51282"/>
          </a:xfrm>
          <a:prstGeom prst="rect">
            <a:avLst/>
          </a:prstGeom>
        </xdr:spPr>
      </xdr:pic>
      <xdr:sp macro="" textlink="">
        <xdr:nvSpPr>
          <xdr:cNvPr id="264" name="Textbox 764">
            <a:extLst>
              <a:ext uri="{FF2B5EF4-FFF2-40B4-BE49-F238E27FC236}">
                <a16:creationId xmlns:a16="http://schemas.microsoft.com/office/drawing/2014/main" id="{16B39793-BED4-12A4-4705-1C9D78A26CB2}"/>
              </a:ext>
            </a:extLst>
          </xdr:cNvPr>
          <xdr:cNvSpPr txBox="1"/>
        </xdr:nvSpPr>
        <xdr:spPr>
          <a:xfrm>
            <a:off x="64941" y="629457"/>
            <a:ext cx="54610" cy="93345"/>
          </a:xfrm>
          <a:prstGeom prst="rect">
            <a:avLst/>
          </a:prstGeom>
        </xdr:spPr>
        <xdr:txBody>
          <a:bodyPr vertOverflow="clip" lIns="0" tIns="0" rIns="0" bIns="0" anchor="t"/>
          <a:lstStyle/>
          <a:p>
            <a:r>
              <a:rPr sz="600" b="0">
                <a:latin typeface="Arial"/>
                <a:cs typeface="Arial"/>
              </a:rPr>
              <a:t>6</a:t>
            </a:r>
          </a:p>
        </xdr:txBody>
      </xdr:sp>
      <xdr:sp macro="" textlink="">
        <xdr:nvSpPr>
          <xdr:cNvPr id="265" name="Textbox 765">
            <a:extLst>
              <a:ext uri="{FF2B5EF4-FFF2-40B4-BE49-F238E27FC236}">
                <a16:creationId xmlns:a16="http://schemas.microsoft.com/office/drawing/2014/main" id="{F66F60EE-A9A4-C916-2FB9-A3B31CDA233E}"/>
              </a:ext>
            </a:extLst>
          </xdr:cNvPr>
          <xdr:cNvSpPr txBox="1"/>
        </xdr:nvSpPr>
        <xdr:spPr>
          <a:xfrm>
            <a:off x="1544126" y="688532"/>
            <a:ext cx="66675" cy="77470"/>
          </a:xfrm>
          <a:prstGeom prst="rect">
            <a:avLst/>
          </a:prstGeom>
        </xdr:spPr>
        <xdr:txBody>
          <a:bodyPr vertOverflow="clip" lIns="0" tIns="0" rIns="0" bIns="0" anchor="t"/>
          <a:lstStyle/>
          <a:p>
            <a:r>
              <a:rPr sz="500" b="0">
                <a:latin typeface="Arial"/>
                <a:cs typeface="Arial"/>
              </a:rPr>
              <a:t>N</a:t>
            </a:r>
          </a:p>
        </xdr:txBody>
      </xdr:sp>
      <xdr:sp macro="" textlink="">
        <xdr:nvSpPr>
          <xdr:cNvPr id="266" name="Textbox 766">
            <a:extLst>
              <a:ext uri="{FF2B5EF4-FFF2-40B4-BE49-F238E27FC236}">
                <a16:creationId xmlns:a16="http://schemas.microsoft.com/office/drawing/2014/main" id="{728CF523-99D5-7FCA-FA37-5CD96880E483}"/>
              </a:ext>
            </a:extLst>
          </xdr:cNvPr>
          <xdr:cNvSpPr txBox="1"/>
        </xdr:nvSpPr>
        <xdr:spPr>
          <a:xfrm>
            <a:off x="1598042" y="721588"/>
            <a:ext cx="36830" cy="45085"/>
          </a:xfrm>
          <a:prstGeom prst="rect">
            <a:avLst/>
          </a:prstGeom>
        </xdr:spPr>
        <xdr:txBody>
          <a:bodyPr vertOverflow="clip" lIns="0" tIns="0" rIns="0" bIns="0" anchor="t"/>
          <a:lstStyle/>
          <a:p>
            <a:r>
              <a:rPr sz="300" b="1">
                <a:latin typeface="Arial"/>
                <a:cs typeface="Arial"/>
              </a:rPr>
              <a:t>1</a:t>
            </a:r>
          </a:p>
        </xdr:txBody>
      </xdr:sp>
      <xdr:sp macro="" textlink="">
        <xdr:nvSpPr>
          <xdr:cNvPr id="267" name="Textbox 767">
            <a:extLst>
              <a:ext uri="{FF2B5EF4-FFF2-40B4-BE49-F238E27FC236}">
                <a16:creationId xmlns:a16="http://schemas.microsoft.com/office/drawing/2014/main" id="{71269884-C8AF-AEB7-C31B-6943EC3928BC}"/>
              </a:ext>
            </a:extLst>
          </xdr:cNvPr>
          <xdr:cNvSpPr txBox="1"/>
        </xdr:nvSpPr>
        <xdr:spPr>
          <a:xfrm>
            <a:off x="1562248" y="778678"/>
            <a:ext cx="54610" cy="91440"/>
          </a:xfrm>
          <a:prstGeom prst="rect">
            <a:avLst/>
          </a:prstGeom>
        </xdr:spPr>
        <xdr:txBody>
          <a:bodyPr vertOverflow="clip" lIns="0" tIns="0" rIns="0" bIns="0" anchor="t"/>
          <a:lstStyle/>
          <a:p>
            <a:r>
              <a:rPr sz="550" b="0">
                <a:latin typeface="Arial"/>
                <a:cs typeface="Arial"/>
              </a:rPr>
              <a:t>L</a:t>
            </a:r>
          </a:p>
        </xdr:txBody>
      </xdr:sp>
    </xdr:grpSp>
    <xdr:clientData/>
  </xdr:oneCellAnchor>
  <xdr:oneCellAnchor>
    <xdr:from>
      <xdr:col>6</xdr:col>
      <xdr:colOff>0</xdr:colOff>
      <xdr:row>266</xdr:row>
      <xdr:rowOff>310363</xdr:rowOff>
    </xdr:from>
    <xdr:ext cx="342265" cy="880110"/>
    <xdr:grpSp>
      <xdr:nvGrpSpPr>
        <xdr:cNvPr id="268" name="Group 768">
          <a:extLst>
            <a:ext uri="{FF2B5EF4-FFF2-40B4-BE49-F238E27FC236}">
              <a16:creationId xmlns:a16="http://schemas.microsoft.com/office/drawing/2014/main" id="{DB3148A7-1F67-424F-AAE8-877895726CC3}"/>
            </a:ext>
          </a:extLst>
        </xdr:cNvPr>
        <xdr:cNvGrpSpPr/>
      </xdr:nvGrpSpPr>
      <xdr:grpSpPr>
        <a:xfrm>
          <a:off x="2971800" y="65518513"/>
          <a:ext cx="342265" cy="880110"/>
          <a:chOff x="0" y="0"/>
          <a:chExt cx="342265" cy="880110"/>
        </a:xfrm>
      </xdr:grpSpPr>
      <xdr:pic>
        <xdr:nvPicPr>
          <xdr:cNvPr id="269" name="image101.png">
            <a:extLst>
              <a:ext uri="{FF2B5EF4-FFF2-40B4-BE49-F238E27FC236}">
                <a16:creationId xmlns:a16="http://schemas.microsoft.com/office/drawing/2014/main" id="{CCEF23F9-9451-E109-2A5D-7AC43375CAB5}"/>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0" y="0"/>
            <a:ext cx="341678" cy="879991"/>
          </a:xfrm>
          <a:prstGeom prst="rect">
            <a:avLst/>
          </a:prstGeom>
        </xdr:spPr>
      </xdr:pic>
      <xdr:sp macro="" textlink="">
        <xdr:nvSpPr>
          <xdr:cNvPr id="270" name="Textbox 770">
            <a:extLst>
              <a:ext uri="{FF2B5EF4-FFF2-40B4-BE49-F238E27FC236}">
                <a16:creationId xmlns:a16="http://schemas.microsoft.com/office/drawing/2014/main" id="{861785E6-890D-325C-220D-77D26F115379}"/>
              </a:ext>
            </a:extLst>
          </xdr:cNvPr>
          <xdr:cNvSpPr txBox="1"/>
        </xdr:nvSpPr>
        <xdr:spPr>
          <a:xfrm>
            <a:off x="0" y="0"/>
            <a:ext cx="342265" cy="880110"/>
          </a:xfrm>
          <a:prstGeom prst="rect">
            <a:avLst/>
          </a:prstGeom>
        </xdr:spPr>
        <xdr:txBody>
          <a:bodyPr vertOverflow="clip" lIns="0" tIns="0" rIns="0" bIns="0" anchor="t"/>
          <a:lstStyle/>
          <a:p>
            <a:endParaRPr/>
          </a:p>
          <a:p>
            <a:endParaRPr/>
          </a:p>
          <a:p>
            <a:endParaRPr/>
          </a:p>
          <a:p>
            <a:endParaRPr/>
          </a:p>
          <a:p>
            <a:endParaRPr/>
          </a:p>
          <a:p>
            <a:endParaRPr/>
          </a:p>
          <a:p>
            <a:endParaRPr/>
          </a:p>
          <a:p>
            <a:endParaRPr/>
          </a:p>
          <a:p>
            <a:r>
              <a:rPr sz="550" b="0">
                <a:latin typeface="Arial"/>
                <a:cs typeface="Arial"/>
              </a:rPr>
              <a:t>31</a:t>
            </a:r>
          </a:p>
          <a:p>
            <a:r>
              <a:rPr sz="550" b="0">
                <a:latin typeface="Arial"/>
                <a:cs typeface="Arial"/>
              </a:rPr>
              <a:t>62</a:t>
            </a:r>
          </a:p>
        </xdr:txBody>
      </xdr:sp>
    </xdr:grpSp>
    <xdr:clientData/>
  </xdr:oneCellAnchor>
  <xdr:oneCellAnchor>
    <xdr:from>
      <xdr:col>7</xdr:col>
      <xdr:colOff>0</xdr:colOff>
      <xdr:row>266</xdr:row>
      <xdr:rowOff>298817</xdr:rowOff>
    </xdr:from>
    <xdr:ext cx="387283" cy="751895"/>
    <xdr:pic>
      <xdr:nvPicPr>
        <xdr:cNvPr id="271" name="image102.png">
          <a:extLst>
            <a:ext uri="{FF2B5EF4-FFF2-40B4-BE49-F238E27FC236}">
              <a16:creationId xmlns:a16="http://schemas.microsoft.com/office/drawing/2014/main" id="{D09AEB25-C940-439D-A394-F14A9BB55072}"/>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3644900" y="66370567"/>
          <a:ext cx="387283" cy="751895"/>
        </a:xfrm>
        <a:prstGeom prst="rect">
          <a:avLst/>
        </a:prstGeom>
      </xdr:spPr>
    </xdr:pic>
    <xdr:clientData/>
  </xdr:oneCellAnchor>
  <xdr:oneCellAnchor>
    <xdr:from>
      <xdr:col>7</xdr:col>
      <xdr:colOff>0</xdr:colOff>
      <xdr:row>269</xdr:row>
      <xdr:rowOff>113131</xdr:rowOff>
    </xdr:from>
    <xdr:ext cx="61747" cy="24688"/>
    <xdr:pic>
      <xdr:nvPicPr>
        <xdr:cNvPr id="272" name="image103.png">
          <a:extLst>
            <a:ext uri="{FF2B5EF4-FFF2-40B4-BE49-F238E27FC236}">
              <a16:creationId xmlns:a16="http://schemas.microsoft.com/office/drawing/2014/main" id="{566ACDE7-88F2-467D-A6E3-8A11F2BFFAB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3644900" y="67232631"/>
          <a:ext cx="61747" cy="24688"/>
        </a:xfrm>
        <a:prstGeom prst="rect">
          <a:avLst/>
        </a:prstGeom>
      </xdr:spPr>
    </xdr:pic>
    <xdr:clientData/>
  </xdr:oneCellAnchor>
  <xdr:oneCellAnchor>
    <xdr:from>
      <xdr:col>7</xdr:col>
      <xdr:colOff>62480</xdr:colOff>
      <xdr:row>269</xdr:row>
      <xdr:rowOff>113615</xdr:rowOff>
    </xdr:from>
    <xdr:ext cx="61747" cy="24688"/>
    <xdr:pic>
      <xdr:nvPicPr>
        <xdr:cNvPr id="273" name="image104.png">
          <a:extLst>
            <a:ext uri="{FF2B5EF4-FFF2-40B4-BE49-F238E27FC236}">
              <a16:creationId xmlns:a16="http://schemas.microsoft.com/office/drawing/2014/main" id="{DB17EB15-6EBA-416A-95C8-2450A1A2D4FB}"/>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3707380" y="67233115"/>
          <a:ext cx="61747" cy="24688"/>
        </a:xfrm>
        <a:prstGeom prst="rect">
          <a:avLst/>
        </a:prstGeom>
      </xdr:spPr>
    </xdr:pic>
    <xdr:clientData/>
  </xdr:oneCellAnchor>
  <xdr:oneCellAnchor>
    <xdr:from>
      <xdr:col>1</xdr:col>
      <xdr:colOff>0</xdr:colOff>
      <xdr:row>271</xdr:row>
      <xdr:rowOff>37787</xdr:rowOff>
    </xdr:from>
    <xdr:ext cx="2907030" cy="711835"/>
    <xdr:grpSp>
      <xdr:nvGrpSpPr>
        <xdr:cNvPr id="274" name="Group 774">
          <a:extLst>
            <a:ext uri="{FF2B5EF4-FFF2-40B4-BE49-F238E27FC236}">
              <a16:creationId xmlns:a16="http://schemas.microsoft.com/office/drawing/2014/main" id="{C4552E7E-CD0D-4137-822F-641AC66DEDA1}"/>
            </a:ext>
          </a:extLst>
        </xdr:cNvPr>
        <xdr:cNvGrpSpPr/>
      </xdr:nvGrpSpPr>
      <xdr:grpSpPr>
        <a:xfrm>
          <a:off x="495300" y="66541337"/>
          <a:ext cx="2907030" cy="711835"/>
          <a:chOff x="0" y="0"/>
          <a:chExt cx="2907030" cy="711835"/>
        </a:xfrm>
      </xdr:grpSpPr>
      <xdr:pic>
        <xdr:nvPicPr>
          <xdr:cNvPr id="275" name="image105.png">
            <a:extLst>
              <a:ext uri="{FF2B5EF4-FFF2-40B4-BE49-F238E27FC236}">
                <a16:creationId xmlns:a16="http://schemas.microsoft.com/office/drawing/2014/main" id="{E99799F7-8BE2-7892-2F72-1BFA844957BA}"/>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2774525" y="180108"/>
            <a:ext cx="6223" cy="66306"/>
          </a:xfrm>
          <a:prstGeom prst="rect">
            <a:avLst/>
          </a:prstGeom>
        </xdr:spPr>
      </xdr:pic>
      <xdr:pic>
        <xdr:nvPicPr>
          <xdr:cNvPr id="276" name="image106.png">
            <a:extLst>
              <a:ext uri="{FF2B5EF4-FFF2-40B4-BE49-F238E27FC236}">
                <a16:creationId xmlns:a16="http://schemas.microsoft.com/office/drawing/2014/main" id="{92B96785-76BA-117C-3CB5-4092A7A0ECC7}"/>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0" y="0"/>
            <a:ext cx="2906434" cy="711332"/>
          </a:xfrm>
          <a:prstGeom prst="rect">
            <a:avLst/>
          </a:prstGeom>
        </xdr:spPr>
      </xdr:pic>
      <xdr:pic>
        <xdr:nvPicPr>
          <xdr:cNvPr id="277" name="image107.png">
            <a:extLst>
              <a:ext uri="{FF2B5EF4-FFF2-40B4-BE49-F238E27FC236}">
                <a16:creationId xmlns:a16="http://schemas.microsoft.com/office/drawing/2014/main" id="{667C8151-7F08-C7FC-8608-CE44F25F7C2F}"/>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2776959" y="495940"/>
            <a:ext cx="6223" cy="132626"/>
          </a:xfrm>
          <a:prstGeom prst="rect">
            <a:avLst/>
          </a:prstGeom>
        </xdr:spPr>
      </xdr:pic>
    </xdr:grpSp>
    <xdr:clientData/>
  </xdr:oneCellAnchor>
  <xdr:absoluteAnchor>
    <xdr:pos x="711225" y="175992817"/>
    <xdr:ext cx="64300" cy="44259"/>
    <xdr:pic>
      <xdr:nvPicPr>
        <xdr:cNvPr id="278" name="image109.png">
          <a:extLst>
            <a:ext uri="{FF2B5EF4-FFF2-40B4-BE49-F238E27FC236}">
              <a16:creationId xmlns:a16="http://schemas.microsoft.com/office/drawing/2014/main" id="{AD35807C-059E-4120-9E33-7A168AE3E110}"/>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711225" y="175992817"/>
          <a:ext cx="64300" cy="44259"/>
        </a:xfrm>
        <a:prstGeom prst="rect">
          <a:avLst/>
        </a:prstGeom>
      </xdr:spPr>
    </xdr:pic>
    <xdr:clientData/>
  </xdr:absoluteAnchor>
  <xdr:absoluteAnchor>
    <xdr:pos x="1100543" y="175992817"/>
    <xdr:ext cx="64300" cy="44259"/>
    <xdr:pic>
      <xdr:nvPicPr>
        <xdr:cNvPr id="279" name="image110.png">
          <a:extLst>
            <a:ext uri="{FF2B5EF4-FFF2-40B4-BE49-F238E27FC236}">
              <a16:creationId xmlns:a16="http://schemas.microsoft.com/office/drawing/2014/main" id="{27A10CB7-D472-49F5-B588-88836EC3710C}"/>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100543" y="175992817"/>
          <a:ext cx="64300" cy="44259"/>
        </a:xfrm>
        <a:prstGeom prst="rect">
          <a:avLst/>
        </a:prstGeom>
      </xdr:spPr>
    </xdr:pic>
    <xdr:clientData/>
  </xdr:absoluteAnchor>
  <xdr:absoluteAnchor>
    <xdr:pos x="67513" y="175959368"/>
    <xdr:ext cx="142882" cy="41998"/>
    <xdr:pic>
      <xdr:nvPicPr>
        <xdr:cNvPr id="280" name="image112.png">
          <a:extLst>
            <a:ext uri="{FF2B5EF4-FFF2-40B4-BE49-F238E27FC236}">
              <a16:creationId xmlns:a16="http://schemas.microsoft.com/office/drawing/2014/main" id="{16DB1773-CBEC-4433-8716-6620ED993E8A}"/>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67513" y="175959368"/>
          <a:ext cx="142882" cy="41998"/>
        </a:xfrm>
        <a:prstGeom prst="rect">
          <a:avLst/>
        </a:prstGeom>
      </xdr:spPr>
    </xdr:pic>
    <xdr:clientData/>
  </xdr:absoluteAnchor>
  <xdr:absoluteAnchor>
    <xdr:pos x="1665693" y="175959368"/>
    <xdr:ext cx="142890" cy="42011"/>
    <xdr:pic>
      <xdr:nvPicPr>
        <xdr:cNvPr id="281" name="image115.png">
          <a:extLst>
            <a:ext uri="{FF2B5EF4-FFF2-40B4-BE49-F238E27FC236}">
              <a16:creationId xmlns:a16="http://schemas.microsoft.com/office/drawing/2014/main" id="{F15BD7ED-7666-461D-BF9C-D5217021B54B}"/>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1665693" y="175959368"/>
          <a:ext cx="142890" cy="42011"/>
        </a:xfrm>
        <a:prstGeom prst="rect">
          <a:avLst/>
        </a:prstGeom>
      </xdr:spPr>
    </xdr:pic>
    <xdr:clientData/>
  </xdr:absoluteAnchor>
  <xdr:absoluteAnchor>
    <xdr:pos x="1693132" y="176489307"/>
    <xdr:ext cx="64287" cy="44259"/>
    <xdr:pic>
      <xdr:nvPicPr>
        <xdr:cNvPr id="282" name="image116.png">
          <a:extLst>
            <a:ext uri="{FF2B5EF4-FFF2-40B4-BE49-F238E27FC236}">
              <a16:creationId xmlns:a16="http://schemas.microsoft.com/office/drawing/2014/main" id="{C0134581-6FD6-425A-A152-5D1B492D9DD9}"/>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1693132" y="176489307"/>
          <a:ext cx="64287" cy="44259"/>
        </a:xfrm>
        <a:prstGeom prst="rect">
          <a:avLst/>
        </a:prstGeom>
      </xdr:spPr>
    </xdr:pic>
    <xdr:clientData/>
  </xdr:absoluteAnchor>
  <xdr:absoluteAnchor>
    <xdr:pos x="1049422" y="176455871"/>
    <xdr:ext cx="142869" cy="41998"/>
    <xdr:pic>
      <xdr:nvPicPr>
        <xdr:cNvPr id="283" name="image114.png">
          <a:extLst>
            <a:ext uri="{FF2B5EF4-FFF2-40B4-BE49-F238E27FC236}">
              <a16:creationId xmlns:a16="http://schemas.microsoft.com/office/drawing/2014/main" id="{890B3385-B533-465D-96B7-54B9A59C4E31}"/>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1049422" y="176455871"/>
          <a:ext cx="142869" cy="41998"/>
        </a:xfrm>
        <a:prstGeom prst="rect">
          <a:avLst/>
        </a:prstGeom>
      </xdr:spPr>
    </xdr:pic>
    <xdr:clientData/>
  </xdr:absoluteAnchor>
  <xdr:absoluteAnchor>
    <xdr:pos x="721318" y="176231165"/>
    <xdr:ext cx="42329" cy="42481"/>
    <xdr:pic>
      <xdr:nvPicPr>
        <xdr:cNvPr id="284" name="image117.png">
          <a:extLst>
            <a:ext uri="{FF2B5EF4-FFF2-40B4-BE49-F238E27FC236}">
              <a16:creationId xmlns:a16="http://schemas.microsoft.com/office/drawing/2014/main" id="{FFB1D7E7-A529-459E-9723-186F499EC520}"/>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721318" y="176231165"/>
          <a:ext cx="42329" cy="42481"/>
        </a:xfrm>
        <a:prstGeom prst="rect">
          <a:avLst/>
        </a:prstGeom>
      </xdr:spPr>
    </xdr:pic>
    <xdr:clientData/>
  </xdr:absoluteAnchor>
  <xdr:absoluteAnchor>
    <xdr:pos x="66587" y="176266859"/>
    <xdr:ext cx="142902" cy="42011"/>
    <xdr:pic>
      <xdr:nvPicPr>
        <xdr:cNvPr id="285" name="image118.png">
          <a:extLst>
            <a:ext uri="{FF2B5EF4-FFF2-40B4-BE49-F238E27FC236}">
              <a16:creationId xmlns:a16="http://schemas.microsoft.com/office/drawing/2014/main" id="{DE19DF29-F140-4B94-A391-E6671A419282}"/>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66587" y="176266859"/>
          <a:ext cx="142902" cy="42011"/>
        </a:xfrm>
        <a:prstGeom prst="rect">
          <a:avLst/>
        </a:prstGeom>
      </xdr:spPr>
    </xdr:pic>
    <xdr:clientData/>
  </xdr:absoluteAnchor>
  <xdr:absoluteAnchor>
    <xdr:pos x="1110646" y="176231165"/>
    <xdr:ext cx="42329" cy="42481"/>
    <xdr:pic>
      <xdr:nvPicPr>
        <xdr:cNvPr id="286" name="image119.png">
          <a:extLst>
            <a:ext uri="{FF2B5EF4-FFF2-40B4-BE49-F238E27FC236}">
              <a16:creationId xmlns:a16="http://schemas.microsoft.com/office/drawing/2014/main" id="{AD7A6240-1761-475C-95B2-F22F354D51C7}"/>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1110646" y="176231165"/>
          <a:ext cx="42329" cy="42481"/>
        </a:xfrm>
        <a:prstGeom prst="rect">
          <a:avLst/>
        </a:prstGeom>
      </xdr:spPr>
    </xdr:pic>
    <xdr:clientData/>
  </xdr:absoluteAnchor>
  <xdr:absoluteAnchor>
    <xdr:pos x="1664806" y="176266871"/>
    <xdr:ext cx="142883" cy="41998"/>
    <xdr:pic>
      <xdr:nvPicPr>
        <xdr:cNvPr id="287" name="image120.png">
          <a:extLst>
            <a:ext uri="{FF2B5EF4-FFF2-40B4-BE49-F238E27FC236}">
              <a16:creationId xmlns:a16="http://schemas.microsoft.com/office/drawing/2014/main" id="{4C6FA0A8-61CD-4A10-801F-697437EAAB43}"/>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1664806" y="176266871"/>
          <a:ext cx="142883" cy="41998"/>
        </a:xfrm>
        <a:prstGeom prst="rect">
          <a:avLst/>
        </a:prstGeom>
      </xdr:spPr>
    </xdr:pic>
    <xdr:clientData/>
  </xdr:absoluteAnchor>
  <xdr:absoluteAnchor>
    <xdr:pos x="116843" y="176489307"/>
    <xdr:ext cx="64287" cy="44259"/>
    <xdr:pic>
      <xdr:nvPicPr>
        <xdr:cNvPr id="288" name="image116.png">
          <a:extLst>
            <a:ext uri="{FF2B5EF4-FFF2-40B4-BE49-F238E27FC236}">
              <a16:creationId xmlns:a16="http://schemas.microsoft.com/office/drawing/2014/main" id="{AE961965-F6B4-4495-9C4C-CEC5599B5C6F}"/>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116843" y="176489307"/>
          <a:ext cx="64287" cy="44259"/>
        </a:xfrm>
        <a:prstGeom prst="rect">
          <a:avLst/>
        </a:prstGeom>
      </xdr:spPr>
    </xdr:pic>
    <xdr:clientData/>
  </xdr:absoluteAnchor>
  <xdr:absoluteAnchor>
    <xdr:pos x="681997" y="176455871"/>
    <xdr:ext cx="142902" cy="42011"/>
    <xdr:pic>
      <xdr:nvPicPr>
        <xdr:cNvPr id="289" name="image115.png">
          <a:extLst>
            <a:ext uri="{FF2B5EF4-FFF2-40B4-BE49-F238E27FC236}">
              <a16:creationId xmlns:a16="http://schemas.microsoft.com/office/drawing/2014/main" id="{314485B9-5D1C-4BC4-B83F-128E192DDD05}"/>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81997" y="176455871"/>
          <a:ext cx="142902" cy="42011"/>
        </a:xfrm>
        <a:prstGeom prst="rect">
          <a:avLst/>
        </a:prstGeom>
      </xdr:spPr>
    </xdr:pic>
    <xdr:clientData/>
  </xdr:absoluteAnchor>
  <xdr:absoluteAnchor>
    <xdr:pos x="712129" y="176985810"/>
    <xdr:ext cx="64287" cy="44259"/>
    <xdr:pic>
      <xdr:nvPicPr>
        <xdr:cNvPr id="290" name="image121.png">
          <a:extLst>
            <a:ext uri="{FF2B5EF4-FFF2-40B4-BE49-F238E27FC236}">
              <a16:creationId xmlns:a16="http://schemas.microsoft.com/office/drawing/2014/main" id="{B0C959F7-9872-4094-ACBB-BD71B8294FB9}"/>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712129" y="176985810"/>
          <a:ext cx="64287" cy="44259"/>
        </a:xfrm>
        <a:prstGeom prst="rect">
          <a:avLst/>
        </a:prstGeom>
      </xdr:spPr>
    </xdr:pic>
    <xdr:clientData/>
  </xdr:absoluteAnchor>
  <xdr:absoluteAnchor>
    <xdr:pos x="68406" y="176952361"/>
    <xdr:ext cx="142883" cy="42011"/>
    <xdr:pic>
      <xdr:nvPicPr>
        <xdr:cNvPr id="291" name="image122.png">
          <a:extLst>
            <a:ext uri="{FF2B5EF4-FFF2-40B4-BE49-F238E27FC236}">
              <a16:creationId xmlns:a16="http://schemas.microsoft.com/office/drawing/2014/main" id="{8C7FB54A-12C1-4DE5-9E93-0C38307891C2}"/>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68406" y="176952361"/>
          <a:ext cx="142883" cy="42011"/>
        </a:xfrm>
        <a:prstGeom prst="rect">
          <a:avLst/>
        </a:prstGeom>
      </xdr:spPr>
    </xdr:pic>
    <xdr:clientData/>
  </xdr:absoluteAnchor>
  <xdr:absoluteAnchor>
    <xdr:pos x="129654" y="176727680"/>
    <xdr:ext cx="42316" cy="42468"/>
    <xdr:pic>
      <xdr:nvPicPr>
        <xdr:cNvPr id="292" name="image123.png">
          <a:extLst>
            <a:ext uri="{FF2B5EF4-FFF2-40B4-BE49-F238E27FC236}">
              <a16:creationId xmlns:a16="http://schemas.microsoft.com/office/drawing/2014/main" id="{F8E0B6A1-403A-4FBA-973D-E1917B4C39B2}"/>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129654" y="176727680"/>
          <a:ext cx="42316" cy="42468"/>
        </a:xfrm>
        <a:prstGeom prst="rect">
          <a:avLst/>
        </a:prstGeom>
      </xdr:spPr>
    </xdr:pic>
    <xdr:clientData/>
  </xdr:absoluteAnchor>
  <xdr:absoluteAnchor>
    <xdr:pos x="683789" y="176763374"/>
    <xdr:ext cx="142883" cy="42011"/>
    <xdr:pic>
      <xdr:nvPicPr>
        <xdr:cNvPr id="293" name="image124.png">
          <a:extLst>
            <a:ext uri="{FF2B5EF4-FFF2-40B4-BE49-F238E27FC236}">
              <a16:creationId xmlns:a16="http://schemas.microsoft.com/office/drawing/2014/main" id="{CE934D3B-1ECC-4970-B69A-F48637DD8593}"/>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683789" y="176763374"/>
          <a:ext cx="142883" cy="42011"/>
        </a:xfrm>
        <a:prstGeom prst="rect">
          <a:avLst/>
        </a:prstGeom>
      </xdr:spPr>
    </xdr:pic>
    <xdr:clientData/>
  </xdr:absoluteAnchor>
  <xdr:absoluteAnchor>
    <xdr:pos x="1705921" y="176727680"/>
    <xdr:ext cx="42316" cy="42468"/>
    <xdr:pic>
      <xdr:nvPicPr>
        <xdr:cNvPr id="294" name="image125.png">
          <a:extLst>
            <a:ext uri="{FF2B5EF4-FFF2-40B4-BE49-F238E27FC236}">
              <a16:creationId xmlns:a16="http://schemas.microsoft.com/office/drawing/2014/main" id="{0B0E0B16-1276-4FBA-8D85-998B22D1E197}"/>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1705921" y="176727680"/>
          <a:ext cx="42316" cy="42468"/>
        </a:xfrm>
        <a:prstGeom prst="rect">
          <a:avLst/>
        </a:prstGeom>
      </xdr:spPr>
    </xdr:pic>
    <xdr:clientData/>
  </xdr:absoluteAnchor>
  <xdr:absoluteAnchor>
    <xdr:pos x="1051181" y="176763374"/>
    <xdr:ext cx="142890" cy="42011"/>
    <xdr:pic>
      <xdr:nvPicPr>
        <xdr:cNvPr id="295" name="image126.png">
          <a:extLst>
            <a:ext uri="{FF2B5EF4-FFF2-40B4-BE49-F238E27FC236}">
              <a16:creationId xmlns:a16="http://schemas.microsoft.com/office/drawing/2014/main" id="{235B55E0-F9CA-4498-9F6D-DF6323C365EF}"/>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1051181" y="176763374"/>
          <a:ext cx="142890" cy="42011"/>
        </a:xfrm>
        <a:prstGeom prst="rect">
          <a:avLst/>
        </a:prstGeom>
      </xdr:spPr>
    </xdr:pic>
    <xdr:clientData/>
  </xdr:absoluteAnchor>
  <xdr:absoluteAnchor>
    <xdr:pos x="1101446" y="176985810"/>
    <xdr:ext cx="64287" cy="44259"/>
    <xdr:pic>
      <xdr:nvPicPr>
        <xdr:cNvPr id="296" name="image109.png">
          <a:extLst>
            <a:ext uri="{FF2B5EF4-FFF2-40B4-BE49-F238E27FC236}">
              <a16:creationId xmlns:a16="http://schemas.microsoft.com/office/drawing/2014/main" id="{F14A5892-B2BD-48EF-AC5F-299707075387}"/>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1101446" y="176985810"/>
          <a:ext cx="64287" cy="44259"/>
        </a:xfrm>
        <a:prstGeom prst="rect">
          <a:avLst/>
        </a:prstGeom>
      </xdr:spPr>
    </xdr:pic>
    <xdr:clientData/>
  </xdr:absoluteAnchor>
  <xdr:absoluteAnchor>
    <xdr:pos x="1666579" y="176952361"/>
    <xdr:ext cx="142902" cy="42024"/>
    <xdr:pic>
      <xdr:nvPicPr>
        <xdr:cNvPr id="297" name="image127.png">
          <a:extLst>
            <a:ext uri="{FF2B5EF4-FFF2-40B4-BE49-F238E27FC236}">
              <a16:creationId xmlns:a16="http://schemas.microsoft.com/office/drawing/2014/main" id="{28F31E41-5939-43FB-99F6-D82B97D3F653}"/>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1666579" y="176952361"/>
          <a:ext cx="142902" cy="42024"/>
        </a:xfrm>
        <a:prstGeom prst="rect">
          <a:avLst/>
        </a:prstGeom>
      </xdr:spPr>
    </xdr:pic>
    <xdr:clientData/>
  </xdr:absoluteAnchor>
  <xdr:absoluteAnchor>
    <xdr:pos x="1109742" y="177224171"/>
    <xdr:ext cx="42329" cy="42468"/>
    <xdr:pic>
      <xdr:nvPicPr>
        <xdr:cNvPr id="298" name="image128.png">
          <a:extLst>
            <a:ext uri="{FF2B5EF4-FFF2-40B4-BE49-F238E27FC236}">
              <a16:creationId xmlns:a16="http://schemas.microsoft.com/office/drawing/2014/main" id="{19127E81-6254-47D8-834A-620B88B6844F}"/>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1109742" y="177224171"/>
          <a:ext cx="42329" cy="42468"/>
        </a:xfrm>
        <a:prstGeom prst="rect">
          <a:avLst/>
        </a:prstGeom>
      </xdr:spPr>
    </xdr:pic>
    <xdr:clientData/>
  </xdr:absoluteAnchor>
  <xdr:absoluteAnchor>
    <xdr:pos x="720402" y="177224171"/>
    <xdr:ext cx="42329" cy="42468"/>
    <xdr:pic>
      <xdr:nvPicPr>
        <xdr:cNvPr id="299" name="image128.png">
          <a:extLst>
            <a:ext uri="{FF2B5EF4-FFF2-40B4-BE49-F238E27FC236}">
              <a16:creationId xmlns:a16="http://schemas.microsoft.com/office/drawing/2014/main" id="{8E1DAC6E-10B0-4CB8-8841-93E695A91FB2}"/>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720402" y="177224171"/>
          <a:ext cx="42329" cy="42468"/>
        </a:xfrm>
        <a:prstGeom prst="rect">
          <a:avLst/>
        </a:prstGeom>
      </xdr:spPr>
    </xdr:pic>
    <xdr:clientData/>
  </xdr:absoluteAnchor>
  <xdr:absoluteAnchor>
    <xdr:pos x="65693" y="177448864"/>
    <xdr:ext cx="142902" cy="42011"/>
    <xdr:pic>
      <xdr:nvPicPr>
        <xdr:cNvPr id="300" name="image115.png">
          <a:extLst>
            <a:ext uri="{FF2B5EF4-FFF2-40B4-BE49-F238E27FC236}">
              <a16:creationId xmlns:a16="http://schemas.microsoft.com/office/drawing/2014/main" id="{3385C0F0-7720-418E-9097-9BEF637CAC56}"/>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5693" y="177448864"/>
          <a:ext cx="142902" cy="42011"/>
        </a:xfrm>
        <a:prstGeom prst="rect">
          <a:avLst/>
        </a:prstGeom>
      </xdr:spPr>
    </xdr:pic>
    <xdr:clientData/>
  </xdr:absoluteAnchor>
  <xdr:absoluteAnchor>
    <xdr:pos x="681089" y="177448864"/>
    <xdr:ext cx="142902" cy="42011"/>
    <xdr:pic>
      <xdr:nvPicPr>
        <xdr:cNvPr id="301" name="image115.png">
          <a:extLst>
            <a:ext uri="{FF2B5EF4-FFF2-40B4-BE49-F238E27FC236}">
              <a16:creationId xmlns:a16="http://schemas.microsoft.com/office/drawing/2014/main" id="{475B9EB4-C4E9-4CD2-98B8-0456EC0A25AC}"/>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81089" y="177448864"/>
          <a:ext cx="142902" cy="42011"/>
        </a:xfrm>
        <a:prstGeom prst="rect">
          <a:avLst/>
        </a:prstGeom>
      </xdr:spPr>
    </xdr:pic>
    <xdr:clientData/>
  </xdr:absoluteAnchor>
  <xdr:absoluteAnchor>
    <xdr:pos x="1663898" y="177448864"/>
    <xdr:ext cx="142902" cy="42011"/>
    <xdr:pic>
      <xdr:nvPicPr>
        <xdr:cNvPr id="302" name="image129.png">
          <a:extLst>
            <a:ext uri="{FF2B5EF4-FFF2-40B4-BE49-F238E27FC236}">
              <a16:creationId xmlns:a16="http://schemas.microsoft.com/office/drawing/2014/main" id="{F02D6EF6-B72F-4EB7-92AA-9A2FBCF65535}"/>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1663898" y="177448864"/>
          <a:ext cx="142902" cy="42011"/>
        </a:xfrm>
        <a:prstGeom prst="rect">
          <a:avLst/>
        </a:prstGeom>
      </xdr:spPr>
    </xdr:pic>
    <xdr:clientData/>
  </xdr:absoluteAnchor>
  <xdr:absoluteAnchor>
    <xdr:pos x="1048500" y="177448864"/>
    <xdr:ext cx="142891" cy="42011"/>
    <xdr:pic>
      <xdr:nvPicPr>
        <xdr:cNvPr id="303" name="image130.png">
          <a:extLst>
            <a:ext uri="{FF2B5EF4-FFF2-40B4-BE49-F238E27FC236}">
              <a16:creationId xmlns:a16="http://schemas.microsoft.com/office/drawing/2014/main" id="{0AA657A5-53B4-4D03-ADEE-57C594D12F31}"/>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1048500" y="177448864"/>
          <a:ext cx="142891" cy="42011"/>
        </a:xfrm>
        <a:prstGeom prst="rect">
          <a:avLst/>
        </a:prstGeom>
      </xdr:spPr>
    </xdr:pic>
    <xdr:clientData/>
  </xdr:absoluteAnchor>
  <xdr:absoluteAnchor>
    <xdr:pos x="710092" y="177983306"/>
    <xdr:ext cx="62941" cy="43357"/>
    <xdr:pic>
      <xdr:nvPicPr>
        <xdr:cNvPr id="304" name="image131.png">
          <a:extLst>
            <a:ext uri="{FF2B5EF4-FFF2-40B4-BE49-F238E27FC236}">
              <a16:creationId xmlns:a16="http://schemas.microsoft.com/office/drawing/2014/main" id="{5E4D09DE-D1B2-4268-91EA-64A0BFB0E63B}"/>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710092" y="177983306"/>
          <a:ext cx="62941" cy="43357"/>
        </a:xfrm>
        <a:prstGeom prst="rect">
          <a:avLst/>
        </a:prstGeom>
      </xdr:spPr>
    </xdr:pic>
    <xdr:clientData/>
  </xdr:absoluteAnchor>
  <xdr:absoluteAnchor>
    <xdr:pos x="1099422" y="177983306"/>
    <xdr:ext cx="62953" cy="43357"/>
    <xdr:pic>
      <xdr:nvPicPr>
        <xdr:cNvPr id="305" name="image132.png">
          <a:extLst>
            <a:ext uri="{FF2B5EF4-FFF2-40B4-BE49-F238E27FC236}">
              <a16:creationId xmlns:a16="http://schemas.microsoft.com/office/drawing/2014/main" id="{C764296A-5A7E-4AC4-ABDC-B1D4D5E22A78}"/>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1099422" y="177983306"/>
          <a:ext cx="62953" cy="43357"/>
        </a:xfrm>
        <a:prstGeom prst="rect">
          <a:avLst/>
        </a:prstGeom>
      </xdr:spPr>
    </xdr:pic>
    <xdr:clientData/>
  </xdr:absoluteAnchor>
  <xdr:absoluteAnchor>
    <xdr:pos x="65693" y="177760870"/>
    <xdr:ext cx="142902" cy="42011"/>
    <xdr:pic>
      <xdr:nvPicPr>
        <xdr:cNvPr id="306" name="image115.png">
          <a:extLst>
            <a:ext uri="{FF2B5EF4-FFF2-40B4-BE49-F238E27FC236}">
              <a16:creationId xmlns:a16="http://schemas.microsoft.com/office/drawing/2014/main" id="{907464FA-C49D-4E24-AC83-3BC58CBFB9F6}"/>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5693" y="177760870"/>
          <a:ext cx="142902" cy="42011"/>
        </a:xfrm>
        <a:prstGeom prst="rect">
          <a:avLst/>
        </a:prstGeom>
      </xdr:spPr>
    </xdr:pic>
    <xdr:clientData/>
  </xdr:absoluteAnchor>
  <xdr:absoluteAnchor>
    <xdr:pos x="681089" y="177760870"/>
    <xdr:ext cx="142902" cy="42011"/>
    <xdr:pic>
      <xdr:nvPicPr>
        <xdr:cNvPr id="307" name="image115.png">
          <a:extLst>
            <a:ext uri="{FF2B5EF4-FFF2-40B4-BE49-F238E27FC236}">
              <a16:creationId xmlns:a16="http://schemas.microsoft.com/office/drawing/2014/main" id="{A88476E4-6203-4095-BE62-1FB442C658C9}"/>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81089" y="177760870"/>
          <a:ext cx="142902" cy="42011"/>
        </a:xfrm>
        <a:prstGeom prst="rect">
          <a:avLst/>
        </a:prstGeom>
      </xdr:spPr>
    </xdr:pic>
    <xdr:clientData/>
  </xdr:absoluteAnchor>
  <xdr:absoluteAnchor>
    <xdr:pos x="1663898" y="177760870"/>
    <xdr:ext cx="142902" cy="42011"/>
    <xdr:pic>
      <xdr:nvPicPr>
        <xdr:cNvPr id="308" name="image129.png">
          <a:extLst>
            <a:ext uri="{FF2B5EF4-FFF2-40B4-BE49-F238E27FC236}">
              <a16:creationId xmlns:a16="http://schemas.microsoft.com/office/drawing/2014/main" id="{8E0246BC-F4CF-41F7-A63D-D9319B7FEB17}"/>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1663898" y="177760870"/>
          <a:ext cx="142902" cy="42011"/>
        </a:xfrm>
        <a:prstGeom prst="rect">
          <a:avLst/>
        </a:prstGeom>
      </xdr:spPr>
    </xdr:pic>
    <xdr:clientData/>
  </xdr:absoluteAnchor>
  <xdr:absoluteAnchor>
    <xdr:pos x="1048500" y="177760870"/>
    <xdr:ext cx="142891" cy="42011"/>
    <xdr:pic>
      <xdr:nvPicPr>
        <xdr:cNvPr id="309" name="image130.png">
          <a:extLst>
            <a:ext uri="{FF2B5EF4-FFF2-40B4-BE49-F238E27FC236}">
              <a16:creationId xmlns:a16="http://schemas.microsoft.com/office/drawing/2014/main" id="{6E094F68-4382-4D13-87A3-5FE2734B0671}"/>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1048500" y="177760870"/>
          <a:ext cx="142891" cy="42011"/>
        </a:xfrm>
        <a:prstGeom prst="rect">
          <a:avLst/>
        </a:prstGeom>
      </xdr:spPr>
    </xdr:pic>
    <xdr:clientData/>
  </xdr:absoluteAnchor>
  <xdr:absoluteAnchor>
    <xdr:pos x="1228895" y="179036823"/>
    <xdr:ext cx="41998" cy="142881"/>
    <xdr:pic>
      <xdr:nvPicPr>
        <xdr:cNvPr id="310" name="image147.png">
          <a:extLst>
            <a:ext uri="{FF2B5EF4-FFF2-40B4-BE49-F238E27FC236}">
              <a16:creationId xmlns:a16="http://schemas.microsoft.com/office/drawing/2014/main" id="{D2B26FBB-4533-48ED-A41F-B51CC64E0158}"/>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1228895" y="179036823"/>
          <a:ext cx="41998" cy="142881"/>
        </a:xfrm>
        <a:prstGeom prst="rect">
          <a:avLst/>
        </a:prstGeom>
      </xdr:spPr>
    </xdr:pic>
    <xdr:clientData/>
  </xdr:absoluteAnchor>
  <xdr:absoluteAnchor>
    <xdr:pos x="1587981" y="179036823"/>
    <xdr:ext cx="42024" cy="142897"/>
    <xdr:pic>
      <xdr:nvPicPr>
        <xdr:cNvPr id="311" name="image148.png">
          <a:extLst>
            <a:ext uri="{FF2B5EF4-FFF2-40B4-BE49-F238E27FC236}">
              <a16:creationId xmlns:a16="http://schemas.microsoft.com/office/drawing/2014/main" id="{57E158D7-842B-4E51-BD6B-DEB4AEEE0C53}"/>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1587981" y="179036823"/>
          <a:ext cx="42024" cy="142897"/>
        </a:xfrm>
        <a:prstGeom prst="rect">
          <a:avLst/>
        </a:prstGeom>
      </xdr:spPr>
    </xdr:pic>
    <xdr:clientData/>
  </xdr:absoluteAnchor>
  <xdr:absoluteAnchor>
    <xdr:pos x="1100562" y="178992547"/>
    <xdr:ext cx="64287" cy="44272"/>
    <xdr:pic>
      <xdr:nvPicPr>
        <xdr:cNvPr id="312" name="image110.png">
          <a:extLst>
            <a:ext uri="{FF2B5EF4-FFF2-40B4-BE49-F238E27FC236}">
              <a16:creationId xmlns:a16="http://schemas.microsoft.com/office/drawing/2014/main" id="{BB2130EB-4CB8-40E8-BB74-5586E362D3D0}"/>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100562" y="178992547"/>
          <a:ext cx="64287" cy="44272"/>
        </a:xfrm>
        <a:prstGeom prst="rect">
          <a:avLst/>
        </a:prstGeom>
      </xdr:spPr>
    </xdr:pic>
    <xdr:clientData/>
  </xdr:absoluteAnchor>
  <xdr:absoluteAnchor>
    <xdr:pos x="4762501" y="179396888"/>
    <xdr:ext cx="396767" cy="178892"/>
    <xdr:pic>
      <xdr:nvPicPr>
        <xdr:cNvPr id="313" name="image162.png">
          <a:extLst>
            <a:ext uri="{FF2B5EF4-FFF2-40B4-BE49-F238E27FC236}">
              <a16:creationId xmlns:a16="http://schemas.microsoft.com/office/drawing/2014/main" id="{4A273684-FEDA-4BD7-98AA-E74C5BDFE67B}"/>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4762501" y="179396888"/>
          <a:ext cx="396767" cy="178892"/>
        </a:xfrm>
        <a:prstGeom prst="rect">
          <a:avLst/>
        </a:prstGeom>
      </xdr:spPr>
    </xdr:pic>
    <xdr:clientData/>
  </xdr:absoluteAnchor>
  <xdr:absoluteAnchor>
    <xdr:pos x="1587980" y="179666478"/>
    <xdr:ext cx="41998" cy="142885"/>
    <xdr:pic>
      <xdr:nvPicPr>
        <xdr:cNvPr id="314" name="image163.png">
          <a:extLst>
            <a:ext uri="{FF2B5EF4-FFF2-40B4-BE49-F238E27FC236}">
              <a16:creationId xmlns:a16="http://schemas.microsoft.com/office/drawing/2014/main" id="{16726D20-8222-4959-AF97-AFEDBD7B5B64}"/>
            </a:ext>
          </a:extLst>
        </xdr:cNvPr>
        <xdr:cNvPicPr>
          <a:picLocks noChangeAspect="1"/>
        </xdr:cNvPicPr>
      </xdr:nvPicPr>
      <xdr:blipFill>
        <a:blip xmlns:r="http://schemas.openxmlformats.org/officeDocument/2006/relationships" r:embed="rId93">
          <a:extLst>
            <a:ext uri="{28A0092B-C50C-407E-A947-70E740481C1C}">
              <a14:useLocalDpi xmlns:a14="http://schemas.microsoft.com/office/drawing/2010/main" val="0"/>
            </a:ext>
          </a:extLst>
        </a:blip>
        <a:stretch>
          <a:fillRect/>
        </a:stretch>
      </xdr:blipFill>
      <xdr:spPr>
        <a:xfrm>
          <a:off x="1587980" y="179666478"/>
          <a:ext cx="41998" cy="142885"/>
        </a:xfrm>
        <a:prstGeom prst="rect">
          <a:avLst/>
        </a:prstGeom>
      </xdr:spPr>
    </xdr:pic>
    <xdr:clientData/>
  </xdr:absoluteAnchor>
  <xdr:absoluteAnchor>
    <xdr:pos x="1228891" y="179666478"/>
    <xdr:ext cx="42011" cy="142901"/>
    <xdr:pic>
      <xdr:nvPicPr>
        <xdr:cNvPr id="315" name="image164.png">
          <a:extLst>
            <a:ext uri="{FF2B5EF4-FFF2-40B4-BE49-F238E27FC236}">
              <a16:creationId xmlns:a16="http://schemas.microsoft.com/office/drawing/2014/main" id="{EDCE4733-ECDD-4827-A4D9-23290983ACB4}"/>
            </a:ext>
          </a:extLst>
        </xdr:cNvPr>
        <xdr:cNvPicPr>
          <a:picLocks noChangeAspect="1"/>
        </xdr:cNvPicPr>
      </xdr:nvPicPr>
      <xdr:blipFill>
        <a:blip xmlns:r="http://schemas.openxmlformats.org/officeDocument/2006/relationships" r:embed="rId94">
          <a:extLst>
            <a:ext uri="{28A0092B-C50C-407E-A947-70E740481C1C}">
              <a14:useLocalDpi xmlns:a14="http://schemas.microsoft.com/office/drawing/2010/main" val="0"/>
            </a:ext>
          </a:extLst>
        </a:blip>
        <a:stretch>
          <a:fillRect/>
        </a:stretch>
      </xdr:blipFill>
      <xdr:spPr>
        <a:xfrm>
          <a:off x="1228891" y="179666478"/>
          <a:ext cx="42011" cy="142901"/>
        </a:xfrm>
        <a:prstGeom prst="rect">
          <a:avLst/>
        </a:prstGeom>
      </xdr:spPr>
    </xdr:pic>
    <xdr:clientData/>
  </xdr:absoluteAnchor>
  <xdr:absoluteAnchor>
    <xdr:pos x="1111547" y="179809390"/>
    <xdr:ext cx="42329" cy="42468"/>
    <xdr:pic>
      <xdr:nvPicPr>
        <xdr:cNvPr id="316" name="image165.png">
          <a:extLst>
            <a:ext uri="{FF2B5EF4-FFF2-40B4-BE49-F238E27FC236}">
              <a16:creationId xmlns:a16="http://schemas.microsoft.com/office/drawing/2014/main" id="{2F5461B7-D4D6-4CE4-8490-609619DA7B0A}"/>
            </a:ext>
          </a:extLst>
        </xdr:cNvPr>
        <xdr:cNvPicPr>
          <a:picLocks noChangeAspect="1"/>
        </xdr:cNvPicPr>
      </xdr:nvPicPr>
      <xdr:blipFill>
        <a:blip xmlns:r="http://schemas.openxmlformats.org/officeDocument/2006/relationships" r:embed="rId95">
          <a:extLst>
            <a:ext uri="{28A0092B-C50C-407E-A947-70E740481C1C}">
              <a14:useLocalDpi xmlns:a14="http://schemas.microsoft.com/office/drawing/2010/main" val="0"/>
            </a:ext>
          </a:extLst>
        </a:blip>
        <a:stretch>
          <a:fillRect/>
        </a:stretch>
      </xdr:blipFill>
      <xdr:spPr>
        <a:xfrm>
          <a:off x="1111547" y="179809390"/>
          <a:ext cx="42329" cy="42468"/>
        </a:xfrm>
        <a:prstGeom prst="rect">
          <a:avLst/>
        </a:prstGeom>
      </xdr:spPr>
    </xdr:pic>
    <xdr:clientData/>
  </xdr:absoluteAnchor>
  <xdr:absoluteAnchor>
    <xdr:pos x="210400" y="179666478"/>
    <xdr:ext cx="565111" cy="445364"/>
    <xdr:pic>
      <xdr:nvPicPr>
        <xdr:cNvPr id="317" name="image166.png">
          <a:extLst>
            <a:ext uri="{FF2B5EF4-FFF2-40B4-BE49-F238E27FC236}">
              <a16:creationId xmlns:a16="http://schemas.microsoft.com/office/drawing/2014/main" id="{D0D41416-EA4F-4971-8D52-62BCF5DA9B48}"/>
            </a:ext>
          </a:extLst>
        </xdr:cNvPr>
        <xdr:cNvPicPr>
          <a:picLocks noChangeAspect="1"/>
        </xdr:cNvPicPr>
      </xdr:nvPicPr>
      <xdr:blipFill>
        <a:blip xmlns:r="http://schemas.openxmlformats.org/officeDocument/2006/relationships" r:embed="rId96">
          <a:extLst>
            <a:ext uri="{28A0092B-C50C-407E-A947-70E740481C1C}">
              <a14:useLocalDpi xmlns:a14="http://schemas.microsoft.com/office/drawing/2010/main" val="0"/>
            </a:ext>
          </a:extLst>
        </a:blip>
        <a:stretch>
          <a:fillRect/>
        </a:stretch>
      </xdr:blipFill>
      <xdr:spPr>
        <a:xfrm>
          <a:off x="210400" y="179666478"/>
          <a:ext cx="565111" cy="445364"/>
        </a:xfrm>
        <a:prstGeom prst="rect">
          <a:avLst/>
        </a:prstGeom>
      </xdr:spPr>
    </xdr:pic>
    <xdr:clientData/>
  </xdr:absoluteAnchor>
  <xdr:absoluteAnchor>
    <xdr:pos x="1100562" y="180067520"/>
    <xdr:ext cx="64287" cy="44272"/>
    <xdr:pic>
      <xdr:nvPicPr>
        <xdr:cNvPr id="318" name="image110.png">
          <a:extLst>
            <a:ext uri="{FF2B5EF4-FFF2-40B4-BE49-F238E27FC236}">
              <a16:creationId xmlns:a16="http://schemas.microsoft.com/office/drawing/2014/main" id="{9F67764A-DD09-4B82-8093-48E845F6C38E}"/>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100562" y="180067520"/>
          <a:ext cx="64287" cy="44272"/>
        </a:xfrm>
        <a:prstGeom prst="rect">
          <a:avLst/>
        </a:prstGeom>
      </xdr:spPr>
    </xdr:pic>
    <xdr:clientData/>
  </xdr:absoluteAnchor>
  <xdr:absoluteAnchor>
    <xdr:pos x="6095994" y="189738595"/>
    <xdr:ext cx="370719" cy="182255"/>
    <xdr:pic>
      <xdr:nvPicPr>
        <xdr:cNvPr id="319" name="image188.png">
          <a:extLst>
            <a:ext uri="{FF2B5EF4-FFF2-40B4-BE49-F238E27FC236}">
              <a16:creationId xmlns:a16="http://schemas.microsoft.com/office/drawing/2014/main" id="{E8E9B63E-7C89-4CE0-8DD1-D71402DF47F7}"/>
            </a:ext>
          </a:extLst>
        </xdr:cNvPr>
        <xdr:cNvPicPr>
          <a:picLocks noChangeAspect="1"/>
        </xdr:cNvPicPr>
      </xdr:nvPicPr>
      <xdr:blipFill>
        <a:blip xmlns:r="http://schemas.openxmlformats.org/officeDocument/2006/relationships" r:embed="rId97">
          <a:extLst>
            <a:ext uri="{28A0092B-C50C-407E-A947-70E740481C1C}">
              <a14:useLocalDpi xmlns:a14="http://schemas.microsoft.com/office/drawing/2010/main" val="0"/>
            </a:ext>
          </a:extLst>
        </a:blip>
        <a:stretch>
          <a:fillRect/>
        </a:stretch>
      </xdr:blipFill>
      <xdr:spPr>
        <a:xfrm>
          <a:off x="6095994" y="189738595"/>
          <a:ext cx="370719" cy="182255"/>
        </a:xfrm>
        <a:prstGeom prst="rect">
          <a:avLst/>
        </a:prstGeom>
      </xdr:spPr>
    </xdr:pic>
    <xdr:clientData/>
  </xdr:absoluteAnchor>
  <xdr:absoluteAnchor>
    <xdr:pos x="249684" y="190011322"/>
    <xdr:ext cx="117594" cy="142904"/>
    <xdr:pic>
      <xdr:nvPicPr>
        <xdr:cNvPr id="320" name="image189.png">
          <a:extLst>
            <a:ext uri="{FF2B5EF4-FFF2-40B4-BE49-F238E27FC236}">
              <a16:creationId xmlns:a16="http://schemas.microsoft.com/office/drawing/2014/main" id="{C6709ED9-EDC2-4E1D-8F71-DAA071D93B99}"/>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249684" y="190011322"/>
          <a:ext cx="117594" cy="142904"/>
        </a:xfrm>
        <a:prstGeom prst="rect">
          <a:avLst/>
        </a:prstGeom>
      </xdr:spPr>
    </xdr:pic>
    <xdr:clientData/>
  </xdr:absoluteAnchor>
  <xdr:absoluteAnchor>
    <xdr:pos x="1104155" y="190011322"/>
    <xdr:ext cx="565132" cy="445317"/>
    <xdr:pic>
      <xdr:nvPicPr>
        <xdr:cNvPr id="321" name="image190.png">
          <a:extLst>
            <a:ext uri="{FF2B5EF4-FFF2-40B4-BE49-F238E27FC236}">
              <a16:creationId xmlns:a16="http://schemas.microsoft.com/office/drawing/2014/main" id="{EFF9359D-7A32-40A8-8C5A-EE3158E740EB}"/>
            </a:ext>
          </a:extLst>
        </xdr:cNvPr>
        <xdr:cNvPicPr>
          <a:picLocks noChangeAspect="1"/>
        </xdr:cNvPicPr>
      </xdr:nvPicPr>
      <xdr:blipFill>
        <a:blip xmlns:r="http://schemas.openxmlformats.org/officeDocument/2006/relationships" r:embed="rId99">
          <a:extLst>
            <a:ext uri="{28A0092B-C50C-407E-A947-70E740481C1C}">
              <a14:useLocalDpi xmlns:a14="http://schemas.microsoft.com/office/drawing/2010/main" val="0"/>
            </a:ext>
          </a:extLst>
        </a:blip>
        <a:stretch>
          <a:fillRect/>
        </a:stretch>
      </xdr:blipFill>
      <xdr:spPr>
        <a:xfrm>
          <a:off x="1104155" y="190011322"/>
          <a:ext cx="565132" cy="445317"/>
        </a:xfrm>
        <a:prstGeom prst="rect">
          <a:avLst/>
        </a:prstGeom>
      </xdr:spPr>
    </xdr:pic>
    <xdr:clientData/>
  </xdr:absoluteAnchor>
  <xdr:absoluteAnchor>
    <xdr:pos x="714827" y="190412365"/>
    <xdr:ext cx="64287" cy="44272"/>
    <xdr:pic>
      <xdr:nvPicPr>
        <xdr:cNvPr id="322" name="image110.png">
          <a:extLst>
            <a:ext uri="{FF2B5EF4-FFF2-40B4-BE49-F238E27FC236}">
              <a16:creationId xmlns:a16="http://schemas.microsoft.com/office/drawing/2014/main" id="{F5F1DA94-9591-4E6C-9991-48BE97CE4E39}"/>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714827" y="190412365"/>
          <a:ext cx="64287" cy="44272"/>
        </a:xfrm>
        <a:prstGeom prst="rect">
          <a:avLst/>
        </a:prstGeom>
      </xdr:spPr>
    </xdr:pic>
    <xdr:clientData/>
  </xdr:absoluteAnchor>
  <xdr:absoluteAnchor>
    <xdr:pos x="725815" y="190154222"/>
    <xdr:ext cx="42329" cy="42481"/>
    <xdr:pic>
      <xdr:nvPicPr>
        <xdr:cNvPr id="323" name="image117.png">
          <a:extLst>
            <a:ext uri="{FF2B5EF4-FFF2-40B4-BE49-F238E27FC236}">
              <a16:creationId xmlns:a16="http://schemas.microsoft.com/office/drawing/2014/main" id="{810CD2F9-0400-4BCC-B776-56AF5623A48B}"/>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725815" y="190154222"/>
          <a:ext cx="42329" cy="42481"/>
        </a:xfrm>
        <a:prstGeom prst="rect">
          <a:avLst/>
        </a:prstGeom>
      </xdr:spPr>
    </xdr:pic>
    <xdr:clientData/>
  </xdr:absoluteAnchor>
  <xdr:absoluteAnchor>
    <xdr:pos x="723115" y="193672593"/>
    <xdr:ext cx="42316" cy="42468"/>
    <xdr:pic>
      <xdr:nvPicPr>
        <xdr:cNvPr id="324" name="image206.png">
          <a:extLst>
            <a:ext uri="{FF2B5EF4-FFF2-40B4-BE49-F238E27FC236}">
              <a16:creationId xmlns:a16="http://schemas.microsoft.com/office/drawing/2014/main" id="{084CE69C-CDD1-4ACE-B70A-46486FBCFD4C}"/>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723115" y="193672593"/>
          <a:ext cx="42316" cy="42468"/>
        </a:xfrm>
        <a:prstGeom prst="rect">
          <a:avLst/>
        </a:prstGeom>
      </xdr:spPr>
    </xdr:pic>
    <xdr:clientData/>
  </xdr:absoluteAnchor>
  <xdr:absoluteAnchor>
    <xdr:pos x="1112443" y="193672593"/>
    <xdr:ext cx="42329" cy="42468"/>
    <xdr:pic>
      <xdr:nvPicPr>
        <xdr:cNvPr id="325" name="image206.png">
          <a:extLst>
            <a:ext uri="{FF2B5EF4-FFF2-40B4-BE49-F238E27FC236}">
              <a16:creationId xmlns:a16="http://schemas.microsoft.com/office/drawing/2014/main" id="{0A6A9DAB-C60B-4EF7-9DEB-9EF0E44D4D2D}"/>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tretch>
          <a:fillRect/>
        </a:stretch>
      </xdr:blipFill>
      <xdr:spPr>
        <a:xfrm>
          <a:off x="1112443" y="193672593"/>
          <a:ext cx="42329" cy="42468"/>
        </a:xfrm>
        <a:prstGeom prst="rect">
          <a:avLst/>
        </a:prstGeom>
      </xdr:spPr>
    </xdr:pic>
    <xdr:clientData/>
  </xdr:absoluteAnchor>
  <xdr:absoluteAnchor>
    <xdr:pos x="68418" y="193897287"/>
    <xdr:ext cx="142871" cy="42011"/>
    <xdr:pic>
      <xdr:nvPicPr>
        <xdr:cNvPr id="326" name="image207.png">
          <a:extLst>
            <a:ext uri="{FF2B5EF4-FFF2-40B4-BE49-F238E27FC236}">
              <a16:creationId xmlns:a16="http://schemas.microsoft.com/office/drawing/2014/main" id="{76E8FF4F-2654-4DC0-83CE-903E9799942D}"/>
            </a:ext>
          </a:extLst>
        </xdr:cNvPr>
        <xdr:cNvPicPr>
          <a:picLocks noChangeAspect="1"/>
        </xdr:cNvPicPr>
      </xdr:nvPicPr>
      <xdr:blipFill>
        <a:blip xmlns:r="http://schemas.openxmlformats.org/officeDocument/2006/relationships" r:embed="rId101">
          <a:extLst>
            <a:ext uri="{28A0092B-C50C-407E-A947-70E740481C1C}">
              <a14:useLocalDpi xmlns:a14="http://schemas.microsoft.com/office/drawing/2010/main" val="0"/>
            </a:ext>
          </a:extLst>
        </a:blip>
        <a:stretch>
          <a:fillRect/>
        </a:stretch>
      </xdr:blipFill>
      <xdr:spPr>
        <a:xfrm>
          <a:off x="68418" y="193897287"/>
          <a:ext cx="142871" cy="42011"/>
        </a:xfrm>
        <a:prstGeom prst="rect">
          <a:avLst/>
        </a:prstGeom>
      </xdr:spPr>
    </xdr:pic>
    <xdr:clientData/>
  </xdr:absoluteAnchor>
  <xdr:absoluteAnchor>
    <xdr:pos x="68386" y="193802781"/>
    <xdr:ext cx="142902" cy="42011"/>
    <xdr:pic>
      <xdr:nvPicPr>
        <xdr:cNvPr id="327" name="image208.png">
          <a:extLst>
            <a:ext uri="{FF2B5EF4-FFF2-40B4-BE49-F238E27FC236}">
              <a16:creationId xmlns:a16="http://schemas.microsoft.com/office/drawing/2014/main" id="{4EA1060F-1C5E-4AC7-B0EF-E76D5A23F01F}"/>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tretch>
          <a:fillRect/>
        </a:stretch>
      </xdr:blipFill>
      <xdr:spPr>
        <a:xfrm>
          <a:off x="68386" y="193802781"/>
          <a:ext cx="142902" cy="42011"/>
        </a:xfrm>
        <a:prstGeom prst="rect">
          <a:avLst/>
        </a:prstGeom>
      </xdr:spPr>
    </xdr:pic>
    <xdr:clientData/>
  </xdr:absoluteAnchor>
  <xdr:absoluteAnchor>
    <xdr:pos x="1666605" y="193802793"/>
    <xdr:ext cx="142883" cy="41998"/>
    <xdr:pic>
      <xdr:nvPicPr>
        <xdr:cNvPr id="328" name="image120.png">
          <a:extLst>
            <a:ext uri="{FF2B5EF4-FFF2-40B4-BE49-F238E27FC236}">
              <a16:creationId xmlns:a16="http://schemas.microsoft.com/office/drawing/2014/main" id="{1ABFBA6F-B2F6-4EC0-A27F-19F04FB07A4E}"/>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1666605" y="193802793"/>
          <a:ext cx="142883" cy="41998"/>
        </a:xfrm>
        <a:prstGeom prst="rect">
          <a:avLst/>
        </a:prstGeom>
      </xdr:spPr>
    </xdr:pic>
    <xdr:clientData/>
  </xdr:absoluteAnchor>
  <xdr:absoluteAnchor>
    <xdr:pos x="1666586" y="193897274"/>
    <xdr:ext cx="142902" cy="42024"/>
    <xdr:pic>
      <xdr:nvPicPr>
        <xdr:cNvPr id="329" name="image115.png">
          <a:extLst>
            <a:ext uri="{FF2B5EF4-FFF2-40B4-BE49-F238E27FC236}">
              <a16:creationId xmlns:a16="http://schemas.microsoft.com/office/drawing/2014/main" id="{7D20DC50-76B8-484D-9C35-30A6C3166F38}"/>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1666586" y="193897274"/>
          <a:ext cx="142902" cy="42024"/>
        </a:xfrm>
        <a:prstGeom prst="rect">
          <a:avLst/>
        </a:prstGeom>
      </xdr:spPr>
    </xdr:pic>
    <xdr:clientData/>
  </xdr:absoluteAnchor>
  <xdr:absoluteAnchor>
    <xdr:pos x="76" y="207177022"/>
    <xdr:ext cx="81000" cy="56248"/>
    <xdr:pic>
      <xdr:nvPicPr>
        <xdr:cNvPr id="330" name="image174.png">
          <a:extLst>
            <a:ext uri="{FF2B5EF4-FFF2-40B4-BE49-F238E27FC236}">
              <a16:creationId xmlns:a16="http://schemas.microsoft.com/office/drawing/2014/main" id="{B5A360B4-DBE8-4A33-8A68-59246B8502AE}"/>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76" y="207177022"/>
          <a:ext cx="81000" cy="56248"/>
        </a:xfrm>
        <a:prstGeom prst="rect">
          <a:avLst/>
        </a:prstGeom>
      </xdr:spPr>
    </xdr:pic>
    <xdr:clientData/>
  </xdr:absoluteAnchor>
  <xdr:absoluteAnchor>
    <xdr:pos x="221297" y="213515252"/>
    <xdr:ext cx="557446" cy="184627"/>
    <xdr:pic>
      <xdr:nvPicPr>
        <xdr:cNvPr id="331" name="image223.png">
          <a:extLst>
            <a:ext uri="{FF2B5EF4-FFF2-40B4-BE49-F238E27FC236}">
              <a16:creationId xmlns:a16="http://schemas.microsoft.com/office/drawing/2014/main" id="{8E3B1326-4FCE-4F8D-B530-C3F178BDAA8B}"/>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Lst>
        </a:blip>
        <a:stretch>
          <a:fillRect/>
        </a:stretch>
      </xdr:blipFill>
      <xdr:spPr>
        <a:xfrm>
          <a:off x="221297" y="213515252"/>
          <a:ext cx="557446" cy="184627"/>
        </a:xfrm>
        <a:prstGeom prst="rect">
          <a:avLst/>
        </a:prstGeom>
      </xdr:spPr>
    </xdr:pic>
    <xdr:clientData/>
  </xdr:absoluteAnchor>
  <xdr:absoluteAnchor>
    <xdr:pos x="1110213" y="215403757"/>
    <xdr:ext cx="627156" cy="437969"/>
    <xdr:pic>
      <xdr:nvPicPr>
        <xdr:cNvPr id="332" name="image236.png">
          <a:extLst>
            <a:ext uri="{FF2B5EF4-FFF2-40B4-BE49-F238E27FC236}">
              <a16:creationId xmlns:a16="http://schemas.microsoft.com/office/drawing/2014/main" id="{A02109E1-0ED9-47DB-88D7-F0790D981D51}"/>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1110213" y="215403757"/>
          <a:ext cx="627156" cy="437969"/>
        </a:xfrm>
        <a:prstGeom prst="rect">
          <a:avLst/>
        </a:prstGeom>
      </xdr:spPr>
    </xdr:pic>
    <xdr:clientData/>
  </xdr:absoluteAnchor>
  <xdr:absoluteAnchor>
    <xdr:pos x="221297" y="215695038"/>
    <xdr:ext cx="466064" cy="146692"/>
    <xdr:pic>
      <xdr:nvPicPr>
        <xdr:cNvPr id="333" name="image237.png">
          <a:extLst>
            <a:ext uri="{FF2B5EF4-FFF2-40B4-BE49-F238E27FC236}">
              <a16:creationId xmlns:a16="http://schemas.microsoft.com/office/drawing/2014/main" id="{4D037F5E-C90B-4FC2-A030-EA7B1D3E05CF}"/>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221297" y="215695038"/>
          <a:ext cx="466064" cy="146692"/>
        </a:xfrm>
        <a:prstGeom prst="rect">
          <a:avLst/>
        </a:prstGeom>
      </xdr:spPr>
    </xdr:pic>
    <xdr:clientData/>
  </xdr:absoluteAnchor>
  <xdr:absoluteAnchor>
    <xdr:pos x="726154" y="215403757"/>
    <xdr:ext cx="41757" cy="40627"/>
    <xdr:pic>
      <xdr:nvPicPr>
        <xdr:cNvPr id="334" name="image238.png">
          <a:extLst>
            <a:ext uri="{FF2B5EF4-FFF2-40B4-BE49-F238E27FC236}">
              <a16:creationId xmlns:a16="http://schemas.microsoft.com/office/drawing/2014/main" id="{4F2C2E42-D47B-4914-B490-8EB6B39BB65C}"/>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Lst>
        </a:blip>
        <a:stretch>
          <a:fillRect/>
        </a:stretch>
      </xdr:blipFill>
      <xdr:spPr>
        <a:xfrm>
          <a:off x="726154" y="215403757"/>
          <a:ext cx="41757" cy="40627"/>
        </a:xfrm>
        <a:prstGeom prst="rect">
          <a:avLst/>
        </a:prstGeom>
      </xdr:spPr>
    </xdr:pic>
    <xdr:clientData/>
  </xdr:absoluteAnchor>
  <xdr:absoluteAnchor>
    <xdr:pos x="1131457" y="222372882"/>
    <xdr:ext cx="611520" cy="439251"/>
    <xdr:pic>
      <xdr:nvPicPr>
        <xdr:cNvPr id="335" name="image250.png">
          <a:extLst>
            <a:ext uri="{FF2B5EF4-FFF2-40B4-BE49-F238E27FC236}">
              <a16:creationId xmlns:a16="http://schemas.microsoft.com/office/drawing/2014/main" id="{991B9BF1-C320-4838-84C1-0B8836E1F6B4}"/>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1131457" y="222372882"/>
          <a:ext cx="611520" cy="439251"/>
        </a:xfrm>
        <a:prstGeom prst="rect">
          <a:avLst/>
        </a:prstGeom>
      </xdr:spPr>
    </xdr:pic>
    <xdr:clientData/>
  </xdr:absoluteAnchor>
  <xdr:absoluteAnchor>
    <xdr:pos x="253390" y="222627502"/>
    <xdr:ext cx="557448" cy="184627"/>
    <xdr:pic>
      <xdr:nvPicPr>
        <xdr:cNvPr id="336" name="image251.png">
          <a:extLst>
            <a:ext uri="{FF2B5EF4-FFF2-40B4-BE49-F238E27FC236}">
              <a16:creationId xmlns:a16="http://schemas.microsoft.com/office/drawing/2014/main" id="{EB322D02-53B9-4F78-9FC9-82BE1897E73C}"/>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253390" y="222627502"/>
          <a:ext cx="557448" cy="184627"/>
        </a:xfrm>
        <a:prstGeom prst="rect">
          <a:avLst/>
        </a:prstGeom>
      </xdr:spPr>
    </xdr:pic>
    <xdr:clientData/>
  </xdr:absoluteAnchor>
  <xdr:absoluteAnchor>
    <xdr:pos x="758262" y="222372882"/>
    <xdr:ext cx="41744" cy="41897"/>
    <xdr:pic>
      <xdr:nvPicPr>
        <xdr:cNvPr id="337" name="image117.png">
          <a:extLst>
            <a:ext uri="{FF2B5EF4-FFF2-40B4-BE49-F238E27FC236}">
              <a16:creationId xmlns:a16="http://schemas.microsoft.com/office/drawing/2014/main" id="{4371B4EF-CD7E-4FC0-B089-A0C7D3E37A47}"/>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758262" y="222372882"/>
          <a:ext cx="41744" cy="41897"/>
        </a:xfrm>
        <a:prstGeom prst="rect">
          <a:avLst/>
        </a:prstGeom>
      </xdr:spPr>
    </xdr:pic>
    <xdr:clientData/>
  </xdr:absoluteAnchor>
  <xdr:absoluteAnchor>
    <xdr:pos x="195148" y="224905242"/>
    <xdr:ext cx="557443" cy="184626"/>
    <xdr:pic>
      <xdr:nvPicPr>
        <xdr:cNvPr id="338" name="image263.png">
          <a:extLst>
            <a:ext uri="{FF2B5EF4-FFF2-40B4-BE49-F238E27FC236}">
              <a16:creationId xmlns:a16="http://schemas.microsoft.com/office/drawing/2014/main" id="{30971958-F512-4450-A0C3-52AA73AE4171}"/>
            </a:ext>
          </a:extLst>
        </xdr:cNvPr>
        <xdr:cNvPicPr>
          <a:picLocks noChangeAspect="1"/>
        </xdr:cNvPicPr>
      </xdr:nvPicPr>
      <xdr:blipFill>
        <a:blip xmlns:r="http://schemas.openxmlformats.org/officeDocument/2006/relationships" r:embed="rId110">
          <a:extLst>
            <a:ext uri="{28A0092B-C50C-407E-A947-70E740481C1C}">
              <a14:useLocalDpi xmlns:a14="http://schemas.microsoft.com/office/drawing/2010/main" val="0"/>
            </a:ext>
          </a:extLst>
        </a:blip>
        <a:stretch>
          <a:fillRect/>
        </a:stretch>
      </xdr:blipFill>
      <xdr:spPr>
        <a:xfrm>
          <a:off x="195148" y="224905242"/>
          <a:ext cx="557443" cy="184626"/>
        </a:xfrm>
        <a:prstGeom prst="rect">
          <a:avLst/>
        </a:prstGeom>
      </xdr:spPr>
    </xdr:pic>
    <xdr:clientData/>
  </xdr:absoluteAnchor>
  <xdr:absoluteAnchor>
    <xdr:pos x="1199807" y="224948923"/>
    <xdr:ext cx="41414" cy="140943"/>
    <xdr:pic>
      <xdr:nvPicPr>
        <xdr:cNvPr id="339" name="image264.png">
          <a:extLst>
            <a:ext uri="{FF2B5EF4-FFF2-40B4-BE49-F238E27FC236}">
              <a16:creationId xmlns:a16="http://schemas.microsoft.com/office/drawing/2014/main" id="{3B987D26-B226-47AB-80D2-5C83864CC37B}"/>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1199807" y="224948923"/>
          <a:ext cx="41414" cy="140943"/>
        </a:xfrm>
        <a:prstGeom prst="rect">
          <a:avLst/>
        </a:prstGeom>
      </xdr:spPr>
    </xdr:pic>
    <xdr:clientData/>
  </xdr:absoluteAnchor>
  <xdr:absoluteAnchor>
    <xdr:pos x="1554043" y="224948923"/>
    <xdr:ext cx="41427" cy="140950"/>
    <xdr:pic>
      <xdr:nvPicPr>
        <xdr:cNvPr id="340" name="image265.png">
          <a:extLst>
            <a:ext uri="{FF2B5EF4-FFF2-40B4-BE49-F238E27FC236}">
              <a16:creationId xmlns:a16="http://schemas.microsoft.com/office/drawing/2014/main" id="{05386F81-F098-430B-ADCC-E1A39BECC5B1}"/>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1554043" y="224948923"/>
          <a:ext cx="41427" cy="140950"/>
        </a:xfrm>
        <a:prstGeom prst="rect">
          <a:avLst/>
        </a:prstGeom>
      </xdr:spPr>
    </xdr:pic>
    <xdr:clientData/>
  </xdr:absoluteAnchor>
  <xdr:absoluteAnchor>
    <xdr:pos x="1073227" y="224905242"/>
    <xdr:ext cx="63411" cy="43675"/>
    <xdr:pic>
      <xdr:nvPicPr>
        <xdr:cNvPr id="341" name="image110.png">
          <a:extLst>
            <a:ext uri="{FF2B5EF4-FFF2-40B4-BE49-F238E27FC236}">
              <a16:creationId xmlns:a16="http://schemas.microsoft.com/office/drawing/2014/main" id="{7A1960A0-8B04-4733-A1B7-93D02FE085AA}"/>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1073227" y="224905242"/>
          <a:ext cx="63411" cy="43675"/>
        </a:xfrm>
        <a:prstGeom prst="rect">
          <a:avLst/>
        </a:prstGeom>
      </xdr:spPr>
    </xdr:pic>
    <xdr:clientData/>
  </xdr:absoluteAnchor>
  <xdr:absoluteAnchor>
    <xdr:pos x="1084061" y="224650622"/>
    <xdr:ext cx="41757" cy="41897"/>
    <xdr:pic>
      <xdr:nvPicPr>
        <xdr:cNvPr id="342" name="image119.png">
          <a:extLst>
            <a:ext uri="{FF2B5EF4-FFF2-40B4-BE49-F238E27FC236}">
              <a16:creationId xmlns:a16="http://schemas.microsoft.com/office/drawing/2014/main" id="{D6D7F595-152B-4D6E-80B2-7985BFA7B2A4}"/>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1084061" y="224650622"/>
          <a:ext cx="41757" cy="41897"/>
        </a:xfrm>
        <a:prstGeom prst="rect">
          <a:avLst/>
        </a:prstGeom>
      </xdr:spPr>
    </xdr:pic>
    <xdr:clientData/>
  </xdr:absoluteAnchor>
  <xdr:absoluteAnchor>
    <xdr:pos x="700027" y="224650622"/>
    <xdr:ext cx="41744" cy="41897"/>
    <xdr:pic>
      <xdr:nvPicPr>
        <xdr:cNvPr id="343" name="image266.png">
          <a:extLst>
            <a:ext uri="{FF2B5EF4-FFF2-40B4-BE49-F238E27FC236}">
              <a16:creationId xmlns:a16="http://schemas.microsoft.com/office/drawing/2014/main" id="{88C62410-8E1A-414F-B6D7-572285872D29}"/>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700027" y="224650622"/>
          <a:ext cx="41744" cy="41897"/>
        </a:xfrm>
        <a:prstGeom prst="rect">
          <a:avLst/>
        </a:prstGeom>
      </xdr:spPr>
    </xdr:pic>
    <xdr:clientData/>
  </xdr:absoluteAnchor>
  <xdr:absoluteAnchor>
    <xdr:pos x="1319985" y="250849333"/>
    <xdr:ext cx="806450" cy="1437640"/>
    <xdr:grpSp>
      <xdr:nvGrpSpPr>
        <xdr:cNvPr id="344" name="Group 1037">
          <a:extLst>
            <a:ext uri="{FF2B5EF4-FFF2-40B4-BE49-F238E27FC236}">
              <a16:creationId xmlns:a16="http://schemas.microsoft.com/office/drawing/2014/main" id="{717DA000-BC92-48A7-93BF-EA24A91B0526}"/>
            </a:ext>
          </a:extLst>
        </xdr:cNvPr>
        <xdr:cNvGrpSpPr/>
      </xdr:nvGrpSpPr>
      <xdr:grpSpPr>
        <a:xfrm>
          <a:off x="1319985" y="250849333"/>
          <a:ext cx="806450" cy="1437640"/>
          <a:chOff x="0" y="0"/>
          <a:chExt cx="806450" cy="1437640"/>
        </a:xfrm>
      </xdr:grpSpPr>
      <xdr:sp macro="" textlink="">
        <xdr:nvSpPr>
          <xdr:cNvPr id="345" name="Shape 1038">
            <a:extLst>
              <a:ext uri="{FF2B5EF4-FFF2-40B4-BE49-F238E27FC236}">
                <a16:creationId xmlns:a16="http://schemas.microsoft.com/office/drawing/2014/main" id="{16D5C92D-58DD-D45A-A8C5-4B0936E36C97}"/>
              </a:ext>
            </a:extLst>
          </xdr:cNvPr>
          <xdr:cNvSpPr/>
        </xdr:nvSpPr>
        <xdr:spPr>
          <a:xfrm>
            <a:off x="141348" y="315359"/>
            <a:ext cx="543560" cy="1120140"/>
          </a:xfrm>
          <a:custGeom>
            <a:avLst/>
            <a:gdLst/>
            <a:ahLst/>
            <a:cxnLst/>
            <a:rect l="0" t="0" r="0" b="0"/>
            <a:pathLst>
              <a:path w="543560" h="1120140">
                <a:moveTo>
                  <a:pt x="0" y="795070"/>
                </a:moveTo>
                <a:lnTo>
                  <a:pt x="87655" y="707415"/>
                </a:lnTo>
              </a:path>
              <a:path w="543560" h="1120140">
                <a:moveTo>
                  <a:pt x="0" y="724916"/>
                </a:moveTo>
                <a:lnTo>
                  <a:pt x="87655" y="637273"/>
                </a:lnTo>
              </a:path>
              <a:path w="543560" h="1120140">
                <a:moveTo>
                  <a:pt x="0" y="654761"/>
                </a:moveTo>
                <a:lnTo>
                  <a:pt x="87655" y="567105"/>
                </a:lnTo>
              </a:path>
              <a:path w="543560" h="1120140">
                <a:moveTo>
                  <a:pt x="0" y="584593"/>
                </a:moveTo>
                <a:lnTo>
                  <a:pt x="87655" y="496938"/>
                </a:lnTo>
              </a:path>
              <a:path w="543560" h="1120140">
                <a:moveTo>
                  <a:pt x="0" y="514426"/>
                </a:moveTo>
                <a:lnTo>
                  <a:pt x="87655" y="426796"/>
                </a:lnTo>
              </a:path>
              <a:path w="543560" h="1120140">
                <a:moveTo>
                  <a:pt x="0" y="444271"/>
                </a:moveTo>
                <a:lnTo>
                  <a:pt x="87655" y="356616"/>
                </a:lnTo>
              </a:path>
              <a:path w="543560" h="1120140">
                <a:moveTo>
                  <a:pt x="0" y="374103"/>
                </a:moveTo>
                <a:lnTo>
                  <a:pt x="87655" y="286461"/>
                </a:lnTo>
              </a:path>
              <a:path w="543560" h="1120140">
                <a:moveTo>
                  <a:pt x="0" y="303949"/>
                </a:moveTo>
                <a:lnTo>
                  <a:pt x="87655" y="216293"/>
                </a:lnTo>
              </a:path>
              <a:path w="543560" h="1120140">
                <a:moveTo>
                  <a:pt x="0" y="233794"/>
                </a:moveTo>
                <a:lnTo>
                  <a:pt x="87655" y="146138"/>
                </a:lnTo>
              </a:path>
              <a:path w="543560" h="1120140">
                <a:moveTo>
                  <a:pt x="0" y="163626"/>
                </a:moveTo>
                <a:lnTo>
                  <a:pt x="87655" y="75984"/>
                </a:lnTo>
              </a:path>
              <a:path w="543560" h="1120140">
                <a:moveTo>
                  <a:pt x="0" y="93472"/>
                </a:moveTo>
                <a:lnTo>
                  <a:pt x="87655" y="5816"/>
                </a:lnTo>
              </a:path>
              <a:path w="543560" h="1120140">
                <a:moveTo>
                  <a:pt x="0" y="23304"/>
                </a:moveTo>
                <a:lnTo>
                  <a:pt x="23317" y="0"/>
                </a:lnTo>
              </a:path>
              <a:path w="543560" h="1120140">
                <a:moveTo>
                  <a:pt x="0" y="865238"/>
                </a:moveTo>
                <a:lnTo>
                  <a:pt x="87655" y="777582"/>
                </a:lnTo>
              </a:path>
              <a:path w="543560" h="1120140">
                <a:moveTo>
                  <a:pt x="0" y="935405"/>
                </a:moveTo>
                <a:lnTo>
                  <a:pt x="87655" y="847750"/>
                </a:lnTo>
              </a:path>
              <a:path w="543560" h="1120140">
                <a:moveTo>
                  <a:pt x="0" y="1005560"/>
                </a:moveTo>
                <a:lnTo>
                  <a:pt x="87655" y="917905"/>
                </a:lnTo>
              </a:path>
              <a:path w="543560" h="1120140">
                <a:moveTo>
                  <a:pt x="0" y="1075715"/>
                </a:moveTo>
                <a:lnTo>
                  <a:pt x="87655" y="988060"/>
                </a:lnTo>
              </a:path>
              <a:path w="543560" h="1120140">
                <a:moveTo>
                  <a:pt x="26200" y="1119682"/>
                </a:moveTo>
                <a:lnTo>
                  <a:pt x="103746" y="1042136"/>
                </a:lnTo>
              </a:path>
              <a:path w="543560" h="1120140">
                <a:moveTo>
                  <a:pt x="96367" y="1119682"/>
                </a:moveTo>
                <a:lnTo>
                  <a:pt x="173901" y="1042136"/>
                </a:lnTo>
              </a:path>
              <a:path w="543560" h="1120140">
                <a:moveTo>
                  <a:pt x="166522" y="1119682"/>
                </a:moveTo>
                <a:lnTo>
                  <a:pt x="244068" y="1042136"/>
                </a:lnTo>
              </a:path>
              <a:path w="543560" h="1120140">
                <a:moveTo>
                  <a:pt x="236677" y="1119682"/>
                </a:moveTo>
                <a:lnTo>
                  <a:pt x="314223" y="1042136"/>
                </a:lnTo>
              </a:path>
              <a:path w="543560" h="1120140">
                <a:moveTo>
                  <a:pt x="306844" y="1119682"/>
                </a:moveTo>
                <a:lnTo>
                  <a:pt x="384378" y="1042136"/>
                </a:lnTo>
              </a:path>
              <a:path w="543560" h="1120140">
                <a:moveTo>
                  <a:pt x="376999" y="1119682"/>
                </a:moveTo>
                <a:lnTo>
                  <a:pt x="454545" y="1042136"/>
                </a:lnTo>
              </a:path>
              <a:path w="543560" h="1120140">
                <a:moveTo>
                  <a:pt x="447167" y="1119682"/>
                </a:moveTo>
                <a:lnTo>
                  <a:pt x="524700" y="1042136"/>
                </a:lnTo>
              </a:path>
              <a:path w="543560" h="1120140">
                <a:moveTo>
                  <a:pt x="517321" y="1119682"/>
                </a:moveTo>
                <a:lnTo>
                  <a:pt x="542975" y="1094003"/>
                </a:lnTo>
              </a:path>
              <a:path w="543560" h="1120140">
                <a:moveTo>
                  <a:pt x="202056" y="346379"/>
                </a:moveTo>
                <a:lnTo>
                  <a:pt x="202056" y="321640"/>
                </a:lnTo>
              </a:path>
              <a:path w="543560" h="1120140">
                <a:moveTo>
                  <a:pt x="225869" y="346379"/>
                </a:moveTo>
                <a:lnTo>
                  <a:pt x="225869" y="180936"/>
                </a:lnTo>
              </a:path>
              <a:path w="543560" h="1120140">
                <a:moveTo>
                  <a:pt x="275475" y="346379"/>
                </a:moveTo>
                <a:lnTo>
                  <a:pt x="275475" y="180936"/>
                </a:lnTo>
              </a:path>
              <a:path w="543560" h="1120140">
                <a:moveTo>
                  <a:pt x="299288" y="346379"/>
                </a:moveTo>
                <a:lnTo>
                  <a:pt x="299288" y="180936"/>
                </a:lnTo>
              </a:path>
              <a:path w="543560" h="1120140">
                <a:moveTo>
                  <a:pt x="348894" y="346379"/>
                </a:moveTo>
                <a:lnTo>
                  <a:pt x="348894" y="54927"/>
                </a:lnTo>
              </a:path>
              <a:path w="543560" h="1120140">
                <a:moveTo>
                  <a:pt x="152450" y="54927"/>
                </a:moveTo>
                <a:lnTo>
                  <a:pt x="152450" y="260108"/>
                </a:lnTo>
              </a:path>
              <a:path w="543560" h="1120140">
                <a:moveTo>
                  <a:pt x="152450" y="346379"/>
                </a:moveTo>
                <a:lnTo>
                  <a:pt x="152450" y="651446"/>
                </a:lnTo>
              </a:path>
              <a:path w="543560" h="1120140">
                <a:moveTo>
                  <a:pt x="348894" y="918159"/>
                </a:moveTo>
                <a:lnTo>
                  <a:pt x="348894" y="346379"/>
                </a:lnTo>
              </a:path>
              <a:path w="543560" h="1120140">
                <a:moveTo>
                  <a:pt x="225869" y="792149"/>
                </a:moveTo>
                <a:lnTo>
                  <a:pt x="225869" y="346379"/>
                </a:lnTo>
              </a:path>
              <a:path w="543560" h="1120140">
                <a:moveTo>
                  <a:pt x="299288" y="792149"/>
                </a:moveTo>
                <a:lnTo>
                  <a:pt x="299288" y="346379"/>
                </a:lnTo>
              </a:path>
              <a:path w="543560" h="1120140">
                <a:moveTo>
                  <a:pt x="275475" y="792149"/>
                </a:moveTo>
                <a:lnTo>
                  <a:pt x="275475" y="346379"/>
                </a:lnTo>
              </a:path>
              <a:path w="543560" h="1120140">
                <a:moveTo>
                  <a:pt x="202056" y="792149"/>
                </a:moveTo>
                <a:lnTo>
                  <a:pt x="202056" y="712965"/>
                </a:lnTo>
              </a:path>
              <a:path w="543560" h="1120140">
                <a:moveTo>
                  <a:pt x="289369" y="877481"/>
                </a:moveTo>
                <a:lnTo>
                  <a:pt x="286328" y="862410"/>
                </a:lnTo>
                <a:lnTo>
                  <a:pt x="278036" y="850106"/>
                </a:lnTo>
                <a:lnTo>
                  <a:pt x="265736" y="841812"/>
                </a:lnTo>
                <a:lnTo>
                  <a:pt x="250672" y="838771"/>
                </a:lnTo>
                <a:lnTo>
                  <a:pt x="235609" y="841812"/>
                </a:lnTo>
                <a:lnTo>
                  <a:pt x="223308" y="850106"/>
                </a:lnTo>
                <a:lnTo>
                  <a:pt x="215016" y="862410"/>
                </a:lnTo>
                <a:lnTo>
                  <a:pt x="211975" y="877481"/>
                </a:lnTo>
                <a:lnTo>
                  <a:pt x="215016" y="892539"/>
                </a:lnTo>
                <a:lnTo>
                  <a:pt x="223308" y="904840"/>
                </a:lnTo>
                <a:lnTo>
                  <a:pt x="235609" y="913135"/>
                </a:lnTo>
                <a:lnTo>
                  <a:pt x="250672" y="916177"/>
                </a:lnTo>
                <a:lnTo>
                  <a:pt x="265736" y="913135"/>
                </a:lnTo>
                <a:lnTo>
                  <a:pt x="278036" y="904840"/>
                </a:lnTo>
                <a:lnTo>
                  <a:pt x="286328" y="892539"/>
                </a:lnTo>
                <a:lnTo>
                  <a:pt x="289369" y="877481"/>
                </a:lnTo>
              </a:path>
              <a:path w="543560" h="1120140">
                <a:moveTo>
                  <a:pt x="307225" y="877481"/>
                </a:moveTo>
                <a:lnTo>
                  <a:pt x="302782" y="855465"/>
                </a:lnTo>
                <a:lnTo>
                  <a:pt x="290664" y="837480"/>
                </a:lnTo>
                <a:lnTo>
                  <a:pt x="272689" y="825351"/>
                </a:lnTo>
                <a:lnTo>
                  <a:pt x="250672" y="820902"/>
                </a:lnTo>
                <a:lnTo>
                  <a:pt x="228661" y="825351"/>
                </a:lnTo>
                <a:lnTo>
                  <a:pt x="210685" y="837480"/>
                </a:lnTo>
                <a:lnTo>
                  <a:pt x="198564" y="855465"/>
                </a:lnTo>
                <a:lnTo>
                  <a:pt x="194119" y="877481"/>
                </a:lnTo>
                <a:lnTo>
                  <a:pt x="198564" y="899492"/>
                </a:lnTo>
                <a:lnTo>
                  <a:pt x="210685" y="917468"/>
                </a:lnTo>
                <a:lnTo>
                  <a:pt x="228661" y="929589"/>
                </a:lnTo>
                <a:lnTo>
                  <a:pt x="250672" y="934034"/>
                </a:lnTo>
                <a:lnTo>
                  <a:pt x="272689" y="929589"/>
                </a:lnTo>
                <a:lnTo>
                  <a:pt x="290664" y="917468"/>
                </a:lnTo>
                <a:lnTo>
                  <a:pt x="302782" y="899492"/>
                </a:lnTo>
                <a:lnTo>
                  <a:pt x="307225" y="877481"/>
                </a:lnTo>
              </a:path>
              <a:path w="543560" h="1120140">
                <a:moveTo>
                  <a:pt x="152450" y="918159"/>
                </a:moveTo>
                <a:lnTo>
                  <a:pt x="152450" y="925741"/>
                </a:lnTo>
                <a:lnTo>
                  <a:pt x="155905" y="932903"/>
                </a:lnTo>
                <a:lnTo>
                  <a:pt x="161848" y="937590"/>
                </a:lnTo>
              </a:path>
              <a:path w="543560" h="1120140">
                <a:moveTo>
                  <a:pt x="324091" y="942962"/>
                </a:moveTo>
                <a:lnTo>
                  <a:pt x="333747" y="941012"/>
                </a:lnTo>
                <a:lnTo>
                  <a:pt x="341631" y="935694"/>
                </a:lnTo>
                <a:lnTo>
                  <a:pt x="346945" y="927810"/>
                </a:lnTo>
                <a:lnTo>
                  <a:pt x="348894" y="918159"/>
                </a:lnTo>
              </a:path>
              <a:path w="543560" h="1120140">
                <a:moveTo>
                  <a:pt x="275475" y="792149"/>
                </a:moveTo>
                <a:lnTo>
                  <a:pt x="275475" y="798728"/>
                </a:lnTo>
                <a:lnTo>
                  <a:pt x="280809" y="804037"/>
                </a:lnTo>
                <a:lnTo>
                  <a:pt x="287388" y="804037"/>
                </a:lnTo>
                <a:lnTo>
                  <a:pt x="293954" y="804037"/>
                </a:lnTo>
                <a:lnTo>
                  <a:pt x="299288" y="798728"/>
                </a:lnTo>
                <a:lnTo>
                  <a:pt x="299288" y="792149"/>
                </a:lnTo>
              </a:path>
              <a:path w="543560" h="1120140">
                <a:moveTo>
                  <a:pt x="202056" y="792149"/>
                </a:moveTo>
                <a:lnTo>
                  <a:pt x="202056" y="798728"/>
                </a:lnTo>
                <a:lnTo>
                  <a:pt x="207378" y="804037"/>
                </a:lnTo>
                <a:lnTo>
                  <a:pt x="213956" y="804037"/>
                </a:lnTo>
                <a:lnTo>
                  <a:pt x="220535" y="804037"/>
                </a:lnTo>
                <a:lnTo>
                  <a:pt x="225869" y="798728"/>
                </a:lnTo>
                <a:lnTo>
                  <a:pt x="225869" y="792149"/>
                </a:lnTo>
              </a:path>
              <a:path w="543560" h="1120140">
                <a:moveTo>
                  <a:pt x="152438" y="383578"/>
                </a:moveTo>
                <a:lnTo>
                  <a:pt x="152438" y="462953"/>
                </a:lnTo>
              </a:path>
            </a:pathLst>
          </a:custGeom>
          <a:ln w="5092">
            <a:solidFill>
              <a:srgbClr val="000000"/>
            </a:solidFill>
          </a:ln>
        </xdr:spPr>
      </xdr:sp>
      <xdr:pic>
        <xdr:nvPicPr>
          <xdr:cNvPr id="346" name="image285.png">
            <a:extLst>
              <a:ext uri="{FF2B5EF4-FFF2-40B4-BE49-F238E27FC236}">
                <a16:creationId xmlns:a16="http://schemas.microsoft.com/office/drawing/2014/main" id="{E119B744-5D49-CAB3-F08D-86ED836A7C77}"/>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291253" y="342937"/>
            <a:ext cx="201536" cy="155905"/>
          </a:xfrm>
          <a:prstGeom prst="rect">
            <a:avLst/>
          </a:prstGeom>
        </xdr:spPr>
      </xdr:pic>
      <xdr:sp macro="" textlink="">
        <xdr:nvSpPr>
          <xdr:cNvPr id="347" name="Shape 1040">
            <a:extLst>
              <a:ext uri="{FF2B5EF4-FFF2-40B4-BE49-F238E27FC236}">
                <a16:creationId xmlns:a16="http://schemas.microsoft.com/office/drawing/2014/main" id="{64AD5B1D-5BEF-A261-BE4C-B2F58C645618}"/>
              </a:ext>
            </a:extLst>
          </xdr:cNvPr>
          <xdr:cNvSpPr/>
        </xdr:nvSpPr>
        <xdr:spPr>
          <a:xfrm>
            <a:off x="229003" y="462362"/>
            <a:ext cx="236854" cy="803275"/>
          </a:xfrm>
          <a:custGeom>
            <a:avLst/>
            <a:gdLst/>
            <a:ahLst/>
            <a:cxnLst/>
            <a:rect l="0" t="0" r="0" b="0"/>
            <a:pathLst>
              <a:path w="236854" h="803275">
                <a:moveTo>
                  <a:pt x="179857" y="795959"/>
                </a:moveTo>
                <a:lnTo>
                  <a:pt x="236435" y="795959"/>
                </a:lnTo>
              </a:path>
              <a:path w="236854" h="803275">
                <a:moveTo>
                  <a:pt x="65112" y="520319"/>
                </a:moveTo>
                <a:lnTo>
                  <a:pt x="65112" y="550087"/>
                </a:lnTo>
              </a:path>
              <a:path w="236854" h="803275">
                <a:moveTo>
                  <a:pt x="64795" y="565962"/>
                </a:moveTo>
                <a:lnTo>
                  <a:pt x="64795" y="771156"/>
                </a:lnTo>
              </a:path>
              <a:path w="236854" h="803275">
                <a:moveTo>
                  <a:pt x="114401" y="504444"/>
                </a:moveTo>
                <a:lnTo>
                  <a:pt x="114401" y="199377"/>
                </a:lnTo>
              </a:path>
              <a:path w="236854" h="803275">
                <a:moveTo>
                  <a:pt x="114401" y="113106"/>
                </a:moveTo>
                <a:lnTo>
                  <a:pt x="114401" y="33934"/>
                </a:lnTo>
              </a:path>
              <a:path w="236854" h="803275">
                <a:moveTo>
                  <a:pt x="64795" y="174637"/>
                </a:moveTo>
                <a:lnTo>
                  <a:pt x="64795" y="199377"/>
                </a:lnTo>
              </a:path>
              <a:path w="236854" h="803275">
                <a:moveTo>
                  <a:pt x="180174" y="803109"/>
                </a:moveTo>
                <a:lnTo>
                  <a:pt x="180174" y="795959"/>
                </a:lnTo>
              </a:path>
              <a:path w="236854" h="803275">
                <a:moveTo>
                  <a:pt x="130568" y="790587"/>
                </a:moveTo>
                <a:lnTo>
                  <a:pt x="39687" y="790587"/>
                </a:lnTo>
              </a:path>
              <a:path w="236854" h="803275">
                <a:moveTo>
                  <a:pt x="180174" y="803109"/>
                </a:moveTo>
                <a:lnTo>
                  <a:pt x="39687" y="803109"/>
                </a:lnTo>
              </a:path>
              <a:path w="236854" h="803275">
                <a:moveTo>
                  <a:pt x="0" y="763422"/>
                </a:moveTo>
                <a:lnTo>
                  <a:pt x="3118" y="778865"/>
                </a:lnTo>
                <a:lnTo>
                  <a:pt x="11623" y="791481"/>
                </a:lnTo>
                <a:lnTo>
                  <a:pt x="24238" y="799989"/>
                </a:lnTo>
                <a:lnTo>
                  <a:pt x="39687" y="803109"/>
                </a:lnTo>
              </a:path>
              <a:path w="236854" h="803275">
                <a:moveTo>
                  <a:pt x="0" y="763422"/>
                </a:moveTo>
                <a:lnTo>
                  <a:pt x="0" y="284899"/>
                </a:lnTo>
              </a:path>
              <a:path w="236854" h="803275">
                <a:moveTo>
                  <a:pt x="130022" y="796150"/>
                </a:moveTo>
                <a:lnTo>
                  <a:pt x="39687" y="796150"/>
                </a:lnTo>
              </a:path>
              <a:path w="236854" h="803275">
                <a:moveTo>
                  <a:pt x="130568" y="790587"/>
                </a:moveTo>
                <a:lnTo>
                  <a:pt x="180174" y="795959"/>
                </a:lnTo>
              </a:path>
              <a:path w="236854" h="803275">
                <a:moveTo>
                  <a:pt x="176911" y="800607"/>
                </a:moveTo>
                <a:lnTo>
                  <a:pt x="178003" y="800684"/>
                </a:lnTo>
                <a:lnTo>
                  <a:pt x="179095" y="800734"/>
                </a:lnTo>
                <a:lnTo>
                  <a:pt x="180174" y="800734"/>
                </a:lnTo>
              </a:path>
              <a:path w="236854" h="803275">
                <a:moveTo>
                  <a:pt x="180174" y="795959"/>
                </a:moveTo>
                <a:lnTo>
                  <a:pt x="180174" y="802195"/>
                </a:lnTo>
              </a:path>
              <a:path w="236854" h="803275">
                <a:moveTo>
                  <a:pt x="6946" y="757872"/>
                </a:moveTo>
                <a:lnTo>
                  <a:pt x="6946" y="0"/>
                </a:lnTo>
              </a:path>
              <a:path w="236854" h="803275">
                <a:moveTo>
                  <a:pt x="130022" y="796150"/>
                </a:moveTo>
                <a:lnTo>
                  <a:pt x="176911" y="800607"/>
                </a:lnTo>
              </a:path>
              <a:path w="236854" h="803275">
                <a:moveTo>
                  <a:pt x="130022" y="796150"/>
                </a:moveTo>
                <a:lnTo>
                  <a:pt x="130619" y="790600"/>
                </a:lnTo>
              </a:path>
              <a:path w="236854" h="803275">
                <a:moveTo>
                  <a:pt x="0" y="756475"/>
                </a:moveTo>
                <a:lnTo>
                  <a:pt x="3111" y="771904"/>
                </a:lnTo>
                <a:lnTo>
                  <a:pt x="11612" y="784513"/>
                </a:lnTo>
                <a:lnTo>
                  <a:pt x="24226" y="793022"/>
                </a:lnTo>
                <a:lnTo>
                  <a:pt x="39674" y="796150"/>
                </a:lnTo>
              </a:path>
              <a:path w="236854" h="803275">
                <a:moveTo>
                  <a:pt x="6946" y="757872"/>
                </a:moveTo>
                <a:lnTo>
                  <a:pt x="9519" y="770613"/>
                </a:lnTo>
                <a:lnTo>
                  <a:pt x="16535" y="781011"/>
                </a:lnTo>
                <a:lnTo>
                  <a:pt x="26942" y="788019"/>
                </a:lnTo>
                <a:lnTo>
                  <a:pt x="39687" y="790587"/>
                </a:lnTo>
              </a:path>
              <a:path w="236854" h="803275">
                <a:moveTo>
                  <a:pt x="10909" y="556044"/>
                </a:moveTo>
                <a:lnTo>
                  <a:pt x="10909" y="514362"/>
                </a:lnTo>
              </a:path>
              <a:path w="236854" h="803275">
                <a:moveTo>
                  <a:pt x="6946" y="560006"/>
                </a:moveTo>
                <a:lnTo>
                  <a:pt x="10909" y="556044"/>
                </a:lnTo>
              </a:path>
              <a:path w="236854" h="803275">
                <a:moveTo>
                  <a:pt x="6946" y="510400"/>
                </a:moveTo>
                <a:lnTo>
                  <a:pt x="10909" y="514362"/>
                </a:lnTo>
              </a:path>
              <a:path w="236854" h="803275">
                <a:moveTo>
                  <a:pt x="10909" y="520319"/>
                </a:moveTo>
                <a:lnTo>
                  <a:pt x="84340" y="520319"/>
                </a:lnTo>
              </a:path>
              <a:path w="236854" h="803275">
                <a:moveTo>
                  <a:pt x="10909" y="524294"/>
                </a:moveTo>
                <a:lnTo>
                  <a:pt x="84340" y="524294"/>
                </a:lnTo>
              </a:path>
              <a:path w="236854" h="803275">
                <a:moveTo>
                  <a:pt x="10909" y="550087"/>
                </a:moveTo>
                <a:lnTo>
                  <a:pt x="84340" y="550087"/>
                </a:lnTo>
              </a:path>
              <a:path w="236854" h="803275">
                <a:moveTo>
                  <a:pt x="10909" y="546125"/>
                </a:moveTo>
                <a:lnTo>
                  <a:pt x="84340" y="546125"/>
                </a:lnTo>
              </a:path>
              <a:path w="236854" h="803275">
                <a:moveTo>
                  <a:pt x="10909" y="504444"/>
                </a:moveTo>
                <a:lnTo>
                  <a:pt x="123228" y="504444"/>
                </a:lnTo>
              </a:path>
              <a:path w="236854" h="803275">
                <a:moveTo>
                  <a:pt x="10909" y="565962"/>
                </a:moveTo>
                <a:lnTo>
                  <a:pt x="123228" y="565962"/>
                </a:lnTo>
              </a:path>
              <a:path w="236854" h="803275">
                <a:moveTo>
                  <a:pt x="10909" y="504444"/>
                </a:moveTo>
                <a:lnTo>
                  <a:pt x="10909" y="565962"/>
                </a:lnTo>
              </a:path>
              <a:path w="236854" h="803275">
                <a:moveTo>
                  <a:pt x="24803" y="550087"/>
                </a:moveTo>
                <a:lnTo>
                  <a:pt x="24803" y="565962"/>
                </a:lnTo>
              </a:path>
              <a:path w="236854" h="803275">
                <a:moveTo>
                  <a:pt x="24803" y="504444"/>
                </a:moveTo>
                <a:lnTo>
                  <a:pt x="24803" y="520319"/>
                </a:lnTo>
              </a:path>
              <a:path w="236854" h="803275">
                <a:moveTo>
                  <a:pt x="12903" y="526275"/>
                </a:moveTo>
                <a:lnTo>
                  <a:pt x="14173" y="526275"/>
                </a:lnTo>
              </a:path>
              <a:path w="236854" h="803275">
                <a:moveTo>
                  <a:pt x="14173" y="526275"/>
                </a:moveTo>
                <a:lnTo>
                  <a:pt x="15455" y="527316"/>
                </a:lnTo>
              </a:path>
              <a:path w="236854" h="803275">
                <a:moveTo>
                  <a:pt x="12903" y="544131"/>
                </a:moveTo>
                <a:lnTo>
                  <a:pt x="14173" y="544131"/>
                </a:lnTo>
              </a:path>
              <a:path w="236854" h="803275">
                <a:moveTo>
                  <a:pt x="14173" y="544131"/>
                </a:moveTo>
                <a:lnTo>
                  <a:pt x="15455" y="543090"/>
                </a:lnTo>
              </a:path>
              <a:path w="236854" h="803275">
                <a:moveTo>
                  <a:pt x="54571" y="524294"/>
                </a:moveTo>
                <a:lnTo>
                  <a:pt x="54571" y="546125"/>
                </a:lnTo>
              </a:path>
              <a:path w="236854" h="803275">
                <a:moveTo>
                  <a:pt x="44653" y="524294"/>
                </a:moveTo>
                <a:lnTo>
                  <a:pt x="44653" y="546125"/>
                </a:lnTo>
              </a:path>
              <a:path w="236854" h="803275">
                <a:moveTo>
                  <a:pt x="14173" y="526275"/>
                </a:moveTo>
                <a:lnTo>
                  <a:pt x="14173" y="544131"/>
                </a:lnTo>
              </a:path>
              <a:path w="236854" h="803275">
                <a:moveTo>
                  <a:pt x="15455" y="527316"/>
                </a:moveTo>
                <a:lnTo>
                  <a:pt x="15455" y="543090"/>
                </a:lnTo>
              </a:path>
              <a:path w="236854" h="803275">
                <a:moveTo>
                  <a:pt x="12903" y="546125"/>
                </a:moveTo>
                <a:lnTo>
                  <a:pt x="12903" y="524294"/>
                </a:lnTo>
              </a:path>
              <a:path w="236854" h="803275">
                <a:moveTo>
                  <a:pt x="123228" y="504444"/>
                </a:moveTo>
                <a:lnTo>
                  <a:pt x="123228" y="565962"/>
                </a:lnTo>
              </a:path>
              <a:path w="236854" h="803275">
                <a:moveTo>
                  <a:pt x="117678" y="504444"/>
                </a:moveTo>
                <a:lnTo>
                  <a:pt x="117678" y="565962"/>
                </a:lnTo>
              </a:path>
              <a:path w="236854" h="803275">
                <a:moveTo>
                  <a:pt x="60515" y="546125"/>
                </a:moveTo>
                <a:lnTo>
                  <a:pt x="60515" y="550087"/>
                </a:lnTo>
              </a:path>
              <a:path w="236854" h="803275">
                <a:moveTo>
                  <a:pt x="84340" y="520319"/>
                </a:moveTo>
                <a:lnTo>
                  <a:pt x="84340" y="550087"/>
                </a:lnTo>
              </a:path>
              <a:path w="236854" h="803275">
                <a:moveTo>
                  <a:pt x="61506" y="550087"/>
                </a:moveTo>
                <a:lnTo>
                  <a:pt x="61506" y="565962"/>
                </a:lnTo>
              </a:path>
              <a:path w="236854" h="803275">
                <a:moveTo>
                  <a:pt x="61506" y="504444"/>
                </a:moveTo>
                <a:lnTo>
                  <a:pt x="61506" y="520319"/>
                </a:lnTo>
              </a:path>
              <a:path w="236854" h="803275">
                <a:moveTo>
                  <a:pt x="60515" y="520319"/>
                </a:moveTo>
                <a:lnTo>
                  <a:pt x="60515" y="524294"/>
                </a:lnTo>
              </a:path>
              <a:path w="236854" h="803275">
                <a:moveTo>
                  <a:pt x="117678" y="174637"/>
                </a:moveTo>
                <a:lnTo>
                  <a:pt x="117678" y="113106"/>
                </a:lnTo>
              </a:path>
              <a:path w="236854" h="803275">
                <a:moveTo>
                  <a:pt x="84340" y="158762"/>
                </a:moveTo>
                <a:lnTo>
                  <a:pt x="84340" y="128993"/>
                </a:lnTo>
              </a:path>
              <a:path w="236854" h="803275">
                <a:moveTo>
                  <a:pt x="123228" y="174637"/>
                </a:moveTo>
                <a:lnTo>
                  <a:pt x="123228" y="113106"/>
                </a:lnTo>
              </a:path>
              <a:path w="236854" h="803275">
                <a:moveTo>
                  <a:pt x="12903" y="132956"/>
                </a:moveTo>
                <a:lnTo>
                  <a:pt x="12903" y="154787"/>
                </a:lnTo>
              </a:path>
              <a:path w="236854" h="803275">
                <a:moveTo>
                  <a:pt x="14173" y="152806"/>
                </a:moveTo>
                <a:lnTo>
                  <a:pt x="14173" y="134937"/>
                </a:lnTo>
              </a:path>
              <a:path w="236854" h="803275">
                <a:moveTo>
                  <a:pt x="44653" y="154787"/>
                </a:moveTo>
                <a:lnTo>
                  <a:pt x="44653" y="132956"/>
                </a:lnTo>
              </a:path>
              <a:path w="236854" h="803275">
                <a:moveTo>
                  <a:pt x="54571" y="154787"/>
                </a:moveTo>
                <a:lnTo>
                  <a:pt x="54571" y="132956"/>
                </a:lnTo>
              </a:path>
              <a:path w="236854" h="803275">
                <a:moveTo>
                  <a:pt x="10909" y="174637"/>
                </a:moveTo>
                <a:lnTo>
                  <a:pt x="10909" y="113106"/>
                </a:lnTo>
              </a:path>
              <a:path w="236854" h="803275">
                <a:moveTo>
                  <a:pt x="10909" y="123037"/>
                </a:moveTo>
                <a:lnTo>
                  <a:pt x="10909" y="164719"/>
                </a:lnTo>
              </a:path>
              <a:path w="236854" h="803275">
                <a:moveTo>
                  <a:pt x="15455" y="151765"/>
                </a:moveTo>
                <a:lnTo>
                  <a:pt x="15455" y="135991"/>
                </a:lnTo>
              </a:path>
              <a:path w="236854" h="803275">
                <a:moveTo>
                  <a:pt x="6946" y="119062"/>
                </a:moveTo>
                <a:lnTo>
                  <a:pt x="10909" y="123037"/>
                </a:lnTo>
              </a:path>
              <a:path w="236854" h="803275">
                <a:moveTo>
                  <a:pt x="10909" y="113106"/>
                </a:moveTo>
                <a:lnTo>
                  <a:pt x="123228" y="113106"/>
                </a:lnTo>
              </a:path>
              <a:path w="236854" h="803275">
                <a:moveTo>
                  <a:pt x="61506" y="128993"/>
                </a:moveTo>
                <a:lnTo>
                  <a:pt x="61506" y="113106"/>
                </a:lnTo>
              </a:path>
              <a:path w="236854" h="803275">
                <a:moveTo>
                  <a:pt x="14173" y="134937"/>
                </a:moveTo>
                <a:lnTo>
                  <a:pt x="15455" y="135991"/>
                </a:lnTo>
              </a:path>
              <a:path w="236854" h="803275">
                <a:moveTo>
                  <a:pt x="12903" y="134937"/>
                </a:moveTo>
                <a:lnTo>
                  <a:pt x="14173" y="134937"/>
                </a:lnTo>
              </a:path>
              <a:path w="236854" h="803275">
                <a:moveTo>
                  <a:pt x="24803" y="128993"/>
                </a:moveTo>
                <a:lnTo>
                  <a:pt x="24803" y="113106"/>
                </a:lnTo>
              </a:path>
              <a:path w="236854" h="803275">
                <a:moveTo>
                  <a:pt x="60515" y="132956"/>
                </a:moveTo>
                <a:lnTo>
                  <a:pt x="60515" y="128993"/>
                </a:lnTo>
              </a:path>
              <a:path w="236854" h="803275">
                <a:moveTo>
                  <a:pt x="10909" y="132956"/>
                </a:moveTo>
                <a:lnTo>
                  <a:pt x="84340" y="132956"/>
                </a:lnTo>
              </a:path>
              <a:path w="236854" h="803275">
                <a:moveTo>
                  <a:pt x="10909" y="128993"/>
                </a:moveTo>
                <a:lnTo>
                  <a:pt x="84340" y="128993"/>
                </a:lnTo>
              </a:path>
              <a:path w="236854" h="803275">
                <a:moveTo>
                  <a:pt x="6946" y="168681"/>
                </a:moveTo>
                <a:lnTo>
                  <a:pt x="10909" y="164719"/>
                </a:lnTo>
              </a:path>
              <a:path w="236854" h="803275">
                <a:moveTo>
                  <a:pt x="10909" y="174637"/>
                </a:moveTo>
                <a:lnTo>
                  <a:pt x="123228" y="174637"/>
                </a:lnTo>
              </a:path>
              <a:path w="236854" h="803275">
                <a:moveTo>
                  <a:pt x="61506" y="174637"/>
                </a:moveTo>
                <a:lnTo>
                  <a:pt x="61506" y="158762"/>
                </a:lnTo>
              </a:path>
              <a:path w="236854" h="803275">
                <a:moveTo>
                  <a:pt x="14173" y="152806"/>
                </a:moveTo>
                <a:lnTo>
                  <a:pt x="15455" y="151765"/>
                </a:lnTo>
              </a:path>
              <a:path w="236854" h="803275">
                <a:moveTo>
                  <a:pt x="12903" y="152806"/>
                </a:moveTo>
                <a:lnTo>
                  <a:pt x="14173" y="152806"/>
                </a:lnTo>
              </a:path>
              <a:path w="236854" h="803275">
                <a:moveTo>
                  <a:pt x="24803" y="174637"/>
                </a:moveTo>
                <a:lnTo>
                  <a:pt x="24803" y="158762"/>
                </a:lnTo>
              </a:path>
              <a:path w="236854" h="803275">
                <a:moveTo>
                  <a:pt x="60515" y="158762"/>
                </a:moveTo>
                <a:lnTo>
                  <a:pt x="60515" y="154787"/>
                </a:lnTo>
              </a:path>
              <a:path w="236854" h="803275">
                <a:moveTo>
                  <a:pt x="10909" y="154787"/>
                </a:moveTo>
                <a:lnTo>
                  <a:pt x="84340" y="154787"/>
                </a:lnTo>
              </a:path>
              <a:path w="236854" h="803275">
                <a:moveTo>
                  <a:pt x="10909" y="158762"/>
                </a:moveTo>
                <a:lnTo>
                  <a:pt x="84340" y="158762"/>
                </a:lnTo>
              </a:path>
              <a:path w="236854" h="803275">
                <a:moveTo>
                  <a:pt x="6946" y="0"/>
                </a:moveTo>
                <a:lnTo>
                  <a:pt x="0" y="0"/>
                </a:lnTo>
              </a:path>
            </a:pathLst>
          </a:custGeom>
          <a:ln w="5092">
            <a:solidFill>
              <a:srgbClr val="000000"/>
            </a:solidFill>
          </a:ln>
        </xdr:spPr>
      </xdr:sp>
      <xdr:sp macro="" textlink="">
        <xdr:nvSpPr>
          <xdr:cNvPr id="348" name="Shape 1041">
            <a:extLst>
              <a:ext uri="{FF2B5EF4-FFF2-40B4-BE49-F238E27FC236}">
                <a16:creationId xmlns:a16="http://schemas.microsoft.com/office/drawing/2014/main" id="{59399B87-FEF9-1D8A-17FF-093D49B71141}"/>
              </a:ext>
            </a:extLst>
          </xdr:cNvPr>
          <xdr:cNvSpPr/>
        </xdr:nvSpPr>
        <xdr:spPr>
          <a:xfrm>
            <a:off x="5745" y="67660"/>
            <a:ext cx="800735" cy="1369695"/>
          </a:xfrm>
          <a:custGeom>
            <a:avLst/>
            <a:gdLst/>
            <a:ahLst/>
            <a:cxnLst/>
            <a:rect l="0" t="0" r="0" b="0"/>
            <a:pathLst>
              <a:path w="800735" h="1369695">
                <a:moveTo>
                  <a:pt x="386270" y="1063815"/>
                </a:moveTo>
                <a:lnTo>
                  <a:pt x="386270" y="1186738"/>
                </a:lnTo>
              </a:path>
              <a:path w="800735" h="1369695">
                <a:moveTo>
                  <a:pt x="328282" y="1125181"/>
                </a:moveTo>
                <a:lnTo>
                  <a:pt x="444271" y="1125181"/>
                </a:lnTo>
              </a:path>
              <a:path w="800735" h="1369695">
                <a:moveTo>
                  <a:pt x="386270" y="404672"/>
                </a:moveTo>
                <a:lnTo>
                  <a:pt x="386270" y="281762"/>
                </a:lnTo>
              </a:path>
              <a:path w="800735" h="1369695">
                <a:moveTo>
                  <a:pt x="328282" y="343306"/>
                </a:moveTo>
                <a:lnTo>
                  <a:pt x="444271" y="343306"/>
                </a:lnTo>
              </a:path>
              <a:path w="800735" h="1369695">
                <a:moveTo>
                  <a:pt x="267906" y="932243"/>
                </a:moveTo>
                <a:lnTo>
                  <a:pt x="267207" y="934783"/>
                </a:lnTo>
              </a:path>
              <a:path w="800735" h="1369695">
                <a:moveTo>
                  <a:pt x="242100" y="925029"/>
                </a:moveTo>
                <a:lnTo>
                  <a:pt x="239420" y="934783"/>
                </a:lnTo>
              </a:path>
              <a:path w="800735" h="1369695">
                <a:moveTo>
                  <a:pt x="250050" y="925029"/>
                </a:moveTo>
                <a:lnTo>
                  <a:pt x="247357" y="934783"/>
                </a:lnTo>
              </a:path>
              <a:path w="800735" h="1369695">
                <a:moveTo>
                  <a:pt x="246075" y="925029"/>
                </a:moveTo>
                <a:lnTo>
                  <a:pt x="243395" y="934783"/>
                </a:lnTo>
              </a:path>
              <a:path w="800735" h="1369695">
                <a:moveTo>
                  <a:pt x="254012" y="925029"/>
                </a:moveTo>
                <a:lnTo>
                  <a:pt x="251320" y="934783"/>
                </a:lnTo>
              </a:path>
              <a:path w="800735" h="1369695">
                <a:moveTo>
                  <a:pt x="257975" y="925029"/>
                </a:moveTo>
                <a:lnTo>
                  <a:pt x="255295" y="934783"/>
                </a:lnTo>
              </a:path>
              <a:path w="800735" h="1369695">
                <a:moveTo>
                  <a:pt x="261950" y="925029"/>
                </a:moveTo>
                <a:lnTo>
                  <a:pt x="259257" y="934783"/>
                </a:lnTo>
              </a:path>
              <a:path w="800735" h="1369695">
                <a:moveTo>
                  <a:pt x="265912" y="925029"/>
                </a:moveTo>
                <a:lnTo>
                  <a:pt x="263220" y="934783"/>
                </a:lnTo>
              </a:path>
              <a:path w="800735" h="1369695">
                <a:moveTo>
                  <a:pt x="246075" y="543458"/>
                </a:moveTo>
                <a:lnTo>
                  <a:pt x="243395" y="533692"/>
                </a:lnTo>
              </a:path>
              <a:path w="800735" h="1369695">
                <a:moveTo>
                  <a:pt x="250050" y="543458"/>
                </a:moveTo>
                <a:lnTo>
                  <a:pt x="247357" y="533692"/>
                </a:lnTo>
              </a:path>
              <a:path w="800735" h="1369695">
                <a:moveTo>
                  <a:pt x="242100" y="543458"/>
                </a:moveTo>
                <a:lnTo>
                  <a:pt x="239420" y="533692"/>
                </a:lnTo>
              </a:path>
              <a:path w="800735" h="1369695">
                <a:moveTo>
                  <a:pt x="265912" y="543458"/>
                </a:moveTo>
                <a:lnTo>
                  <a:pt x="263220" y="533692"/>
                </a:lnTo>
              </a:path>
              <a:path w="800735" h="1369695">
                <a:moveTo>
                  <a:pt x="261950" y="543458"/>
                </a:moveTo>
                <a:lnTo>
                  <a:pt x="259257" y="533692"/>
                </a:lnTo>
              </a:path>
              <a:path w="800735" h="1369695">
                <a:moveTo>
                  <a:pt x="257975" y="543458"/>
                </a:moveTo>
                <a:lnTo>
                  <a:pt x="255295" y="533692"/>
                </a:lnTo>
              </a:path>
              <a:path w="800735" h="1369695">
                <a:moveTo>
                  <a:pt x="254012" y="543458"/>
                </a:moveTo>
                <a:lnTo>
                  <a:pt x="251320" y="533692"/>
                </a:lnTo>
              </a:path>
              <a:path w="800735" h="1369695">
                <a:moveTo>
                  <a:pt x="267906" y="536244"/>
                </a:moveTo>
                <a:lnTo>
                  <a:pt x="267207" y="533692"/>
                </a:lnTo>
              </a:path>
              <a:path w="800735" h="1369695">
                <a:moveTo>
                  <a:pt x="288048" y="298653"/>
                </a:moveTo>
                <a:lnTo>
                  <a:pt x="288048" y="119062"/>
                </a:lnTo>
              </a:path>
              <a:path w="800735" h="1369695">
                <a:moveTo>
                  <a:pt x="223253" y="236181"/>
                </a:moveTo>
                <a:lnTo>
                  <a:pt x="223253" y="119062"/>
                </a:lnTo>
              </a:path>
              <a:path w="800735" h="1369695">
                <a:moveTo>
                  <a:pt x="327736" y="158750"/>
                </a:moveTo>
                <a:lnTo>
                  <a:pt x="367423" y="158750"/>
                </a:lnTo>
              </a:path>
              <a:path w="800735" h="1369695">
                <a:moveTo>
                  <a:pt x="183565" y="158750"/>
                </a:moveTo>
                <a:lnTo>
                  <a:pt x="0" y="158750"/>
                </a:lnTo>
              </a:path>
              <a:path w="800735" h="1369695">
                <a:moveTo>
                  <a:pt x="288048" y="158750"/>
                </a:moveTo>
                <a:lnTo>
                  <a:pt x="223253" y="158750"/>
                </a:lnTo>
              </a:path>
              <a:path w="800735" h="1369695">
                <a:moveTo>
                  <a:pt x="321779" y="158750"/>
                </a:moveTo>
                <a:lnTo>
                  <a:pt x="334263" y="158750"/>
                </a:lnTo>
              </a:path>
              <a:path w="800735" h="1369695">
                <a:moveTo>
                  <a:pt x="189509" y="158750"/>
                </a:moveTo>
                <a:lnTo>
                  <a:pt x="177037" y="158750"/>
                </a:lnTo>
              </a:path>
              <a:path w="800735" h="1369695">
                <a:moveTo>
                  <a:pt x="223253" y="236181"/>
                </a:moveTo>
                <a:lnTo>
                  <a:pt x="223253" y="0"/>
                </a:lnTo>
              </a:path>
              <a:path w="800735" h="1369695">
                <a:moveTo>
                  <a:pt x="386270" y="277787"/>
                </a:moveTo>
                <a:lnTo>
                  <a:pt x="386270" y="0"/>
                </a:lnTo>
              </a:path>
              <a:path w="800735" h="1369695">
                <a:moveTo>
                  <a:pt x="262940" y="39687"/>
                </a:moveTo>
                <a:lnTo>
                  <a:pt x="346582" y="39687"/>
                </a:lnTo>
              </a:path>
              <a:path w="800735" h="1369695">
                <a:moveTo>
                  <a:pt x="256997" y="39687"/>
                </a:moveTo>
                <a:lnTo>
                  <a:pt x="269468" y="39687"/>
                </a:lnTo>
              </a:path>
              <a:path w="800735" h="1369695">
                <a:moveTo>
                  <a:pt x="352539" y="39687"/>
                </a:moveTo>
                <a:lnTo>
                  <a:pt x="340055" y="39687"/>
                </a:lnTo>
              </a:path>
              <a:path w="800735" h="1369695">
                <a:moveTo>
                  <a:pt x="682548" y="1289837"/>
                </a:moveTo>
                <a:lnTo>
                  <a:pt x="800290" y="1289837"/>
                </a:lnTo>
              </a:path>
              <a:path w="800735" h="1369695">
                <a:moveTo>
                  <a:pt x="463664" y="1190663"/>
                </a:moveTo>
                <a:lnTo>
                  <a:pt x="800290" y="1190663"/>
                </a:lnTo>
              </a:path>
              <a:path w="800735" h="1369695">
                <a:moveTo>
                  <a:pt x="760602" y="1329524"/>
                </a:moveTo>
                <a:lnTo>
                  <a:pt x="760602" y="1369212"/>
                </a:lnTo>
              </a:path>
              <a:path w="800735" h="1369695">
                <a:moveTo>
                  <a:pt x="760602" y="1150962"/>
                </a:moveTo>
                <a:lnTo>
                  <a:pt x="760602" y="709663"/>
                </a:lnTo>
              </a:path>
              <a:path w="800735" h="1369695">
                <a:moveTo>
                  <a:pt x="760602" y="1289837"/>
                </a:moveTo>
                <a:lnTo>
                  <a:pt x="760602" y="1190663"/>
                </a:lnTo>
              </a:path>
              <a:path w="800735" h="1369695">
                <a:moveTo>
                  <a:pt x="760602" y="1323581"/>
                </a:moveTo>
                <a:lnTo>
                  <a:pt x="760602" y="1336065"/>
                </a:lnTo>
              </a:path>
              <a:path w="800735" h="1369695">
                <a:moveTo>
                  <a:pt x="760602" y="1156919"/>
                </a:moveTo>
                <a:lnTo>
                  <a:pt x="760602" y="1144435"/>
                </a:lnTo>
              </a:path>
              <a:path w="800735" h="1369695">
                <a:moveTo>
                  <a:pt x="223253" y="240156"/>
                </a:moveTo>
                <a:lnTo>
                  <a:pt x="223253" y="1289837"/>
                </a:lnTo>
              </a:path>
              <a:path w="800735" h="1369695">
                <a:moveTo>
                  <a:pt x="223253" y="1289837"/>
                </a:moveTo>
                <a:lnTo>
                  <a:pt x="678586" y="1289837"/>
                </a:lnTo>
              </a:path>
              <a:path w="800735" h="1369695">
                <a:moveTo>
                  <a:pt x="277837" y="922096"/>
                </a:moveTo>
                <a:lnTo>
                  <a:pt x="286613" y="922096"/>
                </a:lnTo>
              </a:path>
              <a:path w="800735" h="1369695">
                <a:moveTo>
                  <a:pt x="277837" y="937717"/>
                </a:moveTo>
                <a:lnTo>
                  <a:pt x="286613" y="937717"/>
                </a:lnTo>
              </a:path>
              <a:path w="800735" h="1369695">
                <a:moveTo>
                  <a:pt x="238721" y="925029"/>
                </a:moveTo>
                <a:lnTo>
                  <a:pt x="267906" y="925029"/>
                </a:lnTo>
              </a:path>
              <a:path w="800735" h="1369695">
                <a:moveTo>
                  <a:pt x="238721" y="934783"/>
                </a:moveTo>
                <a:lnTo>
                  <a:pt x="267906" y="934783"/>
                </a:lnTo>
              </a:path>
              <a:path w="800735" h="1369695">
                <a:moveTo>
                  <a:pt x="277837" y="937717"/>
                </a:moveTo>
                <a:lnTo>
                  <a:pt x="277837" y="922096"/>
                </a:lnTo>
              </a:path>
              <a:path w="800735" h="1369695">
                <a:moveTo>
                  <a:pt x="287591" y="936345"/>
                </a:moveTo>
                <a:lnTo>
                  <a:pt x="287591" y="923480"/>
                </a:lnTo>
              </a:path>
              <a:path w="800735" h="1369695">
                <a:moveTo>
                  <a:pt x="286613" y="922096"/>
                </a:moveTo>
                <a:lnTo>
                  <a:pt x="287591" y="923480"/>
                </a:lnTo>
              </a:path>
            </a:pathLst>
          </a:custGeom>
          <a:ln w="5092">
            <a:solidFill>
              <a:srgbClr val="000000"/>
            </a:solidFill>
          </a:ln>
        </xdr:spPr>
      </xdr:sp>
      <xdr:sp macro="" textlink="">
        <xdr:nvSpPr>
          <xdr:cNvPr id="349" name="Shape 1042">
            <a:extLst>
              <a:ext uri="{FF2B5EF4-FFF2-40B4-BE49-F238E27FC236}">
                <a16:creationId xmlns:a16="http://schemas.microsoft.com/office/drawing/2014/main" id="{FEB14D7D-E5C6-AD40-B60D-A7F9AFA69D7B}"/>
              </a:ext>
            </a:extLst>
          </xdr:cNvPr>
          <xdr:cNvSpPr/>
        </xdr:nvSpPr>
        <xdr:spPr>
          <a:xfrm>
            <a:off x="293334" y="993051"/>
            <a:ext cx="0" cy="9525"/>
          </a:xfrm>
          <a:custGeom>
            <a:avLst/>
            <a:gdLst/>
            <a:ahLst/>
            <a:cxnLst/>
            <a:rect l="0" t="0" r="0" b="0"/>
            <a:pathLst>
              <a:path h="9525">
                <a:moveTo>
                  <a:pt x="0" y="9029"/>
                </a:moveTo>
                <a:lnTo>
                  <a:pt x="0" y="0"/>
                </a:lnTo>
              </a:path>
            </a:pathLst>
          </a:custGeom>
          <a:ln w="5092">
            <a:solidFill>
              <a:srgbClr val="000000"/>
            </a:solidFill>
            <a:prstDash val="lgDash"/>
          </a:ln>
        </xdr:spPr>
      </xdr:sp>
      <xdr:sp macro="" textlink="">
        <xdr:nvSpPr>
          <xdr:cNvPr id="350" name="Shape 1043">
            <a:extLst>
              <a:ext uri="{FF2B5EF4-FFF2-40B4-BE49-F238E27FC236}">
                <a16:creationId xmlns:a16="http://schemas.microsoft.com/office/drawing/2014/main" id="{2EABC92D-A2AB-8972-3530-7108F4AF1554}"/>
              </a:ext>
            </a:extLst>
          </xdr:cNvPr>
          <xdr:cNvSpPr/>
        </xdr:nvSpPr>
        <xdr:spPr>
          <a:xfrm>
            <a:off x="292357" y="598417"/>
            <a:ext cx="1270" cy="407034"/>
          </a:xfrm>
          <a:custGeom>
            <a:avLst/>
            <a:gdLst/>
            <a:ahLst/>
            <a:cxnLst/>
            <a:rect l="0" t="0" r="0" b="0"/>
            <a:pathLst>
              <a:path w="1270" h="407034">
                <a:moveTo>
                  <a:pt x="0" y="406958"/>
                </a:moveTo>
                <a:lnTo>
                  <a:pt x="0" y="391337"/>
                </a:lnTo>
              </a:path>
              <a:path w="1270" h="407034">
                <a:moveTo>
                  <a:pt x="0" y="406958"/>
                </a:moveTo>
                <a:lnTo>
                  <a:pt x="977" y="405587"/>
                </a:lnTo>
              </a:path>
              <a:path w="1270" h="407034">
                <a:moveTo>
                  <a:pt x="0" y="0"/>
                </a:moveTo>
                <a:lnTo>
                  <a:pt x="0" y="15620"/>
                </a:lnTo>
              </a:path>
            </a:pathLst>
          </a:custGeom>
          <a:ln w="5092">
            <a:solidFill>
              <a:srgbClr val="000000"/>
            </a:solidFill>
          </a:ln>
        </xdr:spPr>
      </xdr:sp>
      <xdr:sp macro="" textlink="">
        <xdr:nvSpPr>
          <xdr:cNvPr id="351" name="Shape 1044">
            <a:extLst>
              <a:ext uri="{FF2B5EF4-FFF2-40B4-BE49-F238E27FC236}">
                <a16:creationId xmlns:a16="http://schemas.microsoft.com/office/drawing/2014/main" id="{339075A5-C691-E761-985F-E189C242101F}"/>
              </a:ext>
            </a:extLst>
          </xdr:cNvPr>
          <xdr:cNvSpPr/>
        </xdr:nvSpPr>
        <xdr:spPr>
          <a:xfrm>
            <a:off x="293334" y="601724"/>
            <a:ext cx="0" cy="9525"/>
          </a:xfrm>
          <a:custGeom>
            <a:avLst/>
            <a:gdLst/>
            <a:ahLst/>
            <a:cxnLst/>
            <a:rect l="0" t="0" r="0" b="0"/>
            <a:pathLst>
              <a:path h="9525">
                <a:moveTo>
                  <a:pt x="0" y="0"/>
                </a:moveTo>
                <a:lnTo>
                  <a:pt x="0" y="9029"/>
                </a:lnTo>
              </a:path>
            </a:pathLst>
          </a:custGeom>
          <a:ln w="5092">
            <a:solidFill>
              <a:srgbClr val="000000"/>
            </a:solidFill>
            <a:prstDash val="lgDash"/>
          </a:ln>
        </xdr:spPr>
      </xdr:sp>
      <xdr:sp macro="" textlink="">
        <xdr:nvSpPr>
          <xdr:cNvPr id="352" name="Shape 1045">
            <a:extLst>
              <a:ext uri="{FF2B5EF4-FFF2-40B4-BE49-F238E27FC236}">
                <a16:creationId xmlns:a16="http://schemas.microsoft.com/office/drawing/2014/main" id="{C800F440-CBEF-18DA-7CB9-39B36ABBA478}"/>
              </a:ext>
            </a:extLst>
          </xdr:cNvPr>
          <xdr:cNvSpPr/>
        </xdr:nvSpPr>
        <xdr:spPr>
          <a:xfrm>
            <a:off x="244464" y="598413"/>
            <a:ext cx="48895" cy="15875"/>
          </a:xfrm>
          <a:custGeom>
            <a:avLst/>
            <a:gdLst/>
            <a:ahLst/>
            <a:cxnLst/>
            <a:rect l="0" t="0" r="0" b="0"/>
            <a:pathLst>
              <a:path w="48895" h="15875">
                <a:moveTo>
                  <a:pt x="48869" y="1397"/>
                </a:moveTo>
                <a:lnTo>
                  <a:pt x="48869" y="14262"/>
                </a:lnTo>
              </a:path>
              <a:path w="48895" h="15875">
                <a:moveTo>
                  <a:pt x="39116" y="0"/>
                </a:moveTo>
                <a:lnTo>
                  <a:pt x="39116" y="15633"/>
                </a:lnTo>
              </a:path>
              <a:path w="48895" h="15875">
                <a:moveTo>
                  <a:pt x="0" y="2933"/>
                </a:moveTo>
                <a:lnTo>
                  <a:pt x="29184" y="2933"/>
                </a:lnTo>
              </a:path>
              <a:path w="48895" h="15875">
                <a:moveTo>
                  <a:pt x="47891" y="0"/>
                </a:moveTo>
                <a:lnTo>
                  <a:pt x="48869" y="1397"/>
                </a:lnTo>
              </a:path>
              <a:path w="48895" h="15875">
                <a:moveTo>
                  <a:pt x="39116" y="0"/>
                </a:moveTo>
                <a:lnTo>
                  <a:pt x="47891" y="0"/>
                </a:lnTo>
              </a:path>
              <a:path w="48895" h="15875">
                <a:moveTo>
                  <a:pt x="0" y="12712"/>
                </a:moveTo>
                <a:lnTo>
                  <a:pt x="29184" y="12712"/>
                </a:lnTo>
              </a:path>
              <a:path w="48895" h="15875">
                <a:moveTo>
                  <a:pt x="47891" y="15633"/>
                </a:moveTo>
                <a:lnTo>
                  <a:pt x="48869" y="14262"/>
                </a:lnTo>
              </a:path>
              <a:path w="48895" h="15875">
                <a:moveTo>
                  <a:pt x="39116" y="15633"/>
                </a:moveTo>
                <a:lnTo>
                  <a:pt x="47891" y="15633"/>
                </a:lnTo>
              </a:path>
            </a:pathLst>
          </a:custGeom>
          <a:ln w="5092">
            <a:solidFill>
              <a:srgbClr val="000000"/>
            </a:solidFill>
          </a:ln>
        </xdr:spPr>
      </xdr:sp>
      <xdr:sp macro="" textlink="">
        <xdr:nvSpPr>
          <xdr:cNvPr id="353" name="Shape 1046">
            <a:extLst>
              <a:ext uri="{FF2B5EF4-FFF2-40B4-BE49-F238E27FC236}">
                <a16:creationId xmlns:a16="http://schemas.microsoft.com/office/drawing/2014/main" id="{8760F1AB-7551-F7E9-4596-A530F65C44DB}"/>
              </a:ext>
            </a:extLst>
          </xdr:cNvPr>
          <xdr:cNvSpPr/>
        </xdr:nvSpPr>
        <xdr:spPr>
          <a:xfrm>
            <a:off x="0" y="0"/>
            <a:ext cx="779145" cy="1430020"/>
          </a:xfrm>
          <a:custGeom>
            <a:avLst/>
            <a:gdLst/>
            <a:ahLst/>
            <a:cxnLst/>
            <a:rect l="0" t="0" r="0" b="0"/>
            <a:pathLst>
              <a:path w="779145" h="1430020">
                <a:moveTo>
                  <a:pt x="91795" y="119176"/>
                </a:moveTo>
                <a:lnTo>
                  <a:pt x="82118" y="119176"/>
                </a:lnTo>
                <a:lnTo>
                  <a:pt x="67373" y="179628"/>
                </a:lnTo>
                <a:lnTo>
                  <a:pt x="67157" y="179628"/>
                </a:lnTo>
                <a:lnTo>
                  <a:pt x="51079" y="119176"/>
                </a:lnTo>
                <a:lnTo>
                  <a:pt x="40601" y="119176"/>
                </a:lnTo>
                <a:lnTo>
                  <a:pt x="24320" y="179628"/>
                </a:lnTo>
                <a:lnTo>
                  <a:pt x="24117" y="179628"/>
                </a:lnTo>
                <a:lnTo>
                  <a:pt x="9867" y="119176"/>
                </a:lnTo>
                <a:lnTo>
                  <a:pt x="0" y="119176"/>
                </a:lnTo>
                <a:lnTo>
                  <a:pt x="18618" y="191833"/>
                </a:lnTo>
                <a:lnTo>
                  <a:pt x="28689" y="191833"/>
                </a:lnTo>
                <a:lnTo>
                  <a:pt x="45491" y="130771"/>
                </a:lnTo>
                <a:lnTo>
                  <a:pt x="45694" y="130771"/>
                </a:lnTo>
                <a:lnTo>
                  <a:pt x="62280" y="191833"/>
                </a:lnTo>
                <a:lnTo>
                  <a:pt x="72351" y="191833"/>
                </a:lnTo>
                <a:lnTo>
                  <a:pt x="91795" y="119176"/>
                </a:lnTo>
                <a:close/>
              </a:path>
              <a:path w="779145" h="1430020">
                <a:moveTo>
                  <a:pt x="157378" y="191833"/>
                </a:moveTo>
                <a:lnTo>
                  <a:pt x="148818" y="169951"/>
                </a:lnTo>
                <a:lnTo>
                  <a:pt x="145643" y="161810"/>
                </a:lnTo>
                <a:lnTo>
                  <a:pt x="135699" y="136385"/>
                </a:lnTo>
                <a:lnTo>
                  <a:pt x="135699" y="161810"/>
                </a:lnTo>
                <a:lnTo>
                  <a:pt x="111074" y="161810"/>
                </a:lnTo>
                <a:lnTo>
                  <a:pt x="123393" y="127927"/>
                </a:lnTo>
                <a:lnTo>
                  <a:pt x="123596" y="127927"/>
                </a:lnTo>
                <a:lnTo>
                  <a:pt x="135699" y="161810"/>
                </a:lnTo>
                <a:lnTo>
                  <a:pt x="135699" y="136385"/>
                </a:lnTo>
                <a:lnTo>
                  <a:pt x="132397" y="127927"/>
                </a:lnTo>
                <a:lnTo>
                  <a:pt x="128981" y="119176"/>
                </a:lnTo>
                <a:lnTo>
                  <a:pt x="118300" y="119176"/>
                </a:lnTo>
                <a:lnTo>
                  <a:pt x="89903" y="191833"/>
                </a:lnTo>
                <a:lnTo>
                  <a:pt x="99885" y="191833"/>
                </a:lnTo>
                <a:lnTo>
                  <a:pt x="108026" y="169951"/>
                </a:lnTo>
                <a:lnTo>
                  <a:pt x="138760" y="169951"/>
                </a:lnTo>
                <a:lnTo>
                  <a:pt x="146697" y="191833"/>
                </a:lnTo>
                <a:lnTo>
                  <a:pt x="157378" y="191833"/>
                </a:lnTo>
                <a:close/>
              </a:path>
              <a:path w="779145" h="1430020">
                <a:moveTo>
                  <a:pt x="228993" y="226428"/>
                </a:moveTo>
                <a:lnTo>
                  <a:pt x="156832" y="213791"/>
                </a:lnTo>
                <a:lnTo>
                  <a:pt x="156832" y="239039"/>
                </a:lnTo>
                <a:lnTo>
                  <a:pt x="228993" y="226428"/>
                </a:lnTo>
                <a:close/>
              </a:path>
              <a:path w="779145" h="1430020">
                <a:moveTo>
                  <a:pt x="301155" y="94716"/>
                </a:moveTo>
                <a:lnTo>
                  <a:pt x="228993" y="107353"/>
                </a:lnTo>
                <a:lnTo>
                  <a:pt x="301155" y="119976"/>
                </a:lnTo>
                <a:lnTo>
                  <a:pt x="301155" y="94716"/>
                </a:lnTo>
                <a:close/>
              </a:path>
              <a:path w="779145" h="1430020">
                <a:moveTo>
                  <a:pt x="342455" y="34594"/>
                </a:moveTo>
                <a:lnTo>
                  <a:pt x="340144" y="19316"/>
                </a:lnTo>
                <a:lnTo>
                  <a:pt x="333400" y="8521"/>
                </a:lnTo>
                <a:lnTo>
                  <a:pt x="332778" y="8166"/>
                </a:lnTo>
                <a:lnTo>
                  <a:pt x="332778" y="35928"/>
                </a:lnTo>
                <a:lnTo>
                  <a:pt x="329895" y="51689"/>
                </a:lnTo>
                <a:lnTo>
                  <a:pt x="323049" y="60261"/>
                </a:lnTo>
                <a:lnTo>
                  <a:pt x="314960" y="63817"/>
                </a:lnTo>
                <a:lnTo>
                  <a:pt x="308356" y="64516"/>
                </a:lnTo>
                <a:lnTo>
                  <a:pt x="292277" y="64516"/>
                </a:lnTo>
                <a:lnTo>
                  <a:pt x="292277" y="8140"/>
                </a:lnTo>
                <a:lnTo>
                  <a:pt x="308559" y="8140"/>
                </a:lnTo>
                <a:lnTo>
                  <a:pt x="319849" y="10058"/>
                </a:lnTo>
                <a:lnTo>
                  <a:pt x="327342" y="15544"/>
                </a:lnTo>
                <a:lnTo>
                  <a:pt x="331495" y="24295"/>
                </a:lnTo>
                <a:lnTo>
                  <a:pt x="332778" y="35928"/>
                </a:lnTo>
                <a:lnTo>
                  <a:pt x="332778" y="8166"/>
                </a:lnTo>
                <a:lnTo>
                  <a:pt x="322440" y="2120"/>
                </a:lnTo>
                <a:lnTo>
                  <a:pt x="307543" y="0"/>
                </a:lnTo>
                <a:lnTo>
                  <a:pt x="282613" y="0"/>
                </a:lnTo>
                <a:lnTo>
                  <a:pt x="282613" y="72656"/>
                </a:lnTo>
                <a:lnTo>
                  <a:pt x="307543" y="72656"/>
                </a:lnTo>
                <a:lnTo>
                  <a:pt x="323215" y="70142"/>
                </a:lnTo>
                <a:lnTo>
                  <a:pt x="331482" y="64516"/>
                </a:lnTo>
                <a:lnTo>
                  <a:pt x="334086" y="62750"/>
                </a:lnTo>
                <a:lnTo>
                  <a:pt x="340410" y="50812"/>
                </a:lnTo>
                <a:lnTo>
                  <a:pt x="342455" y="34594"/>
                </a:lnTo>
                <a:close/>
              </a:path>
              <a:path w="779145" h="1430020">
                <a:moveTo>
                  <a:pt x="365950" y="213791"/>
                </a:moveTo>
                <a:lnTo>
                  <a:pt x="293789" y="226428"/>
                </a:lnTo>
                <a:lnTo>
                  <a:pt x="365950" y="239039"/>
                </a:lnTo>
                <a:lnTo>
                  <a:pt x="365950" y="213791"/>
                </a:lnTo>
                <a:close/>
              </a:path>
              <a:path w="779145" h="1430020">
                <a:moveTo>
                  <a:pt x="392010" y="107353"/>
                </a:moveTo>
                <a:lnTo>
                  <a:pt x="319849" y="94729"/>
                </a:lnTo>
                <a:lnTo>
                  <a:pt x="319849" y="119989"/>
                </a:lnTo>
                <a:lnTo>
                  <a:pt x="392010" y="107353"/>
                </a:lnTo>
                <a:close/>
              </a:path>
              <a:path w="779145" h="1430020">
                <a:moveTo>
                  <a:pt x="778967" y="1186180"/>
                </a:moveTo>
                <a:lnTo>
                  <a:pt x="753706" y="1186180"/>
                </a:lnTo>
                <a:lnTo>
                  <a:pt x="766330" y="1258328"/>
                </a:lnTo>
                <a:lnTo>
                  <a:pt x="778967" y="1186180"/>
                </a:lnTo>
                <a:close/>
              </a:path>
              <a:path w="779145" h="1430020">
                <a:moveTo>
                  <a:pt x="778979" y="1429664"/>
                </a:moveTo>
                <a:lnTo>
                  <a:pt x="766330" y="1357515"/>
                </a:lnTo>
                <a:lnTo>
                  <a:pt x="753719" y="1429664"/>
                </a:lnTo>
                <a:lnTo>
                  <a:pt x="778979" y="1429664"/>
                </a:lnTo>
                <a:close/>
              </a:path>
            </a:pathLst>
          </a:custGeom>
          <a:solidFill>
            <a:srgbClr val="000000"/>
          </a:solidFill>
        </xdr:spPr>
      </xdr:sp>
      <xdr:pic>
        <xdr:nvPicPr>
          <xdr:cNvPr id="354" name="image286.png">
            <a:extLst>
              <a:ext uri="{FF2B5EF4-FFF2-40B4-BE49-F238E27FC236}">
                <a16:creationId xmlns:a16="http://schemas.microsoft.com/office/drawing/2014/main" id="{D01856CC-67A4-81E5-7C07-BB560B20212B}"/>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668997" y="984034"/>
            <a:ext cx="72657" cy="179306"/>
          </a:xfrm>
          <a:prstGeom prst="rect">
            <a:avLst/>
          </a:prstGeom>
        </xdr:spPr>
      </xdr:pic>
      <xdr:sp macro="" textlink="">
        <xdr:nvSpPr>
          <xdr:cNvPr id="355" name="Shape 1048">
            <a:extLst>
              <a:ext uri="{FF2B5EF4-FFF2-40B4-BE49-F238E27FC236}">
                <a16:creationId xmlns:a16="http://schemas.microsoft.com/office/drawing/2014/main" id="{B2C6FC07-E6DB-BAEC-F3F2-90BD9CBF477F}"/>
              </a:ext>
            </a:extLst>
          </xdr:cNvPr>
          <xdr:cNvSpPr/>
        </xdr:nvSpPr>
        <xdr:spPr>
          <a:xfrm>
            <a:off x="669493" y="781646"/>
            <a:ext cx="73660" cy="156845"/>
          </a:xfrm>
          <a:custGeom>
            <a:avLst/>
            <a:gdLst/>
            <a:ahLst/>
            <a:cxnLst/>
            <a:rect l="0" t="0" r="0" b="0"/>
            <a:pathLst>
              <a:path w="73660" h="156845">
                <a:moveTo>
                  <a:pt x="72148" y="129298"/>
                </a:moveTo>
                <a:lnTo>
                  <a:pt x="0" y="129298"/>
                </a:lnTo>
                <a:lnTo>
                  <a:pt x="0" y="135915"/>
                </a:lnTo>
                <a:lnTo>
                  <a:pt x="10883" y="137845"/>
                </a:lnTo>
                <a:lnTo>
                  <a:pt x="13525" y="146799"/>
                </a:lnTo>
                <a:lnTo>
                  <a:pt x="13525" y="156692"/>
                </a:lnTo>
                <a:lnTo>
                  <a:pt x="20447" y="156692"/>
                </a:lnTo>
                <a:lnTo>
                  <a:pt x="20447" y="137960"/>
                </a:lnTo>
                <a:lnTo>
                  <a:pt x="72148" y="137960"/>
                </a:lnTo>
                <a:lnTo>
                  <a:pt x="72148" y="129298"/>
                </a:lnTo>
                <a:close/>
              </a:path>
              <a:path w="73660" h="156845">
                <a:moveTo>
                  <a:pt x="73367" y="80632"/>
                </a:moveTo>
                <a:lnTo>
                  <a:pt x="69964" y="67652"/>
                </a:lnTo>
                <a:lnTo>
                  <a:pt x="69875" y="67348"/>
                </a:lnTo>
                <a:lnTo>
                  <a:pt x="67919" y="65760"/>
                </a:lnTo>
                <a:lnTo>
                  <a:pt x="65735" y="63995"/>
                </a:lnTo>
                <a:lnTo>
                  <a:pt x="65735" y="80632"/>
                </a:lnTo>
                <a:lnTo>
                  <a:pt x="62712" y="89166"/>
                </a:lnTo>
                <a:lnTo>
                  <a:pt x="55232" y="93573"/>
                </a:lnTo>
                <a:lnTo>
                  <a:pt x="45732" y="95224"/>
                </a:lnTo>
                <a:lnTo>
                  <a:pt x="36626" y="95478"/>
                </a:lnTo>
                <a:lnTo>
                  <a:pt x="27597" y="95224"/>
                </a:lnTo>
                <a:lnTo>
                  <a:pt x="18135" y="93573"/>
                </a:lnTo>
                <a:lnTo>
                  <a:pt x="10668" y="89166"/>
                </a:lnTo>
                <a:lnTo>
                  <a:pt x="7632" y="80632"/>
                </a:lnTo>
                <a:lnTo>
                  <a:pt x="10668" y="72072"/>
                </a:lnTo>
                <a:lnTo>
                  <a:pt x="18135" y="67652"/>
                </a:lnTo>
                <a:lnTo>
                  <a:pt x="27597" y="66001"/>
                </a:lnTo>
                <a:lnTo>
                  <a:pt x="36626" y="65760"/>
                </a:lnTo>
                <a:lnTo>
                  <a:pt x="45732" y="66001"/>
                </a:lnTo>
                <a:lnTo>
                  <a:pt x="55232" y="67652"/>
                </a:lnTo>
                <a:lnTo>
                  <a:pt x="62712" y="72072"/>
                </a:lnTo>
                <a:lnTo>
                  <a:pt x="65735" y="80632"/>
                </a:lnTo>
                <a:lnTo>
                  <a:pt x="65735" y="63995"/>
                </a:lnTo>
                <a:lnTo>
                  <a:pt x="61010" y="60147"/>
                </a:lnTo>
                <a:lnTo>
                  <a:pt x="49161" y="57188"/>
                </a:lnTo>
                <a:lnTo>
                  <a:pt x="36728" y="56616"/>
                </a:lnTo>
                <a:lnTo>
                  <a:pt x="24257" y="57188"/>
                </a:lnTo>
                <a:lnTo>
                  <a:pt x="12382" y="60147"/>
                </a:lnTo>
                <a:lnTo>
                  <a:pt x="3505" y="67348"/>
                </a:lnTo>
                <a:lnTo>
                  <a:pt x="0" y="80632"/>
                </a:lnTo>
                <a:lnTo>
                  <a:pt x="3416" y="93573"/>
                </a:lnTo>
                <a:lnTo>
                  <a:pt x="3505" y="93916"/>
                </a:lnTo>
                <a:lnTo>
                  <a:pt x="12382" y="101104"/>
                </a:lnTo>
                <a:lnTo>
                  <a:pt x="24257" y="104063"/>
                </a:lnTo>
                <a:lnTo>
                  <a:pt x="36728" y="104648"/>
                </a:lnTo>
                <a:lnTo>
                  <a:pt x="49161" y="104063"/>
                </a:lnTo>
                <a:lnTo>
                  <a:pt x="61010" y="101104"/>
                </a:lnTo>
                <a:lnTo>
                  <a:pt x="67957" y="95478"/>
                </a:lnTo>
                <a:lnTo>
                  <a:pt x="69875" y="93916"/>
                </a:lnTo>
                <a:lnTo>
                  <a:pt x="73367" y="80632"/>
                </a:lnTo>
                <a:close/>
              </a:path>
              <a:path w="73660" h="156845">
                <a:moveTo>
                  <a:pt x="73367" y="24015"/>
                </a:moveTo>
                <a:lnTo>
                  <a:pt x="69964" y="11061"/>
                </a:lnTo>
                <a:lnTo>
                  <a:pt x="69875" y="10731"/>
                </a:lnTo>
                <a:lnTo>
                  <a:pt x="67957" y="9169"/>
                </a:lnTo>
                <a:lnTo>
                  <a:pt x="65735" y="7366"/>
                </a:lnTo>
                <a:lnTo>
                  <a:pt x="65735" y="24015"/>
                </a:lnTo>
                <a:lnTo>
                  <a:pt x="62712" y="32562"/>
                </a:lnTo>
                <a:lnTo>
                  <a:pt x="55232" y="36982"/>
                </a:lnTo>
                <a:lnTo>
                  <a:pt x="45732" y="38620"/>
                </a:lnTo>
                <a:lnTo>
                  <a:pt x="36626" y="38874"/>
                </a:lnTo>
                <a:lnTo>
                  <a:pt x="27597" y="38620"/>
                </a:lnTo>
                <a:lnTo>
                  <a:pt x="18135" y="36982"/>
                </a:lnTo>
                <a:lnTo>
                  <a:pt x="10668" y="32562"/>
                </a:lnTo>
                <a:lnTo>
                  <a:pt x="7632" y="24015"/>
                </a:lnTo>
                <a:lnTo>
                  <a:pt x="10668" y="15468"/>
                </a:lnTo>
                <a:lnTo>
                  <a:pt x="18135" y="11061"/>
                </a:lnTo>
                <a:lnTo>
                  <a:pt x="27597" y="9410"/>
                </a:lnTo>
                <a:lnTo>
                  <a:pt x="36626" y="9169"/>
                </a:lnTo>
                <a:lnTo>
                  <a:pt x="45732" y="9410"/>
                </a:lnTo>
                <a:lnTo>
                  <a:pt x="55232" y="11061"/>
                </a:lnTo>
                <a:lnTo>
                  <a:pt x="62712" y="15468"/>
                </a:lnTo>
                <a:lnTo>
                  <a:pt x="65735" y="24015"/>
                </a:lnTo>
                <a:lnTo>
                  <a:pt x="65735" y="7366"/>
                </a:lnTo>
                <a:lnTo>
                  <a:pt x="61010" y="3530"/>
                </a:lnTo>
                <a:lnTo>
                  <a:pt x="49161" y="571"/>
                </a:lnTo>
                <a:lnTo>
                  <a:pt x="36728" y="0"/>
                </a:lnTo>
                <a:lnTo>
                  <a:pt x="24257" y="571"/>
                </a:lnTo>
                <a:lnTo>
                  <a:pt x="12382" y="3530"/>
                </a:lnTo>
                <a:lnTo>
                  <a:pt x="3505" y="10731"/>
                </a:lnTo>
                <a:lnTo>
                  <a:pt x="0" y="24015"/>
                </a:lnTo>
                <a:lnTo>
                  <a:pt x="3416" y="36982"/>
                </a:lnTo>
                <a:lnTo>
                  <a:pt x="3505" y="37287"/>
                </a:lnTo>
                <a:lnTo>
                  <a:pt x="12382" y="44488"/>
                </a:lnTo>
                <a:lnTo>
                  <a:pt x="24257" y="47447"/>
                </a:lnTo>
                <a:lnTo>
                  <a:pt x="36728" y="48031"/>
                </a:lnTo>
                <a:lnTo>
                  <a:pt x="49161" y="47447"/>
                </a:lnTo>
                <a:lnTo>
                  <a:pt x="61010" y="44488"/>
                </a:lnTo>
                <a:lnTo>
                  <a:pt x="67932" y="38874"/>
                </a:lnTo>
                <a:lnTo>
                  <a:pt x="69875" y="37287"/>
                </a:lnTo>
                <a:lnTo>
                  <a:pt x="73367" y="24015"/>
                </a:lnTo>
                <a:close/>
              </a:path>
            </a:pathLst>
          </a:custGeom>
          <a:solidFill>
            <a:srgbClr val="000000"/>
          </a:solidFill>
        </xdr:spPr>
      </xdr:sp>
    </xdr:grpSp>
    <xdr:clientData/>
  </xdr:absoluteAnchor>
  <xdr:absoluteAnchor>
    <xdr:pos x="1482836" y="255207789"/>
    <xdr:ext cx="806450" cy="1913255"/>
    <xdr:grpSp>
      <xdr:nvGrpSpPr>
        <xdr:cNvPr id="356" name="Group 1050">
          <a:extLst>
            <a:ext uri="{FF2B5EF4-FFF2-40B4-BE49-F238E27FC236}">
              <a16:creationId xmlns:a16="http://schemas.microsoft.com/office/drawing/2014/main" id="{100A2AC1-7CB8-41A8-935B-E091FB5A3160}"/>
            </a:ext>
          </a:extLst>
        </xdr:cNvPr>
        <xdr:cNvGrpSpPr/>
      </xdr:nvGrpSpPr>
      <xdr:grpSpPr>
        <a:xfrm>
          <a:off x="1482836" y="255207789"/>
          <a:ext cx="806450" cy="1913255"/>
          <a:chOff x="0" y="0"/>
          <a:chExt cx="806450" cy="1913255"/>
        </a:xfrm>
      </xdr:grpSpPr>
      <xdr:sp macro="" textlink="">
        <xdr:nvSpPr>
          <xdr:cNvPr id="357" name="Shape 1051">
            <a:extLst>
              <a:ext uri="{FF2B5EF4-FFF2-40B4-BE49-F238E27FC236}">
                <a16:creationId xmlns:a16="http://schemas.microsoft.com/office/drawing/2014/main" id="{87340259-28AD-AE41-F3A9-CDB2D0D1C728}"/>
              </a:ext>
            </a:extLst>
          </xdr:cNvPr>
          <xdr:cNvSpPr/>
        </xdr:nvSpPr>
        <xdr:spPr>
          <a:xfrm>
            <a:off x="135558" y="273389"/>
            <a:ext cx="549275" cy="1637030"/>
          </a:xfrm>
          <a:custGeom>
            <a:avLst/>
            <a:gdLst/>
            <a:ahLst/>
            <a:cxnLst/>
            <a:rect l="0" t="0" r="0" b="0"/>
            <a:pathLst>
              <a:path w="549275" h="1637030">
                <a:moveTo>
                  <a:pt x="0" y="1145870"/>
                </a:moveTo>
                <a:lnTo>
                  <a:pt x="93446" y="1052410"/>
                </a:lnTo>
              </a:path>
              <a:path w="549275" h="1637030">
                <a:moveTo>
                  <a:pt x="0" y="1075702"/>
                </a:moveTo>
                <a:lnTo>
                  <a:pt x="93446" y="982243"/>
                </a:lnTo>
              </a:path>
              <a:path w="549275" h="1637030">
                <a:moveTo>
                  <a:pt x="0" y="1005560"/>
                </a:moveTo>
                <a:lnTo>
                  <a:pt x="93446" y="912075"/>
                </a:lnTo>
              </a:path>
              <a:path w="549275" h="1637030">
                <a:moveTo>
                  <a:pt x="0" y="935380"/>
                </a:moveTo>
                <a:lnTo>
                  <a:pt x="93446" y="841921"/>
                </a:lnTo>
              </a:path>
              <a:path w="549275" h="1637030">
                <a:moveTo>
                  <a:pt x="0" y="865225"/>
                </a:moveTo>
                <a:lnTo>
                  <a:pt x="93446" y="771766"/>
                </a:lnTo>
              </a:path>
              <a:path w="549275" h="1637030">
                <a:moveTo>
                  <a:pt x="0" y="795058"/>
                </a:moveTo>
                <a:lnTo>
                  <a:pt x="93446" y="701598"/>
                </a:lnTo>
              </a:path>
              <a:path w="549275" h="1637030">
                <a:moveTo>
                  <a:pt x="0" y="724890"/>
                </a:moveTo>
                <a:lnTo>
                  <a:pt x="93446" y="631444"/>
                </a:lnTo>
              </a:path>
              <a:path w="549275" h="1637030">
                <a:moveTo>
                  <a:pt x="0" y="654748"/>
                </a:moveTo>
                <a:lnTo>
                  <a:pt x="93446" y="561289"/>
                </a:lnTo>
              </a:path>
              <a:path w="549275" h="1637030">
                <a:moveTo>
                  <a:pt x="0" y="584581"/>
                </a:moveTo>
                <a:lnTo>
                  <a:pt x="93446" y="491121"/>
                </a:lnTo>
              </a:path>
              <a:path w="549275" h="1637030">
                <a:moveTo>
                  <a:pt x="0" y="514426"/>
                </a:moveTo>
                <a:lnTo>
                  <a:pt x="93446" y="420966"/>
                </a:lnTo>
              </a:path>
              <a:path w="549275" h="1637030">
                <a:moveTo>
                  <a:pt x="0" y="444258"/>
                </a:moveTo>
                <a:lnTo>
                  <a:pt x="93446" y="350799"/>
                </a:lnTo>
              </a:path>
              <a:path w="549275" h="1637030">
                <a:moveTo>
                  <a:pt x="0" y="374091"/>
                </a:moveTo>
                <a:lnTo>
                  <a:pt x="93446" y="280644"/>
                </a:lnTo>
              </a:path>
              <a:path w="549275" h="1637030">
                <a:moveTo>
                  <a:pt x="0" y="303936"/>
                </a:moveTo>
                <a:lnTo>
                  <a:pt x="93446" y="210477"/>
                </a:lnTo>
              </a:path>
              <a:path w="549275" h="1637030">
                <a:moveTo>
                  <a:pt x="0" y="233781"/>
                </a:moveTo>
                <a:lnTo>
                  <a:pt x="93446" y="140322"/>
                </a:lnTo>
              </a:path>
              <a:path w="549275" h="1637030">
                <a:moveTo>
                  <a:pt x="0" y="163614"/>
                </a:moveTo>
                <a:lnTo>
                  <a:pt x="55003" y="108623"/>
                </a:lnTo>
              </a:path>
              <a:path w="549275" h="1637030">
                <a:moveTo>
                  <a:pt x="0" y="1216025"/>
                </a:moveTo>
                <a:lnTo>
                  <a:pt x="93446" y="1122578"/>
                </a:lnTo>
              </a:path>
              <a:path w="549275" h="1637030">
                <a:moveTo>
                  <a:pt x="0" y="1286179"/>
                </a:moveTo>
                <a:lnTo>
                  <a:pt x="93446" y="1192745"/>
                </a:lnTo>
              </a:path>
              <a:path w="549275" h="1637030">
                <a:moveTo>
                  <a:pt x="0" y="1356347"/>
                </a:moveTo>
                <a:lnTo>
                  <a:pt x="93446" y="1262888"/>
                </a:lnTo>
              </a:path>
              <a:path w="549275" h="1637030">
                <a:moveTo>
                  <a:pt x="0" y="1426514"/>
                </a:moveTo>
                <a:lnTo>
                  <a:pt x="93446" y="1333042"/>
                </a:lnTo>
              </a:path>
              <a:path w="549275" h="1637030">
                <a:moveTo>
                  <a:pt x="0" y="1496669"/>
                </a:moveTo>
                <a:lnTo>
                  <a:pt x="93446" y="1403223"/>
                </a:lnTo>
              </a:path>
              <a:path w="549275" h="1637030">
                <a:moveTo>
                  <a:pt x="0" y="1566837"/>
                </a:moveTo>
                <a:lnTo>
                  <a:pt x="93446" y="1473365"/>
                </a:lnTo>
              </a:path>
              <a:path w="549275" h="1637030">
                <a:moveTo>
                  <a:pt x="126" y="1636864"/>
                </a:moveTo>
                <a:lnTo>
                  <a:pt x="93446" y="1543532"/>
                </a:lnTo>
              </a:path>
              <a:path w="549275" h="1637030">
                <a:moveTo>
                  <a:pt x="70269" y="1636864"/>
                </a:moveTo>
                <a:lnTo>
                  <a:pt x="147815" y="1559306"/>
                </a:lnTo>
              </a:path>
              <a:path w="549275" h="1637030">
                <a:moveTo>
                  <a:pt x="140436" y="1636864"/>
                </a:moveTo>
                <a:lnTo>
                  <a:pt x="217970" y="1559306"/>
                </a:lnTo>
              </a:path>
              <a:path w="549275" h="1637030">
                <a:moveTo>
                  <a:pt x="210591" y="1636864"/>
                </a:moveTo>
                <a:lnTo>
                  <a:pt x="288124" y="1559306"/>
                </a:lnTo>
              </a:path>
              <a:path w="549275" h="1637030">
                <a:moveTo>
                  <a:pt x="280746" y="1636864"/>
                </a:moveTo>
                <a:lnTo>
                  <a:pt x="358305" y="1559306"/>
                </a:lnTo>
              </a:path>
              <a:path w="549275" h="1637030">
                <a:moveTo>
                  <a:pt x="350913" y="1636864"/>
                </a:moveTo>
                <a:lnTo>
                  <a:pt x="428447" y="1559306"/>
                </a:lnTo>
              </a:path>
              <a:path w="549275" h="1637030">
                <a:moveTo>
                  <a:pt x="421068" y="1636864"/>
                </a:moveTo>
                <a:lnTo>
                  <a:pt x="498627" y="1559306"/>
                </a:lnTo>
              </a:path>
              <a:path w="549275" h="1637030">
                <a:moveTo>
                  <a:pt x="491248" y="1636864"/>
                </a:moveTo>
                <a:lnTo>
                  <a:pt x="548767" y="1579333"/>
                </a:lnTo>
              </a:path>
              <a:path w="549275" h="1637030">
                <a:moveTo>
                  <a:pt x="0" y="163614"/>
                </a:moveTo>
                <a:lnTo>
                  <a:pt x="93446" y="70167"/>
                </a:lnTo>
              </a:path>
              <a:path w="549275" h="1637030">
                <a:moveTo>
                  <a:pt x="0" y="93459"/>
                </a:moveTo>
                <a:lnTo>
                  <a:pt x="93446" y="0"/>
                </a:lnTo>
              </a:path>
              <a:path w="549275" h="1637030">
                <a:moveTo>
                  <a:pt x="354698" y="1432788"/>
                </a:moveTo>
                <a:lnTo>
                  <a:pt x="354698" y="682485"/>
                </a:lnTo>
              </a:path>
              <a:path w="549275" h="1637030">
                <a:moveTo>
                  <a:pt x="305079" y="1306779"/>
                </a:moveTo>
                <a:lnTo>
                  <a:pt x="305079" y="682485"/>
                </a:lnTo>
              </a:path>
              <a:path w="549275" h="1637030">
                <a:moveTo>
                  <a:pt x="281266" y="1306779"/>
                </a:moveTo>
                <a:lnTo>
                  <a:pt x="281266" y="682485"/>
                </a:lnTo>
              </a:path>
              <a:path w="549275" h="1637030">
                <a:moveTo>
                  <a:pt x="231660" y="1306779"/>
                </a:moveTo>
                <a:lnTo>
                  <a:pt x="231660" y="682485"/>
                </a:lnTo>
              </a:path>
              <a:path w="549275" h="1637030">
                <a:moveTo>
                  <a:pt x="207860" y="1306779"/>
                </a:moveTo>
                <a:lnTo>
                  <a:pt x="207860" y="1227607"/>
                </a:lnTo>
              </a:path>
              <a:path w="549275" h="1637030">
                <a:moveTo>
                  <a:pt x="158242" y="682485"/>
                </a:moveTo>
                <a:lnTo>
                  <a:pt x="158242" y="1166075"/>
                </a:lnTo>
              </a:path>
            </a:pathLst>
          </a:custGeom>
          <a:ln w="5092">
            <a:solidFill>
              <a:srgbClr val="000000"/>
            </a:solidFill>
          </a:ln>
        </xdr:spPr>
      </xdr:sp>
      <xdr:pic>
        <xdr:nvPicPr>
          <xdr:cNvPr id="358" name="image288.png">
            <a:extLst>
              <a:ext uri="{FF2B5EF4-FFF2-40B4-BE49-F238E27FC236}">
                <a16:creationId xmlns:a16="http://schemas.microsoft.com/office/drawing/2014/main" id="{6F950D8D-2904-705A-42C3-2AB3A96CF326}"/>
              </a:ext>
            </a:extLst>
          </xdr:cNvPr>
          <xdr:cNvPicPr>
            <a:picLocks noChangeAspect="1"/>
          </xdr:cNvPicPr>
        </xdr:nvPicPr>
        <xdr:blipFill>
          <a:blip xmlns:r="http://schemas.openxmlformats.org/officeDocument/2006/relationships" r:embed="rId116">
            <a:extLst>
              <a:ext uri="{28A0092B-C50C-407E-A947-70E740481C1C}">
                <a14:useLocalDpi xmlns:a14="http://schemas.microsoft.com/office/drawing/2010/main" val="0"/>
              </a:ext>
            </a:extLst>
          </a:blip>
          <a:stretch>
            <a:fillRect/>
          </a:stretch>
        </xdr:blipFill>
        <xdr:spPr>
          <a:xfrm>
            <a:off x="332922" y="1577622"/>
            <a:ext cx="159880" cy="155905"/>
          </a:xfrm>
          <a:prstGeom prst="rect">
            <a:avLst/>
          </a:prstGeom>
        </xdr:spPr>
      </xdr:pic>
      <xdr:sp macro="" textlink="">
        <xdr:nvSpPr>
          <xdr:cNvPr id="359" name="Shape 1053">
            <a:extLst>
              <a:ext uri="{FF2B5EF4-FFF2-40B4-BE49-F238E27FC236}">
                <a16:creationId xmlns:a16="http://schemas.microsoft.com/office/drawing/2014/main" id="{39970E73-15E6-73D9-83BB-797D33C54C17}"/>
              </a:ext>
            </a:extLst>
          </xdr:cNvPr>
          <xdr:cNvSpPr/>
        </xdr:nvSpPr>
        <xdr:spPr>
          <a:xfrm>
            <a:off x="293800" y="366670"/>
            <a:ext cx="196850" cy="589280"/>
          </a:xfrm>
          <a:custGeom>
            <a:avLst/>
            <a:gdLst/>
            <a:ahLst/>
            <a:cxnLst/>
            <a:rect l="0" t="0" r="0" b="0"/>
            <a:pathLst>
              <a:path w="196850" h="589280">
                <a:moveTo>
                  <a:pt x="0" y="0"/>
                </a:moveTo>
                <a:lnTo>
                  <a:pt x="0" y="205193"/>
                </a:lnTo>
              </a:path>
              <a:path w="196850" h="589280">
                <a:moveTo>
                  <a:pt x="196456" y="589203"/>
                </a:moveTo>
                <a:lnTo>
                  <a:pt x="196456" y="0"/>
                </a:lnTo>
              </a:path>
              <a:path w="196850" h="589280">
                <a:moveTo>
                  <a:pt x="49618" y="589203"/>
                </a:moveTo>
                <a:lnTo>
                  <a:pt x="49618" y="266712"/>
                </a:lnTo>
              </a:path>
              <a:path w="196850" h="589280">
                <a:moveTo>
                  <a:pt x="73418" y="589203"/>
                </a:moveTo>
                <a:lnTo>
                  <a:pt x="73418" y="126022"/>
                </a:lnTo>
              </a:path>
              <a:path w="196850" h="589280">
                <a:moveTo>
                  <a:pt x="123024" y="589203"/>
                </a:moveTo>
                <a:lnTo>
                  <a:pt x="123024" y="126022"/>
                </a:lnTo>
              </a:path>
              <a:path w="196850" h="589280">
                <a:moveTo>
                  <a:pt x="146837" y="589203"/>
                </a:moveTo>
                <a:lnTo>
                  <a:pt x="146837" y="126022"/>
                </a:lnTo>
              </a:path>
            </a:pathLst>
          </a:custGeom>
          <a:ln w="5092">
            <a:solidFill>
              <a:srgbClr val="000000"/>
            </a:solidFill>
          </a:ln>
        </xdr:spPr>
      </xdr:sp>
      <xdr:pic>
        <xdr:nvPicPr>
          <xdr:cNvPr id="360" name="image289.png">
            <a:extLst>
              <a:ext uri="{FF2B5EF4-FFF2-40B4-BE49-F238E27FC236}">
                <a16:creationId xmlns:a16="http://schemas.microsoft.com/office/drawing/2014/main" id="{37A369CC-59D7-AB28-E8B8-8507CB1785DC}"/>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291254" y="339321"/>
            <a:ext cx="201549" cy="155917"/>
          </a:xfrm>
          <a:prstGeom prst="rect">
            <a:avLst/>
          </a:prstGeom>
        </xdr:spPr>
      </xdr:pic>
      <xdr:sp macro="" textlink="">
        <xdr:nvSpPr>
          <xdr:cNvPr id="361" name="Shape 1055">
            <a:extLst>
              <a:ext uri="{FF2B5EF4-FFF2-40B4-BE49-F238E27FC236}">
                <a16:creationId xmlns:a16="http://schemas.microsoft.com/office/drawing/2014/main" id="{9EF987AB-E39F-77FE-9DE1-E9A06831B88C}"/>
              </a:ext>
            </a:extLst>
          </xdr:cNvPr>
          <xdr:cNvSpPr/>
        </xdr:nvSpPr>
        <xdr:spPr>
          <a:xfrm>
            <a:off x="293800" y="492692"/>
            <a:ext cx="50165" cy="1233170"/>
          </a:xfrm>
          <a:custGeom>
            <a:avLst/>
            <a:gdLst/>
            <a:ahLst/>
            <a:cxnLst/>
            <a:rect l="0" t="0" r="0" b="0"/>
            <a:pathLst>
              <a:path w="50165" h="1233170">
                <a:moveTo>
                  <a:pt x="0" y="140690"/>
                </a:moveTo>
                <a:lnTo>
                  <a:pt x="0" y="463181"/>
                </a:lnTo>
              </a:path>
              <a:path w="50165" h="1233170">
                <a:moveTo>
                  <a:pt x="49618" y="79171"/>
                </a:moveTo>
                <a:lnTo>
                  <a:pt x="49618" y="0"/>
                </a:lnTo>
              </a:path>
              <a:path w="50165" h="1233170">
                <a:moveTo>
                  <a:pt x="0" y="1213485"/>
                </a:moveTo>
                <a:lnTo>
                  <a:pt x="0" y="1221066"/>
                </a:lnTo>
                <a:lnTo>
                  <a:pt x="3467" y="1228217"/>
                </a:lnTo>
                <a:lnTo>
                  <a:pt x="9410" y="1232916"/>
                </a:lnTo>
              </a:path>
              <a:path w="50165" h="1233170">
                <a:moveTo>
                  <a:pt x="0" y="1008303"/>
                </a:moveTo>
                <a:lnTo>
                  <a:pt x="0" y="1213485"/>
                </a:lnTo>
              </a:path>
              <a:path w="50165" h="1233170">
                <a:moveTo>
                  <a:pt x="49618" y="946772"/>
                </a:moveTo>
                <a:lnTo>
                  <a:pt x="49618" y="463181"/>
                </a:lnTo>
              </a:path>
            </a:pathLst>
          </a:custGeom>
          <a:ln w="5092">
            <a:solidFill>
              <a:srgbClr val="000000"/>
            </a:solidFill>
          </a:ln>
        </xdr:spPr>
      </xdr:sp>
      <xdr:pic>
        <xdr:nvPicPr>
          <xdr:cNvPr id="362" name="image290.png">
            <a:extLst>
              <a:ext uri="{FF2B5EF4-FFF2-40B4-BE49-F238E27FC236}">
                <a16:creationId xmlns:a16="http://schemas.microsoft.com/office/drawing/2014/main" id="{2F6671DB-A1F6-E58A-898A-BC92D5BB8119}"/>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233405" y="569319"/>
            <a:ext cx="121373" cy="66611"/>
          </a:xfrm>
          <a:prstGeom prst="rect">
            <a:avLst/>
          </a:prstGeom>
        </xdr:spPr>
      </xdr:pic>
      <xdr:pic>
        <xdr:nvPicPr>
          <xdr:cNvPr id="363" name="image291.png">
            <a:extLst>
              <a:ext uri="{FF2B5EF4-FFF2-40B4-BE49-F238E27FC236}">
                <a16:creationId xmlns:a16="http://schemas.microsoft.com/office/drawing/2014/main" id="{8F2ED9C0-D7A9-D6D6-7DB8-26ACD859F2F5}"/>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233400" y="1436920"/>
            <a:ext cx="121386" cy="66624"/>
          </a:xfrm>
          <a:prstGeom prst="rect">
            <a:avLst/>
          </a:prstGeom>
        </xdr:spPr>
      </xdr:pic>
      <xdr:sp macro="" textlink="">
        <xdr:nvSpPr>
          <xdr:cNvPr id="364" name="Shape 1058">
            <a:extLst>
              <a:ext uri="{FF2B5EF4-FFF2-40B4-BE49-F238E27FC236}">
                <a16:creationId xmlns:a16="http://schemas.microsoft.com/office/drawing/2014/main" id="{4778BD70-3271-1F07-C3E8-0A297929E437}"/>
              </a:ext>
            </a:extLst>
          </xdr:cNvPr>
          <xdr:cNvSpPr/>
        </xdr:nvSpPr>
        <xdr:spPr>
          <a:xfrm>
            <a:off x="5772" y="64043"/>
            <a:ext cx="800735" cy="1848485"/>
          </a:xfrm>
          <a:custGeom>
            <a:avLst/>
            <a:gdLst/>
            <a:ahLst/>
            <a:cxnLst/>
            <a:rect l="0" t="0" r="0" b="0"/>
            <a:pathLst>
              <a:path w="800735" h="1848485">
                <a:moveTo>
                  <a:pt x="230174" y="1628825"/>
                </a:moveTo>
                <a:lnTo>
                  <a:pt x="230174" y="1297050"/>
                </a:lnTo>
              </a:path>
              <a:path w="800735" h="1848485">
                <a:moveTo>
                  <a:pt x="230174" y="1628825"/>
                </a:moveTo>
                <a:lnTo>
                  <a:pt x="232749" y="1641571"/>
                </a:lnTo>
                <a:lnTo>
                  <a:pt x="239769" y="1651977"/>
                </a:lnTo>
                <a:lnTo>
                  <a:pt x="250180" y="1658993"/>
                </a:lnTo>
                <a:lnTo>
                  <a:pt x="262928" y="1661566"/>
                </a:lnTo>
              </a:path>
              <a:path w="800735" h="1848485">
                <a:moveTo>
                  <a:pt x="223227" y="1627428"/>
                </a:moveTo>
                <a:lnTo>
                  <a:pt x="226346" y="1642879"/>
                </a:lnTo>
                <a:lnTo>
                  <a:pt x="234851" y="1655498"/>
                </a:lnTo>
                <a:lnTo>
                  <a:pt x="247466" y="1664008"/>
                </a:lnTo>
                <a:lnTo>
                  <a:pt x="262915" y="1667128"/>
                </a:lnTo>
              </a:path>
              <a:path w="800735" h="1848485">
                <a:moveTo>
                  <a:pt x="223227" y="1634388"/>
                </a:moveTo>
                <a:lnTo>
                  <a:pt x="226348" y="1649837"/>
                </a:lnTo>
                <a:lnTo>
                  <a:pt x="234857" y="1662452"/>
                </a:lnTo>
                <a:lnTo>
                  <a:pt x="247477" y="1670957"/>
                </a:lnTo>
                <a:lnTo>
                  <a:pt x="262928" y="1674075"/>
                </a:lnTo>
              </a:path>
              <a:path w="800735" h="1848485">
                <a:moveTo>
                  <a:pt x="403402" y="1674075"/>
                </a:moveTo>
                <a:lnTo>
                  <a:pt x="262928" y="1674075"/>
                </a:lnTo>
              </a:path>
              <a:path w="800735" h="1848485">
                <a:moveTo>
                  <a:pt x="353809" y="1661566"/>
                </a:moveTo>
                <a:lnTo>
                  <a:pt x="262928" y="1661566"/>
                </a:lnTo>
              </a:path>
              <a:path w="800735" h="1848485">
                <a:moveTo>
                  <a:pt x="353250" y="1667128"/>
                </a:moveTo>
                <a:lnTo>
                  <a:pt x="262928" y="1667128"/>
                </a:lnTo>
              </a:path>
              <a:path w="800735" h="1848485">
                <a:moveTo>
                  <a:pt x="403402" y="1666938"/>
                </a:moveTo>
                <a:lnTo>
                  <a:pt x="403402" y="1673161"/>
                </a:lnTo>
              </a:path>
              <a:path w="800735" h="1848485">
                <a:moveTo>
                  <a:pt x="403402" y="1674075"/>
                </a:moveTo>
                <a:lnTo>
                  <a:pt x="403402" y="1666938"/>
                </a:lnTo>
              </a:path>
              <a:path w="800735" h="1848485">
                <a:moveTo>
                  <a:pt x="400151" y="1671573"/>
                </a:moveTo>
                <a:lnTo>
                  <a:pt x="401243" y="1671662"/>
                </a:lnTo>
                <a:lnTo>
                  <a:pt x="402336" y="1671713"/>
                </a:lnTo>
                <a:lnTo>
                  <a:pt x="403402" y="1671713"/>
                </a:lnTo>
              </a:path>
              <a:path w="800735" h="1848485">
                <a:moveTo>
                  <a:pt x="353250" y="1667128"/>
                </a:moveTo>
                <a:lnTo>
                  <a:pt x="400151" y="1671573"/>
                </a:lnTo>
              </a:path>
              <a:path w="800735" h="1848485">
                <a:moveTo>
                  <a:pt x="353250" y="1667128"/>
                </a:moveTo>
                <a:lnTo>
                  <a:pt x="353860" y="1661579"/>
                </a:lnTo>
              </a:path>
              <a:path w="800735" h="1848485">
                <a:moveTo>
                  <a:pt x="353809" y="1661566"/>
                </a:moveTo>
                <a:lnTo>
                  <a:pt x="403402" y="1666938"/>
                </a:lnTo>
              </a:path>
              <a:path w="800735" h="1848485">
                <a:moveTo>
                  <a:pt x="230174" y="1297050"/>
                </a:moveTo>
                <a:lnTo>
                  <a:pt x="223227" y="1297050"/>
                </a:lnTo>
              </a:path>
              <a:path w="800735" h="1848485">
                <a:moveTo>
                  <a:pt x="230174" y="457212"/>
                </a:moveTo>
                <a:lnTo>
                  <a:pt x="230174" y="619950"/>
                </a:lnTo>
              </a:path>
              <a:path w="800735" h="1848485">
                <a:moveTo>
                  <a:pt x="230174" y="457212"/>
                </a:moveTo>
                <a:lnTo>
                  <a:pt x="223227" y="457212"/>
                </a:lnTo>
              </a:path>
              <a:path w="800735" h="1848485">
                <a:moveTo>
                  <a:pt x="230174" y="619950"/>
                </a:moveTo>
                <a:lnTo>
                  <a:pt x="223227" y="619950"/>
                </a:lnTo>
              </a:path>
              <a:path w="800735" h="1848485">
                <a:moveTo>
                  <a:pt x="267881" y="536257"/>
                </a:moveTo>
                <a:lnTo>
                  <a:pt x="267182" y="533704"/>
                </a:lnTo>
              </a:path>
              <a:path w="800735" h="1848485">
                <a:moveTo>
                  <a:pt x="253987" y="543471"/>
                </a:moveTo>
                <a:lnTo>
                  <a:pt x="251307" y="533704"/>
                </a:lnTo>
              </a:path>
              <a:path w="800735" h="1848485">
                <a:moveTo>
                  <a:pt x="257962" y="543471"/>
                </a:moveTo>
                <a:lnTo>
                  <a:pt x="255269" y="533704"/>
                </a:lnTo>
              </a:path>
              <a:path w="800735" h="1848485">
                <a:moveTo>
                  <a:pt x="261924" y="543471"/>
                </a:moveTo>
                <a:lnTo>
                  <a:pt x="259257" y="533704"/>
                </a:lnTo>
              </a:path>
              <a:path w="800735" h="1848485">
                <a:moveTo>
                  <a:pt x="265899" y="543471"/>
                </a:moveTo>
                <a:lnTo>
                  <a:pt x="263207" y="533704"/>
                </a:lnTo>
              </a:path>
              <a:path w="800735" h="1848485">
                <a:moveTo>
                  <a:pt x="242087" y="543471"/>
                </a:moveTo>
                <a:lnTo>
                  <a:pt x="239394" y="533704"/>
                </a:lnTo>
              </a:path>
              <a:path w="800735" h="1848485">
                <a:moveTo>
                  <a:pt x="250024" y="543471"/>
                </a:moveTo>
                <a:lnTo>
                  <a:pt x="247345" y="533704"/>
                </a:lnTo>
              </a:path>
              <a:path w="800735" h="1848485">
                <a:moveTo>
                  <a:pt x="246049" y="543471"/>
                </a:moveTo>
                <a:lnTo>
                  <a:pt x="243357" y="533704"/>
                </a:lnTo>
              </a:path>
              <a:path w="800735" h="1848485">
                <a:moveTo>
                  <a:pt x="246049" y="1401292"/>
                </a:moveTo>
                <a:lnTo>
                  <a:pt x="243357" y="1411071"/>
                </a:lnTo>
              </a:path>
              <a:path w="800735" h="1848485">
                <a:moveTo>
                  <a:pt x="250024" y="1401292"/>
                </a:moveTo>
                <a:lnTo>
                  <a:pt x="247345" y="1411071"/>
                </a:lnTo>
              </a:path>
              <a:path w="800735" h="1848485">
                <a:moveTo>
                  <a:pt x="242087" y="1401292"/>
                </a:moveTo>
                <a:lnTo>
                  <a:pt x="239394" y="1411071"/>
                </a:lnTo>
              </a:path>
              <a:path w="800735" h="1848485">
                <a:moveTo>
                  <a:pt x="265899" y="1401292"/>
                </a:moveTo>
                <a:lnTo>
                  <a:pt x="263207" y="1411071"/>
                </a:lnTo>
              </a:path>
              <a:path w="800735" h="1848485">
                <a:moveTo>
                  <a:pt x="261924" y="1401292"/>
                </a:moveTo>
                <a:lnTo>
                  <a:pt x="259257" y="1411071"/>
                </a:lnTo>
              </a:path>
              <a:path w="800735" h="1848485">
                <a:moveTo>
                  <a:pt x="257962" y="1401292"/>
                </a:moveTo>
                <a:lnTo>
                  <a:pt x="255269" y="1411071"/>
                </a:lnTo>
              </a:path>
              <a:path w="800735" h="1848485">
                <a:moveTo>
                  <a:pt x="253987" y="1401292"/>
                </a:moveTo>
                <a:lnTo>
                  <a:pt x="251307" y="1411071"/>
                </a:lnTo>
              </a:path>
              <a:path w="800735" h="1848485">
                <a:moveTo>
                  <a:pt x="267881" y="1408506"/>
                </a:moveTo>
                <a:lnTo>
                  <a:pt x="267182" y="1411071"/>
                </a:lnTo>
              </a:path>
              <a:path w="800735" h="1848485">
                <a:moveTo>
                  <a:pt x="223227" y="236194"/>
                </a:moveTo>
                <a:lnTo>
                  <a:pt x="223227" y="0"/>
                </a:lnTo>
              </a:path>
              <a:path w="800735" h="1848485">
                <a:moveTo>
                  <a:pt x="386257" y="277787"/>
                </a:moveTo>
                <a:lnTo>
                  <a:pt x="386257" y="0"/>
                </a:lnTo>
              </a:path>
              <a:path w="800735" h="1848485">
                <a:moveTo>
                  <a:pt x="262928" y="39700"/>
                </a:moveTo>
                <a:lnTo>
                  <a:pt x="346570" y="39700"/>
                </a:lnTo>
              </a:path>
              <a:path w="800735" h="1848485">
                <a:moveTo>
                  <a:pt x="256971" y="39700"/>
                </a:moveTo>
                <a:lnTo>
                  <a:pt x="269443" y="39700"/>
                </a:lnTo>
              </a:path>
              <a:path w="800735" h="1848485">
                <a:moveTo>
                  <a:pt x="352526" y="39700"/>
                </a:moveTo>
                <a:lnTo>
                  <a:pt x="340017" y="39700"/>
                </a:lnTo>
              </a:path>
              <a:path w="800735" h="1848485">
                <a:moveTo>
                  <a:pt x="288035" y="298665"/>
                </a:moveTo>
                <a:lnTo>
                  <a:pt x="288035" y="119075"/>
                </a:lnTo>
              </a:path>
              <a:path w="800735" h="1848485">
                <a:moveTo>
                  <a:pt x="223227" y="236194"/>
                </a:moveTo>
                <a:lnTo>
                  <a:pt x="223227" y="119075"/>
                </a:lnTo>
              </a:path>
              <a:path w="800735" h="1848485">
                <a:moveTo>
                  <a:pt x="327698" y="158762"/>
                </a:moveTo>
                <a:lnTo>
                  <a:pt x="367411" y="158762"/>
                </a:lnTo>
              </a:path>
              <a:path w="800735" h="1848485">
                <a:moveTo>
                  <a:pt x="183553" y="158762"/>
                </a:moveTo>
                <a:lnTo>
                  <a:pt x="0" y="158762"/>
                </a:lnTo>
              </a:path>
              <a:path w="800735" h="1848485">
                <a:moveTo>
                  <a:pt x="288035" y="158762"/>
                </a:moveTo>
                <a:lnTo>
                  <a:pt x="223227" y="158762"/>
                </a:lnTo>
              </a:path>
              <a:path w="800735" h="1848485">
                <a:moveTo>
                  <a:pt x="321754" y="158762"/>
                </a:moveTo>
                <a:lnTo>
                  <a:pt x="334238" y="158762"/>
                </a:lnTo>
              </a:path>
              <a:path w="800735" h="1848485">
                <a:moveTo>
                  <a:pt x="189509" y="158762"/>
                </a:moveTo>
                <a:lnTo>
                  <a:pt x="177012" y="158762"/>
                </a:lnTo>
              </a:path>
              <a:path w="800735" h="1848485">
                <a:moveTo>
                  <a:pt x="682536" y="1768652"/>
                </a:moveTo>
                <a:lnTo>
                  <a:pt x="800265" y="1768652"/>
                </a:lnTo>
              </a:path>
              <a:path w="800735" h="1848485">
                <a:moveTo>
                  <a:pt x="463664" y="1669478"/>
                </a:moveTo>
                <a:lnTo>
                  <a:pt x="800265" y="1669478"/>
                </a:lnTo>
              </a:path>
              <a:path w="800735" h="1848485">
                <a:moveTo>
                  <a:pt x="760590" y="1808352"/>
                </a:moveTo>
                <a:lnTo>
                  <a:pt x="760590" y="1848053"/>
                </a:lnTo>
              </a:path>
              <a:path w="800735" h="1848485">
                <a:moveTo>
                  <a:pt x="760590" y="1629790"/>
                </a:moveTo>
                <a:lnTo>
                  <a:pt x="760590" y="1186395"/>
                </a:lnTo>
              </a:path>
              <a:path w="800735" h="1848485">
                <a:moveTo>
                  <a:pt x="760590" y="1768652"/>
                </a:moveTo>
                <a:lnTo>
                  <a:pt x="760590" y="1669478"/>
                </a:lnTo>
              </a:path>
              <a:path w="800735" h="1848485">
                <a:moveTo>
                  <a:pt x="760590" y="1802409"/>
                </a:moveTo>
                <a:lnTo>
                  <a:pt x="760590" y="1814880"/>
                </a:lnTo>
              </a:path>
              <a:path w="800735" h="1848485">
                <a:moveTo>
                  <a:pt x="760590" y="1635772"/>
                </a:moveTo>
                <a:lnTo>
                  <a:pt x="760590" y="1623263"/>
                </a:lnTo>
              </a:path>
              <a:path w="800735" h="1848485">
                <a:moveTo>
                  <a:pt x="223227" y="1768652"/>
                </a:moveTo>
                <a:lnTo>
                  <a:pt x="678548" y="1768652"/>
                </a:lnTo>
              </a:path>
              <a:path w="800735" h="1848485">
                <a:moveTo>
                  <a:pt x="223227" y="1768652"/>
                </a:moveTo>
                <a:lnTo>
                  <a:pt x="678548" y="1768652"/>
                </a:lnTo>
              </a:path>
              <a:path w="800735" h="1848485">
                <a:moveTo>
                  <a:pt x="223227" y="192849"/>
                </a:moveTo>
                <a:lnTo>
                  <a:pt x="223227" y="1768652"/>
                </a:lnTo>
              </a:path>
            </a:pathLst>
          </a:custGeom>
          <a:ln w="5092">
            <a:solidFill>
              <a:srgbClr val="000000"/>
            </a:solidFill>
          </a:ln>
        </xdr:spPr>
      </xdr:sp>
      <xdr:sp macro="" textlink="">
        <xdr:nvSpPr>
          <xdr:cNvPr id="365" name="Shape 1059">
            <a:extLst>
              <a:ext uri="{FF2B5EF4-FFF2-40B4-BE49-F238E27FC236}">
                <a16:creationId xmlns:a16="http://schemas.microsoft.com/office/drawing/2014/main" id="{75C34FA3-D461-CE74-9748-9ACF0D24B0ED}"/>
              </a:ext>
            </a:extLst>
          </xdr:cNvPr>
          <xdr:cNvSpPr/>
        </xdr:nvSpPr>
        <xdr:spPr>
          <a:xfrm>
            <a:off x="244466" y="594809"/>
            <a:ext cx="48895" cy="15875"/>
          </a:xfrm>
          <a:custGeom>
            <a:avLst/>
            <a:gdLst/>
            <a:ahLst/>
            <a:cxnLst/>
            <a:rect l="0" t="0" r="0" b="0"/>
            <a:pathLst>
              <a:path w="48895" h="15875">
                <a:moveTo>
                  <a:pt x="39116" y="15633"/>
                </a:moveTo>
                <a:lnTo>
                  <a:pt x="47904" y="15633"/>
                </a:lnTo>
              </a:path>
              <a:path w="48895" h="15875">
                <a:moveTo>
                  <a:pt x="47904" y="15633"/>
                </a:moveTo>
                <a:lnTo>
                  <a:pt x="48882" y="14249"/>
                </a:lnTo>
              </a:path>
              <a:path w="48895" h="15875">
                <a:moveTo>
                  <a:pt x="0" y="12699"/>
                </a:moveTo>
                <a:lnTo>
                  <a:pt x="29184" y="12699"/>
                </a:lnTo>
              </a:path>
              <a:path w="48895" h="15875">
                <a:moveTo>
                  <a:pt x="39116" y="0"/>
                </a:moveTo>
                <a:lnTo>
                  <a:pt x="47904" y="0"/>
                </a:lnTo>
              </a:path>
              <a:path w="48895" h="15875">
                <a:moveTo>
                  <a:pt x="47904" y="0"/>
                </a:moveTo>
                <a:lnTo>
                  <a:pt x="48882" y="1384"/>
                </a:lnTo>
              </a:path>
              <a:path w="48895" h="15875">
                <a:moveTo>
                  <a:pt x="0" y="2933"/>
                </a:moveTo>
                <a:lnTo>
                  <a:pt x="29184" y="2933"/>
                </a:lnTo>
              </a:path>
              <a:path w="48895" h="15875">
                <a:moveTo>
                  <a:pt x="39116" y="0"/>
                </a:moveTo>
                <a:lnTo>
                  <a:pt x="39116" y="15633"/>
                </a:lnTo>
              </a:path>
              <a:path w="48895" h="15875">
                <a:moveTo>
                  <a:pt x="48882" y="1384"/>
                </a:moveTo>
                <a:lnTo>
                  <a:pt x="48882" y="14249"/>
                </a:lnTo>
              </a:path>
            </a:pathLst>
          </a:custGeom>
          <a:ln w="5092">
            <a:solidFill>
              <a:srgbClr val="000000"/>
            </a:solidFill>
          </a:ln>
        </xdr:spPr>
      </xdr:sp>
      <xdr:sp macro="" textlink="">
        <xdr:nvSpPr>
          <xdr:cNvPr id="366" name="Shape 1060">
            <a:extLst>
              <a:ext uri="{FF2B5EF4-FFF2-40B4-BE49-F238E27FC236}">
                <a16:creationId xmlns:a16="http://schemas.microsoft.com/office/drawing/2014/main" id="{FD659B3F-F7AE-633F-0885-EEE307194D7B}"/>
              </a:ext>
            </a:extLst>
          </xdr:cNvPr>
          <xdr:cNvSpPr/>
        </xdr:nvSpPr>
        <xdr:spPr>
          <a:xfrm>
            <a:off x="293344" y="598109"/>
            <a:ext cx="0" cy="9525"/>
          </a:xfrm>
          <a:custGeom>
            <a:avLst/>
            <a:gdLst/>
            <a:ahLst/>
            <a:cxnLst/>
            <a:rect l="0" t="0" r="0" b="0"/>
            <a:pathLst>
              <a:path h="9525">
                <a:moveTo>
                  <a:pt x="0" y="0"/>
                </a:moveTo>
                <a:lnTo>
                  <a:pt x="0" y="9029"/>
                </a:lnTo>
              </a:path>
            </a:pathLst>
          </a:custGeom>
          <a:ln w="5092">
            <a:solidFill>
              <a:srgbClr val="000000"/>
            </a:solidFill>
            <a:prstDash val="lgDash"/>
          </a:ln>
        </xdr:spPr>
      </xdr:sp>
      <xdr:sp macro="" textlink="">
        <xdr:nvSpPr>
          <xdr:cNvPr id="367" name="Shape 1061">
            <a:extLst>
              <a:ext uri="{FF2B5EF4-FFF2-40B4-BE49-F238E27FC236}">
                <a16:creationId xmlns:a16="http://schemas.microsoft.com/office/drawing/2014/main" id="{6B1FF9E6-98CE-2C7F-21E3-ED390E28D155}"/>
              </a:ext>
            </a:extLst>
          </xdr:cNvPr>
          <xdr:cNvSpPr/>
        </xdr:nvSpPr>
        <xdr:spPr>
          <a:xfrm>
            <a:off x="292365" y="594810"/>
            <a:ext cx="0" cy="883285"/>
          </a:xfrm>
          <a:custGeom>
            <a:avLst/>
            <a:gdLst/>
            <a:ahLst/>
            <a:cxnLst/>
            <a:rect l="0" t="0" r="0" b="0"/>
            <a:pathLst>
              <a:path h="883285">
                <a:moveTo>
                  <a:pt x="0" y="0"/>
                </a:moveTo>
                <a:lnTo>
                  <a:pt x="0" y="15633"/>
                </a:lnTo>
              </a:path>
              <a:path h="883285">
                <a:moveTo>
                  <a:pt x="0" y="883234"/>
                </a:moveTo>
                <a:lnTo>
                  <a:pt x="0" y="867600"/>
                </a:lnTo>
              </a:path>
            </a:pathLst>
          </a:custGeom>
          <a:ln w="5092">
            <a:solidFill>
              <a:srgbClr val="000000"/>
            </a:solidFill>
          </a:ln>
        </xdr:spPr>
      </xdr:sp>
      <xdr:sp macro="" textlink="">
        <xdr:nvSpPr>
          <xdr:cNvPr id="368" name="Shape 1062">
            <a:extLst>
              <a:ext uri="{FF2B5EF4-FFF2-40B4-BE49-F238E27FC236}">
                <a16:creationId xmlns:a16="http://schemas.microsoft.com/office/drawing/2014/main" id="{608F9EF2-A723-32DA-A1E8-545E9F302167}"/>
              </a:ext>
            </a:extLst>
          </xdr:cNvPr>
          <xdr:cNvSpPr/>
        </xdr:nvSpPr>
        <xdr:spPr>
          <a:xfrm>
            <a:off x="293344" y="1465691"/>
            <a:ext cx="0" cy="9525"/>
          </a:xfrm>
          <a:custGeom>
            <a:avLst/>
            <a:gdLst/>
            <a:ahLst/>
            <a:cxnLst/>
            <a:rect l="0" t="0" r="0" b="0"/>
            <a:pathLst>
              <a:path h="9525">
                <a:moveTo>
                  <a:pt x="0" y="9042"/>
                </a:moveTo>
                <a:lnTo>
                  <a:pt x="0" y="0"/>
                </a:lnTo>
              </a:path>
            </a:pathLst>
          </a:custGeom>
          <a:ln w="5092">
            <a:solidFill>
              <a:srgbClr val="000000"/>
            </a:solidFill>
            <a:prstDash val="lgDash"/>
          </a:ln>
        </xdr:spPr>
      </xdr:sp>
      <xdr:sp macro="" textlink="">
        <xdr:nvSpPr>
          <xdr:cNvPr id="369" name="Shape 1063">
            <a:extLst>
              <a:ext uri="{FF2B5EF4-FFF2-40B4-BE49-F238E27FC236}">
                <a16:creationId xmlns:a16="http://schemas.microsoft.com/office/drawing/2014/main" id="{CB8048FF-2055-96DA-7FDF-46FF33E36DAD}"/>
              </a:ext>
            </a:extLst>
          </xdr:cNvPr>
          <xdr:cNvSpPr/>
        </xdr:nvSpPr>
        <xdr:spPr>
          <a:xfrm>
            <a:off x="244475" y="1462420"/>
            <a:ext cx="48895" cy="15875"/>
          </a:xfrm>
          <a:custGeom>
            <a:avLst/>
            <a:gdLst/>
            <a:ahLst/>
            <a:cxnLst/>
            <a:rect l="0" t="0" r="0" b="0"/>
            <a:pathLst>
              <a:path w="48895" h="15875">
                <a:moveTo>
                  <a:pt x="48869" y="14236"/>
                </a:moveTo>
                <a:lnTo>
                  <a:pt x="48869" y="1371"/>
                </a:lnTo>
              </a:path>
              <a:path w="48895" h="15875">
                <a:moveTo>
                  <a:pt x="39103" y="15621"/>
                </a:moveTo>
                <a:lnTo>
                  <a:pt x="39103" y="0"/>
                </a:lnTo>
              </a:path>
              <a:path w="48895" h="15875">
                <a:moveTo>
                  <a:pt x="0" y="12700"/>
                </a:moveTo>
                <a:lnTo>
                  <a:pt x="29184" y="12700"/>
                </a:lnTo>
              </a:path>
              <a:path w="48895" h="15875">
                <a:moveTo>
                  <a:pt x="47891" y="15621"/>
                </a:moveTo>
                <a:lnTo>
                  <a:pt x="48869" y="14236"/>
                </a:lnTo>
              </a:path>
              <a:path w="48895" h="15875">
                <a:moveTo>
                  <a:pt x="39103" y="15621"/>
                </a:moveTo>
                <a:lnTo>
                  <a:pt x="47891" y="15621"/>
                </a:lnTo>
              </a:path>
              <a:path w="48895" h="15875">
                <a:moveTo>
                  <a:pt x="0" y="2921"/>
                </a:moveTo>
                <a:lnTo>
                  <a:pt x="29184" y="2921"/>
                </a:lnTo>
              </a:path>
              <a:path w="48895" h="15875">
                <a:moveTo>
                  <a:pt x="47891" y="0"/>
                </a:moveTo>
                <a:lnTo>
                  <a:pt x="48869" y="1371"/>
                </a:lnTo>
              </a:path>
              <a:path w="48895" h="15875">
                <a:moveTo>
                  <a:pt x="39103" y="0"/>
                </a:moveTo>
                <a:lnTo>
                  <a:pt x="47891" y="0"/>
                </a:lnTo>
              </a:path>
            </a:pathLst>
          </a:custGeom>
          <a:ln w="5092">
            <a:solidFill>
              <a:srgbClr val="000000"/>
            </a:solidFill>
          </a:ln>
        </xdr:spPr>
      </xdr:sp>
      <xdr:sp macro="" textlink="">
        <xdr:nvSpPr>
          <xdr:cNvPr id="370" name="Shape 1064">
            <a:extLst>
              <a:ext uri="{FF2B5EF4-FFF2-40B4-BE49-F238E27FC236}">
                <a16:creationId xmlns:a16="http://schemas.microsoft.com/office/drawing/2014/main" id="{6D72D6F4-19EF-DFF2-2332-A8E000B0E6DC}"/>
              </a:ext>
            </a:extLst>
          </xdr:cNvPr>
          <xdr:cNvSpPr/>
        </xdr:nvSpPr>
        <xdr:spPr>
          <a:xfrm>
            <a:off x="156833" y="91122"/>
            <a:ext cx="622300" cy="1814195"/>
          </a:xfrm>
          <a:custGeom>
            <a:avLst/>
            <a:gdLst/>
            <a:ahLst/>
            <a:cxnLst/>
            <a:rect l="0" t="0" r="0" b="0"/>
            <a:pathLst>
              <a:path w="622300" h="1814195">
                <a:moveTo>
                  <a:pt x="72161" y="131686"/>
                </a:moveTo>
                <a:lnTo>
                  <a:pt x="0" y="119062"/>
                </a:lnTo>
                <a:lnTo>
                  <a:pt x="0" y="144322"/>
                </a:lnTo>
                <a:lnTo>
                  <a:pt x="72161" y="131686"/>
                </a:lnTo>
                <a:close/>
              </a:path>
              <a:path w="622300" h="1814195">
                <a:moveTo>
                  <a:pt x="144322" y="0"/>
                </a:moveTo>
                <a:lnTo>
                  <a:pt x="72161" y="12623"/>
                </a:lnTo>
                <a:lnTo>
                  <a:pt x="144322" y="25247"/>
                </a:lnTo>
                <a:lnTo>
                  <a:pt x="144322" y="0"/>
                </a:lnTo>
                <a:close/>
              </a:path>
              <a:path w="622300" h="1814195">
                <a:moveTo>
                  <a:pt x="209130" y="119062"/>
                </a:moveTo>
                <a:lnTo>
                  <a:pt x="136969" y="131699"/>
                </a:lnTo>
                <a:lnTo>
                  <a:pt x="209130" y="144322"/>
                </a:lnTo>
                <a:lnTo>
                  <a:pt x="209130" y="119062"/>
                </a:lnTo>
                <a:close/>
              </a:path>
              <a:path w="622300" h="1814195">
                <a:moveTo>
                  <a:pt x="235191" y="12623"/>
                </a:moveTo>
                <a:lnTo>
                  <a:pt x="163029" y="0"/>
                </a:lnTo>
                <a:lnTo>
                  <a:pt x="163029" y="25247"/>
                </a:lnTo>
                <a:lnTo>
                  <a:pt x="235191" y="12623"/>
                </a:lnTo>
                <a:close/>
              </a:path>
              <a:path w="622300" h="1814195">
                <a:moveTo>
                  <a:pt x="622134" y="1813737"/>
                </a:moveTo>
                <a:lnTo>
                  <a:pt x="609536" y="1741589"/>
                </a:lnTo>
                <a:lnTo>
                  <a:pt x="596887" y="1813737"/>
                </a:lnTo>
                <a:lnTo>
                  <a:pt x="622134" y="1813737"/>
                </a:lnTo>
                <a:close/>
              </a:path>
              <a:path w="622300" h="1814195">
                <a:moveTo>
                  <a:pt x="622147" y="1570253"/>
                </a:moveTo>
                <a:lnTo>
                  <a:pt x="596900" y="1570253"/>
                </a:lnTo>
                <a:lnTo>
                  <a:pt x="609549" y="1642402"/>
                </a:lnTo>
                <a:lnTo>
                  <a:pt x="622147" y="1570253"/>
                </a:lnTo>
                <a:close/>
              </a:path>
            </a:pathLst>
          </a:custGeom>
          <a:solidFill>
            <a:srgbClr val="000000"/>
          </a:solidFill>
        </xdr:spPr>
      </xdr:sp>
      <xdr:pic>
        <xdr:nvPicPr>
          <xdr:cNvPr id="371" name="image292.png">
            <a:extLst>
              <a:ext uri="{FF2B5EF4-FFF2-40B4-BE49-F238E27FC236}">
                <a16:creationId xmlns:a16="http://schemas.microsoft.com/office/drawing/2014/main" id="{D7EAFC09-ABDB-EF2D-A38B-44AC3E136B05}"/>
              </a:ext>
            </a:extLst>
          </xdr:cNvPr>
          <xdr:cNvPicPr>
            <a:picLocks noChangeAspect="1"/>
          </xdr:cNvPicPr>
        </xdr:nvPicPr>
        <xdr:blipFill>
          <a:blip xmlns:r="http://schemas.openxmlformats.org/officeDocument/2006/relationships" r:embed="rId120">
            <a:extLst>
              <a:ext uri="{28A0092B-C50C-407E-A947-70E740481C1C}">
                <a14:useLocalDpi xmlns:a14="http://schemas.microsoft.com/office/drawing/2010/main" val="0"/>
              </a:ext>
            </a:extLst>
          </a:blip>
          <a:stretch>
            <a:fillRect/>
          </a:stretch>
        </xdr:blipFill>
        <xdr:spPr>
          <a:xfrm>
            <a:off x="670586" y="1457680"/>
            <a:ext cx="72669" cy="179280"/>
          </a:xfrm>
          <a:prstGeom prst="rect">
            <a:avLst/>
          </a:prstGeom>
        </xdr:spPr>
      </xdr:pic>
      <xdr:sp macro="" textlink="">
        <xdr:nvSpPr>
          <xdr:cNvPr id="372" name="Shape 1066">
            <a:extLst>
              <a:ext uri="{FF2B5EF4-FFF2-40B4-BE49-F238E27FC236}">
                <a16:creationId xmlns:a16="http://schemas.microsoft.com/office/drawing/2014/main" id="{F77F1DDD-24A4-A12D-8F97-4497D3855820}"/>
              </a:ext>
            </a:extLst>
          </xdr:cNvPr>
          <xdr:cNvSpPr/>
        </xdr:nvSpPr>
        <xdr:spPr>
          <a:xfrm>
            <a:off x="-11" y="0"/>
            <a:ext cx="744855" cy="1412240"/>
          </a:xfrm>
          <a:custGeom>
            <a:avLst/>
            <a:gdLst/>
            <a:ahLst/>
            <a:cxnLst/>
            <a:rect l="0" t="0" r="0" b="0"/>
            <a:pathLst>
              <a:path w="744855" h="1412240">
                <a:moveTo>
                  <a:pt x="91795" y="112382"/>
                </a:moveTo>
                <a:lnTo>
                  <a:pt x="82130" y="112382"/>
                </a:lnTo>
                <a:lnTo>
                  <a:pt x="67373" y="172821"/>
                </a:lnTo>
                <a:lnTo>
                  <a:pt x="67170" y="172821"/>
                </a:lnTo>
                <a:lnTo>
                  <a:pt x="51079" y="112382"/>
                </a:lnTo>
                <a:lnTo>
                  <a:pt x="40601" y="112382"/>
                </a:lnTo>
                <a:lnTo>
                  <a:pt x="24320" y="172821"/>
                </a:lnTo>
                <a:lnTo>
                  <a:pt x="24130" y="172821"/>
                </a:lnTo>
                <a:lnTo>
                  <a:pt x="9867" y="112382"/>
                </a:lnTo>
                <a:lnTo>
                  <a:pt x="0" y="112382"/>
                </a:lnTo>
                <a:lnTo>
                  <a:pt x="18630" y="185039"/>
                </a:lnTo>
                <a:lnTo>
                  <a:pt x="28702" y="185039"/>
                </a:lnTo>
                <a:lnTo>
                  <a:pt x="45491" y="123977"/>
                </a:lnTo>
                <a:lnTo>
                  <a:pt x="45694" y="123977"/>
                </a:lnTo>
                <a:lnTo>
                  <a:pt x="62280" y="185039"/>
                </a:lnTo>
                <a:lnTo>
                  <a:pt x="72364" y="185039"/>
                </a:lnTo>
                <a:lnTo>
                  <a:pt x="91795" y="112382"/>
                </a:lnTo>
                <a:close/>
              </a:path>
              <a:path w="744855" h="1412240">
                <a:moveTo>
                  <a:pt x="157403" y="185039"/>
                </a:moveTo>
                <a:lnTo>
                  <a:pt x="148856" y="163156"/>
                </a:lnTo>
                <a:lnTo>
                  <a:pt x="145669" y="155016"/>
                </a:lnTo>
                <a:lnTo>
                  <a:pt x="135724" y="129590"/>
                </a:lnTo>
                <a:lnTo>
                  <a:pt x="135724" y="155016"/>
                </a:lnTo>
                <a:lnTo>
                  <a:pt x="111099" y="155016"/>
                </a:lnTo>
                <a:lnTo>
                  <a:pt x="123405" y="121132"/>
                </a:lnTo>
                <a:lnTo>
                  <a:pt x="123621" y="121132"/>
                </a:lnTo>
                <a:lnTo>
                  <a:pt x="135724" y="155016"/>
                </a:lnTo>
                <a:lnTo>
                  <a:pt x="135724" y="129590"/>
                </a:lnTo>
                <a:lnTo>
                  <a:pt x="132422" y="121132"/>
                </a:lnTo>
                <a:lnTo>
                  <a:pt x="129006" y="112382"/>
                </a:lnTo>
                <a:lnTo>
                  <a:pt x="118325" y="112382"/>
                </a:lnTo>
                <a:lnTo>
                  <a:pt x="89928" y="185039"/>
                </a:lnTo>
                <a:lnTo>
                  <a:pt x="99898" y="185039"/>
                </a:lnTo>
                <a:lnTo>
                  <a:pt x="108038" y="163156"/>
                </a:lnTo>
                <a:lnTo>
                  <a:pt x="138785" y="163156"/>
                </a:lnTo>
                <a:lnTo>
                  <a:pt x="146710" y="185039"/>
                </a:lnTo>
                <a:lnTo>
                  <a:pt x="157403" y="185039"/>
                </a:lnTo>
                <a:close/>
              </a:path>
              <a:path w="744855" h="1412240">
                <a:moveTo>
                  <a:pt x="342480" y="30988"/>
                </a:moveTo>
                <a:lnTo>
                  <a:pt x="340169" y="15709"/>
                </a:lnTo>
                <a:lnTo>
                  <a:pt x="333413" y="4914"/>
                </a:lnTo>
                <a:lnTo>
                  <a:pt x="332803" y="4559"/>
                </a:lnTo>
                <a:lnTo>
                  <a:pt x="332803" y="32321"/>
                </a:lnTo>
                <a:lnTo>
                  <a:pt x="329920" y="48069"/>
                </a:lnTo>
                <a:lnTo>
                  <a:pt x="323075" y="56654"/>
                </a:lnTo>
                <a:lnTo>
                  <a:pt x="314985" y="60198"/>
                </a:lnTo>
                <a:lnTo>
                  <a:pt x="308381" y="60909"/>
                </a:lnTo>
                <a:lnTo>
                  <a:pt x="292290" y="60909"/>
                </a:lnTo>
                <a:lnTo>
                  <a:pt x="292290" y="4533"/>
                </a:lnTo>
                <a:lnTo>
                  <a:pt x="308571" y="4533"/>
                </a:lnTo>
                <a:lnTo>
                  <a:pt x="319874" y="6438"/>
                </a:lnTo>
                <a:lnTo>
                  <a:pt x="327367" y="11938"/>
                </a:lnTo>
                <a:lnTo>
                  <a:pt x="331520" y="20675"/>
                </a:lnTo>
                <a:lnTo>
                  <a:pt x="332803" y="32321"/>
                </a:lnTo>
                <a:lnTo>
                  <a:pt x="332803" y="4559"/>
                </a:lnTo>
                <a:lnTo>
                  <a:pt x="325031" y="0"/>
                </a:lnTo>
                <a:lnTo>
                  <a:pt x="282625" y="0"/>
                </a:lnTo>
                <a:lnTo>
                  <a:pt x="282625" y="69049"/>
                </a:lnTo>
                <a:lnTo>
                  <a:pt x="307568" y="69049"/>
                </a:lnTo>
                <a:lnTo>
                  <a:pt x="323240" y="66522"/>
                </a:lnTo>
                <a:lnTo>
                  <a:pt x="331508" y="60909"/>
                </a:lnTo>
                <a:lnTo>
                  <a:pt x="334111" y="59143"/>
                </a:lnTo>
                <a:lnTo>
                  <a:pt x="340436" y="47193"/>
                </a:lnTo>
                <a:lnTo>
                  <a:pt x="342480" y="30988"/>
                </a:lnTo>
                <a:close/>
              </a:path>
              <a:path w="744855" h="1412240">
                <a:moveTo>
                  <a:pt x="743254" y="1384579"/>
                </a:moveTo>
                <a:lnTo>
                  <a:pt x="671118" y="1384579"/>
                </a:lnTo>
                <a:lnTo>
                  <a:pt x="671118" y="1391196"/>
                </a:lnTo>
                <a:lnTo>
                  <a:pt x="682015" y="1393126"/>
                </a:lnTo>
                <a:lnTo>
                  <a:pt x="684644" y="1402080"/>
                </a:lnTo>
                <a:lnTo>
                  <a:pt x="684644" y="1411973"/>
                </a:lnTo>
                <a:lnTo>
                  <a:pt x="691578" y="1411973"/>
                </a:lnTo>
                <a:lnTo>
                  <a:pt x="691578" y="1393228"/>
                </a:lnTo>
                <a:lnTo>
                  <a:pt x="743254" y="1393228"/>
                </a:lnTo>
                <a:lnTo>
                  <a:pt x="743254" y="1384579"/>
                </a:lnTo>
                <a:close/>
              </a:path>
              <a:path w="744855" h="1412240">
                <a:moveTo>
                  <a:pt x="744474" y="1335913"/>
                </a:moveTo>
                <a:lnTo>
                  <a:pt x="741070" y="1322933"/>
                </a:lnTo>
                <a:lnTo>
                  <a:pt x="740981" y="1322628"/>
                </a:lnTo>
                <a:lnTo>
                  <a:pt x="739025" y="1321041"/>
                </a:lnTo>
                <a:lnTo>
                  <a:pt x="736841" y="1319276"/>
                </a:lnTo>
                <a:lnTo>
                  <a:pt x="736841" y="1335913"/>
                </a:lnTo>
                <a:lnTo>
                  <a:pt x="733818" y="1344460"/>
                </a:lnTo>
                <a:lnTo>
                  <a:pt x="726338" y="1348867"/>
                </a:lnTo>
                <a:lnTo>
                  <a:pt x="716851" y="1350518"/>
                </a:lnTo>
                <a:lnTo>
                  <a:pt x="707758" y="1350772"/>
                </a:lnTo>
                <a:lnTo>
                  <a:pt x="698715" y="1350518"/>
                </a:lnTo>
                <a:lnTo>
                  <a:pt x="689254" y="1348867"/>
                </a:lnTo>
                <a:lnTo>
                  <a:pt x="681786" y="1344460"/>
                </a:lnTo>
                <a:lnTo>
                  <a:pt x="678751" y="1335913"/>
                </a:lnTo>
                <a:lnTo>
                  <a:pt x="681786" y="1327353"/>
                </a:lnTo>
                <a:lnTo>
                  <a:pt x="689254" y="1322933"/>
                </a:lnTo>
                <a:lnTo>
                  <a:pt x="698715" y="1321282"/>
                </a:lnTo>
                <a:lnTo>
                  <a:pt x="707758" y="1321041"/>
                </a:lnTo>
                <a:lnTo>
                  <a:pt x="716851" y="1321282"/>
                </a:lnTo>
                <a:lnTo>
                  <a:pt x="726338" y="1322933"/>
                </a:lnTo>
                <a:lnTo>
                  <a:pt x="733818" y="1327353"/>
                </a:lnTo>
                <a:lnTo>
                  <a:pt x="736841" y="1335913"/>
                </a:lnTo>
                <a:lnTo>
                  <a:pt x="736841" y="1319276"/>
                </a:lnTo>
                <a:lnTo>
                  <a:pt x="732116" y="1315427"/>
                </a:lnTo>
                <a:lnTo>
                  <a:pt x="720280" y="1312468"/>
                </a:lnTo>
                <a:lnTo>
                  <a:pt x="707859" y="1311897"/>
                </a:lnTo>
                <a:lnTo>
                  <a:pt x="695375" y="1312468"/>
                </a:lnTo>
                <a:lnTo>
                  <a:pt x="683501" y="1315427"/>
                </a:lnTo>
                <a:lnTo>
                  <a:pt x="674611" y="1322628"/>
                </a:lnTo>
                <a:lnTo>
                  <a:pt x="671118" y="1335913"/>
                </a:lnTo>
                <a:lnTo>
                  <a:pt x="674535" y="1348867"/>
                </a:lnTo>
                <a:lnTo>
                  <a:pt x="674611" y="1349197"/>
                </a:lnTo>
                <a:lnTo>
                  <a:pt x="683501" y="1356398"/>
                </a:lnTo>
                <a:lnTo>
                  <a:pt x="695375" y="1359344"/>
                </a:lnTo>
                <a:lnTo>
                  <a:pt x="707859" y="1359928"/>
                </a:lnTo>
                <a:lnTo>
                  <a:pt x="720280" y="1359344"/>
                </a:lnTo>
                <a:lnTo>
                  <a:pt x="732116" y="1356398"/>
                </a:lnTo>
                <a:lnTo>
                  <a:pt x="739051" y="1350772"/>
                </a:lnTo>
                <a:lnTo>
                  <a:pt x="740981" y="1349197"/>
                </a:lnTo>
                <a:lnTo>
                  <a:pt x="744474" y="1335913"/>
                </a:lnTo>
                <a:close/>
              </a:path>
              <a:path w="744855" h="1412240">
                <a:moveTo>
                  <a:pt x="744474" y="1279296"/>
                </a:moveTo>
                <a:lnTo>
                  <a:pt x="741070" y="1266329"/>
                </a:lnTo>
                <a:lnTo>
                  <a:pt x="740981" y="1266012"/>
                </a:lnTo>
                <a:lnTo>
                  <a:pt x="739051" y="1264437"/>
                </a:lnTo>
                <a:lnTo>
                  <a:pt x="736841" y="1262646"/>
                </a:lnTo>
                <a:lnTo>
                  <a:pt x="736841" y="1279296"/>
                </a:lnTo>
                <a:lnTo>
                  <a:pt x="733818" y="1287843"/>
                </a:lnTo>
                <a:lnTo>
                  <a:pt x="726338" y="1292250"/>
                </a:lnTo>
                <a:lnTo>
                  <a:pt x="716851" y="1293901"/>
                </a:lnTo>
                <a:lnTo>
                  <a:pt x="707758" y="1294155"/>
                </a:lnTo>
                <a:lnTo>
                  <a:pt x="698715" y="1293901"/>
                </a:lnTo>
                <a:lnTo>
                  <a:pt x="689254" y="1292250"/>
                </a:lnTo>
                <a:lnTo>
                  <a:pt x="681786" y="1287843"/>
                </a:lnTo>
                <a:lnTo>
                  <a:pt x="678751" y="1279296"/>
                </a:lnTo>
                <a:lnTo>
                  <a:pt x="681786" y="1270749"/>
                </a:lnTo>
                <a:lnTo>
                  <a:pt x="689254" y="1266329"/>
                </a:lnTo>
                <a:lnTo>
                  <a:pt x="698715" y="1264678"/>
                </a:lnTo>
                <a:lnTo>
                  <a:pt x="707758" y="1264437"/>
                </a:lnTo>
                <a:lnTo>
                  <a:pt x="716851" y="1264678"/>
                </a:lnTo>
                <a:lnTo>
                  <a:pt x="726338" y="1266329"/>
                </a:lnTo>
                <a:lnTo>
                  <a:pt x="733818" y="1270749"/>
                </a:lnTo>
                <a:lnTo>
                  <a:pt x="736841" y="1279296"/>
                </a:lnTo>
                <a:lnTo>
                  <a:pt x="736841" y="1262646"/>
                </a:lnTo>
                <a:lnTo>
                  <a:pt x="732116" y="1258811"/>
                </a:lnTo>
                <a:lnTo>
                  <a:pt x="720280" y="1255852"/>
                </a:lnTo>
                <a:lnTo>
                  <a:pt x="707859" y="1255280"/>
                </a:lnTo>
                <a:lnTo>
                  <a:pt x="695375" y="1255852"/>
                </a:lnTo>
                <a:lnTo>
                  <a:pt x="683501" y="1258811"/>
                </a:lnTo>
                <a:lnTo>
                  <a:pt x="674611" y="1266012"/>
                </a:lnTo>
                <a:lnTo>
                  <a:pt x="671118" y="1279296"/>
                </a:lnTo>
                <a:lnTo>
                  <a:pt x="674535" y="1292250"/>
                </a:lnTo>
                <a:lnTo>
                  <a:pt x="674611" y="1292567"/>
                </a:lnTo>
                <a:lnTo>
                  <a:pt x="683501" y="1299768"/>
                </a:lnTo>
                <a:lnTo>
                  <a:pt x="695375" y="1302727"/>
                </a:lnTo>
                <a:lnTo>
                  <a:pt x="707859" y="1303312"/>
                </a:lnTo>
                <a:lnTo>
                  <a:pt x="720280" y="1302727"/>
                </a:lnTo>
                <a:lnTo>
                  <a:pt x="732116" y="1299768"/>
                </a:lnTo>
                <a:lnTo>
                  <a:pt x="739038" y="1294155"/>
                </a:lnTo>
                <a:lnTo>
                  <a:pt x="740981" y="1292567"/>
                </a:lnTo>
                <a:lnTo>
                  <a:pt x="744474" y="1279296"/>
                </a:lnTo>
                <a:close/>
              </a:path>
            </a:pathLst>
          </a:custGeom>
          <a:solidFill>
            <a:srgbClr val="000000"/>
          </a:solidFill>
        </xdr:spPr>
      </xdr:sp>
    </xdr:grpSp>
    <xdr:clientData/>
  </xdr:absoluteAnchor>
  <xdr:absoluteAnchor>
    <xdr:pos x="177406" y="263866411"/>
    <xdr:ext cx="953998" cy="1079995"/>
    <xdr:pic>
      <xdr:nvPicPr>
        <xdr:cNvPr id="373" name="image297.png">
          <a:extLst>
            <a:ext uri="{FF2B5EF4-FFF2-40B4-BE49-F238E27FC236}">
              <a16:creationId xmlns:a16="http://schemas.microsoft.com/office/drawing/2014/main" id="{D57EF469-5865-4530-B92C-26927162DC7B}"/>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177406" y="263866411"/>
          <a:ext cx="953998" cy="1079995"/>
        </a:xfrm>
        <a:prstGeom prst="rect">
          <a:avLst/>
        </a:prstGeom>
      </xdr:spPr>
    </xdr:pic>
    <xdr:clientData/>
  </xdr:absoluteAnchor>
  <xdr:absoluteAnchor>
    <xdr:pos x="177406" y="265162407"/>
    <xdr:ext cx="953998" cy="1079995"/>
    <xdr:pic>
      <xdr:nvPicPr>
        <xdr:cNvPr id="374" name="image298.png">
          <a:extLst>
            <a:ext uri="{FF2B5EF4-FFF2-40B4-BE49-F238E27FC236}">
              <a16:creationId xmlns:a16="http://schemas.microsoft.com/office/drawing/2014/main" id="{55FCCF3B-B5D1-49E9-B386-02228FBA7717}"/>
            </a:ext>
          </a:extLst>
        </xdr:cNvPr>
        <xdr:cNvPicPr>
          <a:picLocks noChangeAspect="1"/>
        </xdr:cNvPicPr>
      </xdr:nvPicPr>
      <xdr:blipFill>
        <a:blip xmlns:r="http://schemas.openxmlformats.org/officeDocument/2006/relationships" r:embed="rId122">
          <a:extLst>
            <a:ext uri="{28A0092B-C50C-407E-A947-70E740481C1C}">
              <a14:useLocalDpi xmlns:a14="http://schemas.microsoft.com/office/drawing/2010/main" val="0"/>
            </a:ext>
          </a:extLst>
        </a:blip>
        <a:stretch>
          <a:fillRect/>
        </a:stretch>
      </xdr:blipFill>
      <xdr:spPr>
        <a:xfrm>
          <a:off x="177406" y="265162407"/>
          <a:ext cx="953998" cy="1079995"/>
        </a:xfrm>
        <a:prstGeom prst="rect">
          <a:avLst/>
        </a:prstGeom>
      </xdr:spPr>
    </xdr:pic>
    <xdr:clientData/>
  </xdr:absoluteAnchor>
  <xdr:absoluteAnchor>
    <xdr:pos x="177406" y="266458402"/>
    <xdr:ext cx="953998" cy="648004"/>
    <xdr:pic>
      <xdr:nvPicPr>
        <xdr:cNvPr id="375" name="image299.png">
          <a:extLst>
            <a:ext uri="{FF2B5EF4-FFF2-40B4-BE49-F238E27FC236}">
              <a16:creationId xmlns:a16="http://schemas.microsoft.com/office/drawing/2014/main" id="{7683860A-19DD-451A-9C7B-220557F51007}"/>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177406" y="266458402"/>
          <a:ext cx="953998" cy="648004"/>
        </a:xfrm>
        <a:prstGeom prst="rect">
          <a:avLst/>
        </a:prstGeom>
      </xdr:spPr>
    </xdr:pic>
    <xdr:clientData/>
  </xdr:absoluteAnchor>
  <xdr:absoluteAnchor>
    <xdr:pos x="177406" y="268330387"/>
    <xdr:ext cx="953998" cy="648004"/>
    <xdr:pic>
      <xdr:nvPicPr>
        <xdr:cNvPr id="376" name="image301.png">
          <a:extLst>
            <a:ext uri="{FF2B5EF4-FFF2-40B4-BE49-F238E27FC236}">
              <a16:creationId xmlns:a16="http://schemas.microsoft.com/office/drawing/2014/main" id="{7E0E279C-29DD-4F09-8643-6DCFC8437AD5}"/>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177406" y="268330387"/>
          <a:ext cx="953998" cy="648004"/>
        </a:xfrm>
        <a:prstGeom prst="rect">
          <a:avLst/>
        </a:prstGeom>
      </xdr:spPr>
    </xdr:pic>
    <xdr:clientData/>
  </xdr:absoluteAnchor>
  <xdr:absoluteAnchor>
    <xdr:pos x="177406" y="274094971"/>
    <xdr:ext cx="953998" cy="2519997"/>
    <xdr:pic>
      <xdr:nvPicPr>
        <xdr:cNvPr id="377" name="image303.png">
          <a:extLst>
            <a:ext uri="{FF2B5EF4-FFF2-40B4-BE49-F238E27FC236}">
              <a16:creationId xmlns:a16="http://schemas.microsoft.com/office/drawing/2014/main" id="{7C0BFC38-41CF-4B20-B95B-589B0DAB512C}"/>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177406" y="274094971"/>
          <a:ext cx="953998" cy="2519997"/>
        </a:xfrm>
        <a:prstGeom prst="rect">
          <a:avLst/>
        </a:prstGeom>
      </xdr:spPr>
    </xdr:pic>
    <xdr:clientData/>
  </xdr:absoluteAnchor>
  <xdr:absoluteAnchor>
    <xdr:pos x="177406" y="276824628"/>
    <xdr:ext cx="953998" cy="2519997"/>
    <xdr:pic>
      <xdr:nvPicPr>
        <xdr:cNvPr id="378" name="image303.png">
          <a:extLst>
            <a:ext uri="{FF2B5EF4-FFF2-40B4-BE49-F238E27FC236}">
              <a16:creationId xmlns:a16="http://schemas.microsoft.com/office/drawing/2014/main" id="{2BB50BA9-8833-4BEB-9325-B800ED82D6F5}"/>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177406" y="276824628"/>
          <a:ext cx="953998" cy="2519997"/>
        </a:xfrm>
        <a:prstGeom prst="rect">
          <a:avLst/>
        </a:prstGeom>
      </xdr:spPr>
    </xdr:pic>
    <xdr:clientData/>
  </xdr:absoluteAnchor>
  <xdr:absoluteAnchor>
    <xdr:pos x="177829" y="279560982"/>
    <xdr:ext cx="953135" cy="523240"/>
    <xdr:grpSp>
      <xdr:nvGrpSpPr>
        <xdr:cNvPr id="379" name="Group 1110">
          <a:extLst>
            <a:ext uri="{FF2B5EF4-FFF2-40B4-BE49-F238E27FC236}">
              <a16:creationId xmlns:a16="http://schemas.microsoft.com/office/drawing/2014/main" id="{DF2CB82F-74B7-4FC9-AC01-BB87D3CCA911}"/>
            </a:ext>
          </a:extLst>
        </xdr:cNvPr>
        <xdr:cNvGrpSpPr/>
      </xdr:nvGrpSpPr>
      <xdr:grpSpPr>
        <a:xfrm>
          <a:off x="177829" y="279560982"/>
          <a:ext cx="953135" cy="523240"/>
          <a:chOff x="0" y="0"/>
          <a:chExt cx="953135" cy="523240"/>
        </a:xfrm>
      </xdr:grpSpPr>
      <xdr:sp macro="" textlink="">
        <xdr:nvSpPr>
          <xdr:cNvPr id="380" name="Shape 1111">
            <a:extLst>
              <a:ext uri="{FF2B5EF4-FFF2-40B4-BE49-F238E27FC236}">
                <a16:creationId xmlns:a16="http://schemas.microsoft.com/office/drawing/2014/main" id="{D0DD4951-E9AD-78A1-A6B9-4B43A747A3CA}"/>
              </a:ext>
            </a:extLst>
          </xdr:cNvPr>
          <xdr:cNvSpPr/>
        </xdr:nvSpPr>
        <xdr:spPr>
          <a:xfrm>
            <a:off x="250431" y="22540"/>
            <a:ext cx="356235" cy="205740"/>
          </a:xfrm>
          <a:custGeom>
            <a:avLst/>
            <a:gdLst/>
            <a:ahLst/>
            <a:cxnLst/>
            <a:rect l="0" t="0" r="0" b="0"/>
            <a:pathLst>
              <a:path w="356235" h="205740">
                <a:moveTo>
                  <a:pt x="85001" y="80314"/>
                </a:moveTo>
                <a:lnTo>
                  <a:pt x="85001" y="89801"/>
                </a:lnTo>
              </a:path>
              <a:path w="356235" h="205740">
                <a:moveTo>
                  <a:pt x="0" y="205371"/>
                </a:moveTo>
                <a:lnTo>
                  <a:pt x="58089" y="176326"/>
                </a:lnTo>
              </a:path>
              <a:path w="356235" h="205740">
                <a:moveTo>
                  <a:pt x="209562" y="0"/>
                </a:moveTo>
                <a:lnTo>
                  <a:pt x="297256" y="43929"/>
                </a:lnTo>
              </a:path>
              <a:path w="356235" h="205740">
                <a:moveTo>
                  <a:pt x="317385" y="48056"/>
                </a:moveTo>
                <a:lnTo>
                  <a:pt x="356031" y="72301"/>
                </a:lnTo>
              </a:path>
            </a:pathLst>
          </a:custGeom>
          <a:ln w="3657">
            <a:solidFill>
              <a:srgbClr val="000000"/>
            </a:solidFill>
          </a:ln>
        </xdr:spPr>
      </xdr:sp>
      <xdr:pic>
        <xdr:nvPicPr>
          <xdr:cNvPr id="381" name="image304.png">
            <a:extLst>
              <a:ext uri="{FF2B5EF4-FFF2-40B4-BE49-F238E27FC236}">
                <a16:creationId xmlns:a16="http://schemas.microsoft.com/office/drawing/2014/main" id="{48ECEFFB-0A64-B6E1-D94E-2C8CBDDE0825}"/>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0" y="171448"/>
            <a:ext cx="194170" cy="99568"/>
          </a:xfrm>
          <a:prstGeom prst="rect">
            <a:avLst/>
          </a:prstGeom>
        </xdr:spPr>
      </xdr:pic>
      <xdr:sp macro="" textlink="">
        <xdr:nvSpPr>
          <xdr:cNvPr id="382" name="Shape 1113">
            <a:extLst>
              <a:ext uri="{FF2B5EF4-FFF2-40B4-BE49-F238E27FC236}">
                <a16:creationId xmlns:a16="http://schemas.microsoft.com/office/drawing/2014/main" id="{E406B4D3-F072-2979-DF41-1A013983F48D}"/>
              </a:ext>
            </a:extLst>
          </xdr:cNvPr>
          <xdr:cNvSpPr/>
        </xdr:nvSpPr>
        <xdr:spPr>
          <a:xfrm>
            <a:off x="3429" y="1828"/>
            <a:ext cx="948055" cy="520065"/>
          </a:xfrm>
          <a:custGeom>
            <a:avLst/>
            <a:gdLst/>
            <a:ahLst/>
            <a:cxnLst/>
            <a:rect l="0" t="0" r="0" b="0"/>
            <a:pathLst>
              <a:path w="948055" h="520065">
                <a:moveTo>
                  <a:pt x="366737" y="4824"/>
                </a:moveTo>
                <a:lnTo>
                  <a:pt x="391177" y="331"/>
                </a:lnTo>
                <a:lnTo>
                  <a:pt x="416564" y="0"/>
                </a:lnTo>
                <a:lnTo>
                  <a:pt x="440862" y="3690"/>
                </a:lnTo>
                <a:lnTo>
                  <a:pt x="462038" y="11263"/>
                </a:lnTo>
              </a:path>
              <a:path w="948055" h="520065">
                <a:moveTo>
                  <a:pt x="462025" y="11263"/>
                </a:moveTo>
                <a:lnTo>
                  <a:pt x="574153" y="67321"/>
                </a:lnTo>
              </a:path>
              <a:path w="948055" h="520065">
                <a:moveTo>
                  <a:pt x="892555" y="232840"/>
                </a:moveTo>
                <a:lnTo>
                  <a:pt x="650150" y="110513"/>
                </a:lnTo>
                <a:lnTo>
                  <a:pt x="643592" y="106665"/>
                </a:lnTo>
                <a:lnTo>
                  <a:pt x="638787" y="105444"/>
                </a:lnTo>
                <a:lnTo>
                  <a:pt x="633376" y="106908"/>
                </a:lnTo>
                <a:lnTo>
                  <a:pt x="625004" y="111110"/>
                </a:lnTo>
                <a:lnTo>
                  <a:pt x="872667" y="234923"/>
                </a:lnTo>
              </a:path>
              <a:path w="948055" h="520065">
                <a:moveTo>
                  <a:pt x="370572" y="14895"/>
                </a:moveTo>
                <a:lnTo>
                  <a:pt x="392616" y="10844"/>
                </a:lnTo>
                <a:lnTo>
                  <a:pt x="415519" y="10541"/>
                </a:lnTo>
                <a:lnTo>
                  <a:pt x="437443" y="13868"/>
                </a:lnTo>
                <a:lnTo>
                  <a:pt x="456551" y="20712"/>
                </a:lnTo>
              </a:path>
              <a:path w="948055" h="520065">
                <a:moveTo>
                  <a:pt x="71449" y="167473"/>
                </a:moveTo>
                <a:lnTo>
                  <a:pt x="92598" y="149986"/>
                </a:lnTo>
                <a:lnTo>
                  <a:pt x="115585" y="133111"/>
                </a:lnTo>
                <a:lnTo>
                  <a:pt x="140358" y="116883"/>
                </a:lnTo>
                <a:lnTo>
                  <a:pt x="166864" y="101331"/>
                </a:lnTo>
              </a:path>
              <a:path w="948055" h="520065">
                <a:moveTo>
                  <a:pt x="9422" y="195857"/>
                </a:moveTo>
                <a:lnTo>
                  <a:pt x="35412" y="173533"/>
                </a:lnTo>
                <a:lnTo>
                  <a:pt x="67437" y="147526"/>
                </a:lnTo>
                <a:lnTo>
                  <a:pt x="101389" y="122221"/>
                </a:lnTo>
                <a:lnTo>
                  <a:pt x="133158" y="102004"/>
                </a:lnTo>
              </a:path>
              <a:path w="948055" h="520065">
                <a:moveTo>
                  <a:pt x="133158" y="102004"/>
                </a:moveTo>
                <a:lnTo>
                  <a:pt x="225411" y="55878"/>
                </a:lnTo>
              </a:path>
              <a:path w="948055" h="520065">
                <a:moveTo>
                  <a:pt x="166864" y="101331"/>
                </a:moveTo>
                <a:lnTo>
                  <a:pt x="257428" y="56043"/>
                </a:lnTo>
              </a:path>
              <a:path w="948055" h="520065">
                <a:moveTo>
                  <a:pt x="225411" y="55878"/>
                </a:moveTo>
                <a:lnTo>
                  <a:pt x="258616" y="41684"/>
                </a:lnTo>
                <a:lnTo>
                  <a:pt x="293293" y="28422"/>
                </a:lnTo>
                <a:lnTo>
                  <a:pt x="329360" y="16125"/>
                </a:lnTo>
                <a:lnTo>
                  <a:pt x="366737" y="4824"/>
                </a:lnTo>
              </a:path>
              <a:path w="948055" h="520065">
                <a:moveTo>
                  <a:pt x="483221" y="105586"/>
                </a:moveTo>
                <a:lnTo>
                  <a:pt x="483209" y="96442"/>
                </a:lnTo>
              </a:path>
              <a:path w="948055" h="520065">
                <a:moveTo>
                  <a:pt x="424865" y="126414"/>
                </a:moveTo>
                <a:lnTo>
                  <a:pt x="425119" y="134631"/>
                </a:lnTo>
              </a:path>
              <a:path w="948055" h="520065">
                <a:moveTo>
                  <a:pt x="335863" y="101827"/>
                </a:moveTo>
                <a:lnTo>
                  <a:pt x="333717" y="100760"/>
                </a:lnTo>
                <a:lnTo>
                  <a:pt x="330262" y="100760"/>
                </a:lnTo>
                <a:lnTo>
                  <a:pt x="328129" y="101827"/>
                </a:lnTo>
              </a:path>
              <a:path w="948055" h="520065">
                <a:moveTo>
                  <a:pt x="328116" y="111313"/>
                </a:moveTo>
                <a:lnTo>
                  <a:pt x="330262" y="110247"/>
                </a:lnTo>
                <a:lnTo>
                  <a:pt x="333717" y="110247"/>
                </a:lnTo>
                <a:lnTo>
                  <a:pt x="335863" y="111313"/>
                </a:lnTo>
              </a:path>
              <a:path w="948055" h="520065">
                <a:moveTo>
                  <a:pt x="258406" y="136688"/>
                </a:moveTo>
                <a:lnTo>
                  <a:pt x="328116" y="101827"/>
                </a:lnTo>
              </a:path>
              <a:path w="948055" h="520065">
                <a:moveTo>
                  <a:pt x="328116" y="111313"/>
                </a:moveTo>
                <a:lnTo>
                  <a:pt x="264032" y="143356"/>
                </a:lnTo>
              </a:path>
              <a:path w="948055" h="520065">
                <a:moveTo>
                  <a:pt x="258406" y="136688"/>
                </a:moveTo>
                <a:lnTo>
                  <a:pt x="256285" y="137755"/>
                </a:lnTo>
                <a:lnTo>
                  <a:pt x="256285" y="139495"/>
                </a:lnTo>
                <a:lnTo>
                  <a:pt x="258406" y="140549"/>
                </a:lnTo>
              </a:path>
              <a:path w="948055" h="520065">
                <a:moveTo>
                  <a:pt x="326376" y="174534"/>
                </a:moveTo>
                <a:lnTo>
                  <a:pt x="258406" y="140549"/>
                </a:lnTo>
              </a:path>
              <a:path w="948055" h="520065">
                <a:moveTo>
                  <a:pt x="326376" y="184021"/>
                </a:moveTo>
                <a:lnTo>
                  <a:pt x="326376" y="174534"/>
                </a:lnTo>
              </a:path>
              <a:path w="948055" h="520065">
                <a:moveTo>
                  <a:pt x="248932" y="236535"/>
                </a:moveTo>
                <a:lnTo>
                  <a:pt x="244652" y="234402"/>
                </a:lnTo>
                <a:lnTo>
                  <a:pt x="241197" y="228407"/>
                </a:lnTo>
                <a:lnTo>
                  <a:pt x="241197" y="223175"/>
                </a:lnTo>
              </a:path>
              <a:path w="948055" h="520065">
                <a:moveTo>
                  <a:pt x="241185" y="220813"/>
                </a:moveTo>
                <a:lnTo>
                  <a:pt x="241185" y="223175"/>
                </a:lnTo>
              </a:path>
              <a:path w="948055" h="520065">
                <a:moveTo>
                  <a:pt x="299274" y="191768"/>
                </a:moveTo>
                <a:lnTo>
                  <a:pt x="241185" y="220800"/>
                </a:lnTo>
              </a:path>
              <a:path w="948055" h="520065">
                <a:moveTo>
                  <a:pt x="248932" y="236535"/>
                </a:moveTo>
                <a:lnTo>
                  <a:pt x="266356" y="245260"/>
                </a:lnTo>
              </a:path>
              <a:path w="948055" h="520065">
                <a:moveTo>
                  <a:pt x="266356" y="245260"/>
                </a:moveTo>
                <a:lnTo>
                  <a:pt x="266356" y="239241"/>
                </a:lnTo>
              </a:path>
              <a:path w="948055" h="520065">
                <a:moveTo>
                  <a:pt x="266356" y="239241"/>
                </a:moveTo>
                <a:lnTo>
                  <a:pt x="262368" y="231392"/>
                </a:lnTo>
              </a:path>
              <a:path w="948055" h="520065">
                <a:moveTo>
                  <a:pt x="262368" y="231392"/>
                </a:moveTo>
                <a:lnTo>
                  <a:pt x="258482" y="229436"/>
                </a:lnTo>
              </a:path>
              <a:path w="948055" h="520065">
                <a:moveTo>
                  <a:pt x="258482" y="229449"/>
                </a:moveTo>
                <a:lnTo>
                  <a:pt x="256679" y="233310"/>
                </a:lnTo>
              </a:path>
              <a:path w="948055" h="520065">
                <a:moveTo>
                  <a:pt x="256666" y="233310"/>
                </a:moveTo>
                <a:lnTo>
                  <a:pt x="248932" y="229423"/>
                </a:lnTo>
              </a:path>
              <a:path w="948055" h="520065">
                <a:moveTo>
                  <a:pt x="247001" y="226083"/>
                </a:moveTo>
                <a:lnTo>
                  <a:pt x="247001" y="227404"/>
                </a:lnTo>
                <a:lnTo>
                  <a:pt x="247865" y="228890"/>
                </a:lnTo>
                <a:lnTo>
                  <a:pt x="248944" y="229423"/>
                </a:lnTo>
              </a:path>
              <a:path w="948055" h="520065">
                <a:moveTo>
                  <a:pt x="247001" y="223721"/>
                </a:moveTo>
                <a:lnTo>
                  <a:pt x="247001" y="226083"/>
                </a:lnTo>
              </a:path>
              <a:path w="948055" h="520065">
                <a:moveTo>
                  <a:pt x="241185" y="220813"/>
                </a:moveTo>
                <a:lnTo>
                  <a:pt x="247001" y="223721"/>
                </a:lnTo>
              </a:path>
              <a:path w="948055" h="520065">
                <a:moveTo>
                  <a:pt x="307021" y="200379"/>
                </a:moveTo>
                <a:lnTo>
                  <a:pt x="305955" y="199858"/>
                </a:lnTo>
                <a:lnTo>
                  <a:pt x="305066" y="198359"/>
                </a:lnTo>
                <a:lnTo>
                  <a:pt x="305066" y="197038"/>
                </a:lnTo>
              </a:path>
              <a:path w="948055" h="520065">
                <a:moveTo>
                  <a:pt x="305091" y="195210"/>
                </a:moveTo>
                <a:lnTo>
                  <a:pt x="247001" y="224255"/>
                </a:lnTo>
              </a:path>
              <a:path w="948055" h="520065">
                <a:moveTo>
                  <a:pt x="256666" y="233310"/>
                </a:moveTo>
                <a:lnTo>
                  <a:pt x="261124" y="230922"/>
                </a:lnTo>
              </a:path>
              <a:path w="948055" h="520065">
                <a:moveTo>
                  <a:pt x="307021" y="200379"/>
                </a:moveTo>
                <a:lnTo>
                  <a:pt x="310527" y="202563"/>
                </a:lnTo>
              </a:path>
              <a:path w="948055" h="520065">
                <a:moveTo>
                  <a:pt x="316585" y="200404"/>
                </a:moveTo>
                <a:lnTo>
                  <a:pt x="320433" y="202360"/>
                </a:lnTo>
              </a:path>
              <a:path w="948055" h="520065">
                <a:moveTo>
                  <a:pt x="258482" y="229449"/>
                </a:moveTo>
                <a:lnTo>
                  <a:pt x="316585" y="200417"/>
                </a:lnTo>
              </a:path>
              <a:path w="948055" h="520065">
                <a:moveTo>
                  <a:pt x="263270" y="232306"/>
                </a:moveTo>
                <a:lnTo>
                  <a:pt x="321360" y="203261"/>
                </a:lnTo>
              </a:path>
              <a:path w="948055" h="520065">
                <a:moveTo>
                  <a:pt x="324446" y="210196"/>
                </a:moveTo>
                <a:lnTo>
                  <a:pt x="324446" y="216215"/>
                </a:lnTo>
              </a:path>
              <a:path w="948055" h="520065">
                <a:moveTo>
                  <a:pt x="266356" y="239241"/>
                </a:moveTo>
                <a:lnTo>
                  <a:pt x="324446" y="210196"/>
                </a:lnTo>
              </a:path>
              <a:path w="948055" h="520065">
                <a:moveTo>
                  <a:pt x="266356" y="245260"/>
                </a:moveTo>
                <a:lnTo>
                  <a:pt x="324446" y="216215"/>
                </a:lnTo>
              </a:path>
              <a:path w="948055" h="520065">
                <a:moveTo>
                  <a:pt x="320445" y="202334"/>
                </a:moveTo>
                <a:lnTo>
                  <a:pt x="324446" y="210196"/>
                </a:lnTo>
              </a:path>
              <a:path w="948055" h="520065">
                <a:moveTo>
                  <a:pt x="305091" y="197038"/>
                </a:moveTo>
                <a:lnTo>
                  <a:pt x="305091" y="194676"/>
                </a:lnTo>
              </a:path>
              <a:path w="948055" h="520065">
                <a:moveTo>
                  <a:pt x="305091" y="194676"/>
                </a:moveTo>
                <a:lnTo>
                  <a:pt x="326376" y="184021"/>
                </a:lnTo>
              </a:path>
              <a:path w="948055" h="520065">
                <a:moveTo>
                  <a:pt x="326376" y="174534"/>
                </a:moveTo>
                <a:lnTo>
                  <a:pt x="188911" y="243266"/>
                </a:lnTo>
              </a:path>
              <a:path w="948055" h="520065">
                <a:moveTo>
                  <a:pt x="142442" y="323416"/>
                </a:moveTo>
                <a:lnTo>
                  <a:pt x="146095" y="299438"/>
                </a:lnTo>
                <a:lnTo>
                  <a:pt x="156057" y="276369"/>
                </a:lnTo>
                <a:lnTo>
                  <a:pt x="170828" y="256786"/>
                </a:lnTo>
                <a:lnTo>
                  <a:pt x="188911" y="243266"/>
                </a:lnTo>
              </a:path>
              <a:path w="948055" h="520065">
                <a:moveTo>
                  <a:pt x="142442" y="337653"/>
                </a:moveTo>
                <a:lnTo>
                  <a:pt x="142442" y="323416"/>
                </a:lnTo>
              </a:path>
              <a:path w="948055" h="520065">
                <a:moveTo>
                  <a:pt x="142442" y="337653"/>
                </a:moveTo>
                <a:lnTo>
                  <a:pt x="150189" y="333779"/>
                </a:lnTo>
              </a:path>
              <a:path w="948055" h="520065">
                <a:moveTo>
                  <a:pt x="150189" y="319530"/>
                </a:moveTo>
                <a:lnTo>
                  <a:pt x="150189" y="333779"/>
                </a:lnTo>
              </a:path>
              <a:path w="948055" h="520065">
                <a:moveTo>
                  <a:pt x="188911" y="252753"/>
                </a:moveTo>
                <a:lnTo>
                  <a:pt x="173844" y="264018"/>
                </a:lnTo>
                <a:lnTo>
                  <a:pt x="161535" y="280339"/>
                </a:lnTo>
                <a:lnTo>
                  <a:pt x="153234" y="299568"/>
                </a:lnTo>
                <a:lnTo>
                  <a:pt x="150189" y="319555"/>
                </a:lnTo>
              </a:path>
              <a:path w="948055" h="520065">
                <a:moveTo>
                  <a:pt x="188911" y="252753"/>
                </a:moveTo>
                <a:lnTo>
                  <a:pt x="205180" y="244625"/>
                </a:lnTo>
              </a:path>
              <a:path w="948055" h="520065">
                <a:moveTo>
                  <a:pt x="205180" y="244625"/>
                </a:moveTo>
                <a:lnTo>
                  <a:pt x="205180" y="254112"/>
                </a:lnTo>
              </a:path>
              <a:path w="948055" h="520065">
                <a:moveTo>
                  <a:pt x="205180" y="254112"/>
                </a:moveTo>
                <a:lnTo>
                  <a:pt x="188911" y="262240"/>
                </a:lnTo>
              </a:path>
              <a:path w="948055" h="520065">
                <a:moveTo>
                  <a:pt x="188911" y="262240"/>
                </a:moveTo>
                <a:lnTo>
                  <a:pt x="176847" y="271253"/>
                </a:lnTo>
                <a:lnTo>
                  <a:pt x="166998" y="284306"/>
                </a:lnTo>
                <a:lnTo>
                  <a:pt x="160358" y="299684"/>
                </a:lnTo>
                <a:lnTo>
                  <a:pt x="157923" y="315669"/>
                </a:lnTo>
              </a:path>
              <a:path w="948055" h="520065">
                <a:moveTo>
                  <a:pt x="157936" y="315669"/>
                </a:moveTo>
                <a:lnTo>
                  <a:pt x="157936" y="329906"/>
                </a:lnTo>
              </a:path>
              <a:path w="948055" h="520065">
                <a:moveTo>
                  <a:pt x="165670" y="316545"/>
                </a:moveTo>
                <a:lnTo>
                  <a:pt x="165670" y="321778"/>
                </a:lnTo>
                <a:lnTo>
                  <a:pt x="162203" y="327772"/>
                </a:lnTo>
                <a:lnTo>
                  <a:pt x="157936" y="329906"/>
                </a:lnTo>
              </a:path>
              <a:path w="948055" h="520065">
                <a:moveTo>
                  <a:pt x="165670" y="316545"/>
                </a:moveTo>
                <a:lnTo>
                  <a:pt x="165670" y="311808"/>
                </a:lnTo>
              </a:path>
              <a:path w="948055" h="520065">
                <a:moveTo>
                  <a:pt x="165670" y="311808"/>
                </a:moveTo>
                <a:lnTo>
                  <a:pt x="167496" y="299813"/>
                </a:lnTo>
                <a:lnTo>
                  <a:pt x="172476" y="288270"/>
                </a:lnTo>
                <a:lnTo>
                  <a:pt x="179863" y="278474"/>
                </a:lnTo>
                <a:lnTo>
                  <a:pt x="188911" y="271714"/>
                </a:lnTo>
              </a:path>
              <a:path w="948055" h="520065">
                <a:moveTo>
                  <a:pt x="188911" y="271714"/>
                </a:moveTo>
                <a:lnTo>
                  <a:pt x="205180" y="263599"/>
                </a:lnTo>
              </a:path>
              <a:path w="948055" h="520065">
                <a:moveTo>
                  <a:pt x="212914" y="250239"/>
                </a:moveTo>
                <a:lnTo>
                  <a:pt x="212914" y="255471"/>
                </a:lnTo>
                <a:lnTo>
                  <a:pt x="209447" y="261466"/>
                </a:lnTo>
                <a:lnTo>
                  <a:pt x="205180" y="263586"/>
                </a:lnTo>
              </a:path>
              <a:path w="948055" h="520065">
                <a:moveTo>
                  <a:pt x="212914" y="250239"/>
                </a:moveTo>
                <a:lnTo>
                  <a:pt x="212914" y="240739"/>
                </a:lnTo>
              </a:path>
              <a:path w="948055" h="520065">
                <a:moveTo>
                  <a:pt x="204405" y="245324"/>
                </a:moveTo>
                <a:lnTo>
                  <a:pt x="247001" y="223721"/>
                </a:lnTo>
              </a:path>
              <a:path w="948055" h="520065">
                <a:moveTo>
                  <a:pt x="305091" y="194676"/>
                </a:moveTo>
                <a:lnTo>
                  <a:pt x="299274" y="191755"/>
                </a:lnTo>
              </a:path>
              <a:path w="948055" h="520065">
                <a:moveTo>
                  <a:pt x="403821" y="145299"/>
                </a:moveTo>
                <a:lnTo>
                  <a:pt x="335863" y="111313"/>
                </a:lnTo>
              </a:path>
              <a:path w="948055" h="520065">
                <a:moveTo>
                  <a:pt x="403821" y="135799"/>
                </a:moveTo>
                <a:lnTo>
                  <a:pt x="403821" y="145299"/>
                </a:lnTo>
              </a:path>
              <a:path w="948055" h="520065">
                <a:moveTo>
                  <a:pt x="335863" y="101827"/>
                </a:moveTo>
                <a:lnTo>
                  <a:pt x="403834" y="135799"/>
                </a:lnTo>
              </a:path>
              <a:path w="948055" h="520065">
                <a:moveTo>
                  <a:pt x="403821" y="145299"/>
                </a:moveTo>
                <a:lnTo>
                  <a:pt x="425119" y="134669"/>
                </a:lnTo>
              </a:path>
              <a:path w="948055" h="520065">
                <a:moveTo>
                  <a:pt x="518057" y="80427"/>
                </a:moveTo>
                <a:lnTo>
                  <a:pt x="525817" y="84313"/>
                </a:lnTo>
              </a:path>
              <a:path w="948055" h="520065">
                <a:moveTo>
                  <a:pt x="483221" y="105586"/>
                </a:moveTo>
                <a:lnTo>
                  <a:pt x="519785" y="87742"/>
                </a:lnTo>
              </a:path>
              <a:path w="948055" h="520065">
                <a:moveTo>
                  <a:pt x="525817" y="93787"/>
                </a:moveTo>
                <a:lnTo>
                  <a:pt x="521537" y="91654"/>
                </a:lnTo>
                <a:lnTo>
                  <a:pt x="518057" y="85685"/>
                </a:lnTo>
                <a:lnTo>
                  <a:pt x="518057" y="80427"/>
                </a:lnTo>
              </a:path>
              <a:path w="948055" h="520065">
                <a:moveTo>
                  <a:pt x="525817" y="93787"/>
                </a:moveTo>
                <a:lnTo>
                  <a:pt x="564527" y="113142"/>
                </a:lnTo>
              </a:path>
              <a:path w="948055" h="520065">
                <a:moveTo>
                  <a:pt x="564527" y="113142"/>
                </a:moveTo>
                <a:lnTo>
                  <a:pt x="564527" y="103655"/>
                </a:lnTo>
              </a:path>
              <a:path w="948055" h="520065">
                <a:moveTo>
                  <a:pt x="525817" y="84301"/>
                </a:moveTo>
                <a:lnTo>
                  <a:pt x="564527" y="103668"/>
                </a:lnTo>
              </a:path>
              <a:path w="948055" h="520065">
                <a:moveTo>
                  <a:pt x="580033" y="105395"/>
                </a:moveTo>
                <a:lnTo>
                  <a:pt x="564527" y="113142"/>
                </a:lnTo>
              </a:path>
              <a:path w="948055" h="520065">
                <a:moveTo>
                  <a:pt x="609904" y="118845"/>
                </a:moveTo>
                <a:lnTo>
                  <a:pt x="605967" y="109283"/>
                </a:lnTo>
                <a:lnTo>
                  <a:pt x="599288" y="103657"/>
                </a:lnTo>
                <a:lnTo>
                  <a:pt x="590449" y="102262"/>
                </a:lnTo>
                <a:lnTo>
                  <a:pt x="580033" y="105395"/>
                </a:lnTo>
              </a:path>
              <a:path w="948055" h="520065">
                <a:moveTo>
                  <a:pt x="564527" y="103668"/>
                </a:moveTo>
                <a:lnTo>
                  <a:pt x="580008" y="95921"/>
                </a:lnTo>
              </a:path>
              <a:path w="948055" h="520065">
                <a:moveTo>
                  <a:pt x="580033" y="95921"/>
                </a:moveTo>
                <a:lnTo>
                  <a:pt x="593491" y="91922"/>
                </a:lnTo>
                <a:lnTo>
                  <a:pt x="604778" y="93940"/>
                </a:lnTo>
                <a:lnTo>
                  <a:pt x="613100" y="101597"/>
                </a:lnTo>
                <a:lnTo>
                  <a:pt x="617663" y="114514"/>
                </a:lnTo>
              </a:path>
              <a:path w="948055" h="520065">
                <a:moveTo>
                  <a:pt x="157936" y="329906"/>
                </a:moveTo>
                <a:lnTo>
                  <a:pt x="150189" y="326032"/>
                </a:lnTo>
              </a:path>
              <a:path w="948055" h="520065">
                <a:moveTo>
                  <a:pt x="541311" y="67092"/>
                </a:moveTo>
                <a:lnTo>
                  <a:pt x="555289" y="62717"/>
                </a:lnTo>
                <a:lnTo>
                  <a:pt x="567562" y="63907"/>
                </a:lnTo>
                <a:lnTo>
                  <a:pt x="577473" y="70189"/>
                </a:lnTo>
                <a:lnTo>
                  <a:pt x="584364" y="81087"/>
                </a:lnTo>
              </a:path>
              <a:path w="948055" h="520065">
                <a:moveTo>
                  <a:pt x="541311" y="67092"/>
                </a:moveTo>
                <a:lnTo>
                  <a:pt x="403821" y="135799"/>
                </a:lnTo>
              </a:path>
              <a:path w="948055" h="520065">
                <a:moveTo>
                  <a:pt x="30327" y="281570"/>
                </a:moveTo>
                <a:lnTo>
                  <a:pt x="142429" y="337653"/>
                </a:lnTo>
              </a:path>
              <a:path w="948055" h="520065">
                <a:moveTo>
                  <a:pt x="9422" y="195857"/>
                </a:moveTo>
                <a:lnTo>
                  <a:pt x="0" y="217414"/>
                </a:lnTo>
                <a:lnTo>
                  <a:pt x="753" y="242054"/>
                </a:lnTo>
                <a:lnTo>
                  <a:pt x="11067" y="265027"/>
                </a:lnTo>
                <a:lnTo>
                  <a:pt x="30327" y="281582"/>
                </a:lnTo>
              </a:path>
              <a:path w="948055" h="520065">
                <a:moveTo>
                  <a:pt x="20687" y="187132"/>
                </a:moveTo>
                <a:lnTo>
                  <a:pt x="8539" y="205599"/>
                </a:lnTo>
                <a:lnTo>
                  <a:pt x="5525" y="228595"/>
                </a:lnTo>
                <a:lnTo>
                  <a:pt x="12495" y="250919"/>
                </a:lnTo>
                <a:lnTo>
                  <a:pt x="30301" y="267371"/>
                </a:lnTo>
              </a:path>
              <a:path w="948055" h="520065">
                <a:moveTo>
                  <a:pt x="30327" y="267358"/>
                </a:moveTo>
                <a:lnTo>
                  <a:pt x="33978" y="243378"/>
                </a:lnTo>
                <a:lnTo>
                  <a:pt x="43935" y="220308"/>
                </a:lnTo>
                <a:lnTo>
                  <a:pt x="58701" y="200729"/>
                </a:lnTo>
                <a:lnTo>
                  <a:pt x="76783" y="187221"/>
                </a:lnTo>
              </a:path>
              <a:path w="948055" h="520065">
                <a:moveTo>
                  <a:pt x="76783" y="187221"/>
                </a:moveTo>
                <a:lnTo>
                  <a:pt x="70519" y="182832"/>
                </a:lnTo>
                <a:lnTo>
                  <a:pt x="67463" y="177795"/>
                </a:lnTo>
                <a:lnTo>
                  <a:pt x="67734" y="172534"/>
                </a:lnTo>
                <a:lnTo>
                  <a:pt x="71449" y="167473"/>
                </a:lnTo>
              </a:path>
              <a:path w="948055" h="520065">
                <a:moveTo>
                  <a:pt x="30327" y="281570"/>
                </a:moveTo>
                <a:lnTo>
                  <a:pt x="30327" y="267358"/>
                </a:lnTo>
              </a:path>
              <a:path w="948055" h="520065">
                <a:moveTo>
                  <a:pt x="188911" y="243266"/>
                </a:moveTo>
                <a:lnTo>
                  <a:pt x="76796" y="187196"/>
                </a:lnTo>
              </a:path>
              <a:path w="948055" h="520065">
                <a:moveTo>
                  <a:pt x="429170" y="11009"/>
                </a:moveTo>
                <a:lnTo>
                  <a:pt x="435444" y="7872"/>
                </a:lnTo>
                <a:lnTo>
                  <a:pt x="441654" y="6526"/>
                </a:lnTo>
                <a:lnTo>
                  <a:pt x="447445" y="6767"/>
                </a:lnTo>
              </a:path>
              <a:path w="948055" h="520065">
                <a:moveTo>
                  <a:pt x="71449" y="167473"/>
                </a:moveTo>
                <a:lnTo>
                  <a:pt x="92598" y="149986"/>
                </a:lnTo>
                <a:lnTo>
                  <a:pt x="115585" y="133111"/>
                </a:lnTo>
                <a:lnTo>
                  <a:pt x="140358" y="116883"/>
                </a:lnTo>
                <a:lnTo>
                  <a:pt x="166864" y="101331"/>
                </a:lnTo>
              </a:path>
              <a:path w="948055" h="520065">
                <a:moveTo>
                  <a:pt x="166864" y="101331"/>
                </a:moveTo>
                <a:lnTo>
                  <a:pt x="257428" y="56043"/>
                </a:lnTo>
              </a:path>
              <a:path w="948055" h="520065">
                <a:moveTo>
                  <a:pt x="257415" y="56068"/>
                </a:moveTo>
                <a:lnTo>
                  <a:pt x="285533" y="43831"/>
                </a:lnTo>
                <a:lnTo>
                  <a:pt x="311422" y="33691"/>
                </a:lnTo>
                <a:lnTo>
                  <a:pt x="338597" y="24447"/>
                </a:lnTo>
                <a:lnTo>
                  <a:pt x="370572" y="14895"/>
                </a:lnTo>
              </a:path>
              <a:path w="948055" h="520065">
                <a:moveTo>
                  <a:pt x="233920" y="363586"/>
                </a:moveTo>
                <a:lnTo>
                  <a:pt x="195198" y="344219"/>
                </a:lnTo>
              </a:path>
              <a:path w="948055" h="520065">
                <a:moveTo>
                  <a:pt x="625029" y="111110"/>
                </a:moveTo>
                <a:lnTo>
                  <a:pt x="872692" y="234948"/>
                </a:lnTo>
              </a:path>
              <a:path w="948055" h="520065">
                <a:moveTo>
                  <a:pt x="527062" y="413739"/>
                </a:moveTo>
                <a:lnTo>
                  <a:pt x="524598" y="413015"/>
                </a:lnTo>
                <a:lnTo>
                  <a:pt x="522312" y="412138"/>
                </a:lnTo>
                <a:lnTo>
                  <a:pt x="520280" y="411122"/>
                </a:lnTo>
              </a:path>
              <a:path w="948055" h="520065">
                <a:moveTo>
                  <a:pt x="520280" y="411122"/>
                </a:moveTo>
                <a:lnTo>
                  <a:pt x="272643" y="287285"/>
                </a:lnTo>
              </a:path>
              <a:path w="948055" h="520065">
                <a:moveTo>
                  <a:pt x="586828" y="494511"/>
                </a:moveTo>
                <a:lnTo>
                  <a:pt x="559830" y="499475"/>
                </a:lnTo>
                <a:lnTo>
                  <a:pt x="531788" y="499843"/>
                </a:lnTo>
                <a:lnTo>
                  <a:pt x="504948" y="495770"/>
                </a:lnTo>
                <a:lnTo>
                  <a:pt x="481558" y="487411"/>
                </a:lnTo>
              </a:path>
              <a:path w="948055" h="520065">
                <a:moveTo>
                  <a:pt x="543178" y="500226"/>
                </a:moveTo>
                <a:lnTo>
                  <a:pt x="531776" y="499833"/>
                </a:lnTo>
                <a:lnTo>
                  <a:pt x="520621" y="498708"/>
                </a:lnTo>
                <a:lnTo>
                  <a:pt x="509854" y="496868"/>
                </a:lnTo>
                <a:lnTo>
                  <a:pt x="499617" y="494333"/>
                </a:lnTo>
              </a:path>
              <a:path w="948055" h="520065">
                <a:moveTo>
                  <a:pt x="941602" y="287742"/>
                </a:moveTo>
                <a:lnTo>
                  <a:pt x="943228" y="295758"/>
                </a:lnTo>
                <a:lnTo>
                  <a:pt x="941777" y="304850"/>
                </a:lnTo>
                <a:lnTo>
                  <a:pt x="936244" y="314726"/>
                </a:lnTo>
                <a:lnTo>
                  <a:pt x="925626" y="325093"/>
                </a:lnTo>
              </a:path>
              <a:path w="948055" h="520065">
                <a:moveTo>
                  <a:pt x="845438" y="383208"/>
                </a:moveTo>
                <a:lnTo>
                  <a:pt x="839769" y="386601"/>
                </a:lnTo>
                <a:lnTo>
                  <a:pt x="834022" y="389961"/>
                </a:lnTo>
                <a:lnTo>
                  <a:pt x="828202" y="393288"/>
                </a:lnTo>
                <a:lnTo>
                  <a:pt x="822311" y="396581"/>
                </a:lnTo>
              </a:path>
              <a:path w="948055" h="520065">
                <a:moveTo>
                  <a:pt x="782586" y="320825"/>
                </a:moveTo>
                <a:lnTo>
                  <a:pt x="692047" y="366088"/>
                </a:lnTo>
              </a:path>
              <a:path w="948055" h="520065">
                <a:moveTo>
                  <a:pt x="658837" y="380198"/>
                </a:moveTo>
                <a:lnTo>
                  <a:pt x="640000" y="387509"/>
                </a:lnTo>
                <a:lnTo>
                  <a:pt x="620721" y="394508"/>
                </a:lnTo>
                <a:lnTo>
                  <a:pt x="601008" y="401197"/>
                </a:lnTo>
                <a:lnTo>
                  <a:pt x="580872" y="407579"/>
                </a:lnTo>
              </a:path>
              <a:path w="948055" h="520065">
                <a:moveTo>
                  <a:pt x="729779" y="442860"/>
                </a:moveTo>
                <a:lnTo>
                  <a:pt x="716535" y="448707"/>
                </a:lnTo>
                <a:lnTo>
                  <a:pt x="703041" y="454415"/>
                </a:lnTo>
                <a:lnTo>
                  <a:pt x="689301" y="459978"/>
                </a:lnTo>
                <a:lnTo>
                  <a:pt x="675321" y="465389"/>
                </a:lnTo>
              </a:path>
              <a:path w="948055" h="520065">
                <a:moveTo>
                  <a:pt x="507097" y="267054"/>
                </a:moveTo>
                <a:lnTo>
                  <a:pt x="509256" y="268146"/>
                </a:lnTo>
                <a:lnTo>
                  <a:pt x="512711" y="268146"/>
                </a:lnTo>
                <a:lnTo>
                  <a:pt x="514870" y="267054"/>
                </a:lnTo>
              </a:path>
              <a:path w="948055" h="520065">
                <a:moveTo>
                  <a:pt x="584555" y="232217"/>
                </a:moveTo>
                <a:lnTo>
                  <a:pt x="514870" y="267054"/>
                </a:lnTo>
              </a:path>
              <a:path w="948055" h="520065">
                <a:moveTo>
                  <a:pt x="584555" y="232217"/>
                </a:moveTo>
                <a:lnTo>
                  <a:pt x="586701" y="231151"/>
                </a:lnTo>
                <a:lnTo>
                  <a:pt x="586701" y="229411"/>
                </a:lnTo>
                <a:lnTo>
                  <a:pt x="584555" y="228357"/>
                </a:lnTo>
              </a:path>
              <a:path w="948055" h="520065">
                <a:moveTo>
                  <a:pt x="487565" y="179843"/>
                </a:moveTo>
                <a:lnTo>
                  <a:pt x="584555" y="228344"/>
                </a:lnTo>
              </a:path>
              <a:path w="948055" h="520065">
                <a:moveTo>
                  <a:pt x="487565" y="189317"/>
                </a:moveTo>
                <a:lnTo>
                  <a:pt x="487565" y="179843"/>
                </a:lnTo>
              </a:path>
              <a:path w="948055" h="520065">
                <a:moveTo>
                  <a:pt x="577811" y="234465"/>
                </a:moveTo>
                <a:lnTo>
                  <a:pt x="487565" y="189317"/>
                </a:lnTo>
              </a:path>
              <a:path w="948055" h="520065">
                <a:moveTo>
                  <a:pt x="507097" y="267054"/>
                </a:moveTo>
                <a:lnTo>
                  <a:pt x="410107" y="218565"/>
                </a:lnTo>
              </a:path>
              <a:path w="948055" h="520065">
                <a:moveTo>
                  <a:pt x="226173" y="367447"/>
                </a:moveTo>
                <a:lnTo>
                  <a:pt x="226173" y="381658"/>
                </a:lnTo>
              </a:path>
              <a:path w="948055" h="520065">
                <a:moveTo>
                  <a:pt x="272643" y="287297"/>
                </a:moveTo>
                <a:lnTo>
                  <a:pt x="254554" y="300817"/>
                </a:lnTo>
                <a:lnTo>
                  <a:pt x="239783" y="320400"/>
                </a:lnTo>
                <a:lnTo>
                  <a:pt x="229825" y="343469"/>
                </a:lnTo>
                <a:lnTo>
                  <a:pt x="226173" y="367447"/>
                </a:lnTo>
              </a:path>
              <a:path w="948055" h="520065">
                <a:moveTo>
                  <a:pt x="272643" y="287297"/>
                </a:moveTo>
                <a:lnTo>
                  <a:pt x="410107" y="218565"/>
                </a:lnTo>
              </a:path>
              <a:path w="948055" h="520065">
                <a:moveTo>
                  <a:pt x="487565" y="179843"/>
                </a:moveTo>
                <a:lnTo>
                  <a:pt x="625004" y="111110"/>
                </a:lnTo>
              </a:path>
              <a:path w="948055" h="520065">
                <a:moveTo>
                  <a:pt x="574344" y="74864"/>
                </a:moveTo>
                <a:lnTo>
                  <a:pt x="568311" y="70203"/>
                </a:lnTo>
                <a:lnTo>
                  <a:pt x="561012" y="67995"/>
                </a:lnTo>
                <a:lnTo>
                  <a:pt x="552698" y="68419"/>
                </a:lnTo>
                <a:lnTo>
                  <a:pt x="543622" y="71651"/>
                </a:lnTo>
                <a:lnTo>
                  <a:pt x="522083" y="82713"/>
                </a:lnTo>
              </a:path>
              <a:path w="948055" h="520065">
                <a:moveTo>
                  <a:pt x="520280" y="411122"/>
                </a:moveTo>
                <a:lnTo>
                  <a:pt x="272643" y="287285"/>
                </a:lnTo>
              </a:path>
              <a:path w="948055" h="520065">
                <a:moveTo>
                  <a:pt x="559764" y="413789"/>
                </a:moveTo>
                <a:lnTo>
                  <a:pt x="549646" y="415657"/>
                </a:lnTo>
                <a:lnTo>
                  <a:pt x="539131" y="415794"/>
                </a:lnTo>
                <a:lnTo>
                  <a:pt x="529062" y="414263"/>
                </a:lnTo>
                <a:lnTo>
                  <a:pt x="520280" y="411122"/>
                </a:lnTo>
              </a:path>
              <a:path w="948055" h="520065">
                <a:moveTo>
                  <a:pt x="692047" y="366088"/>
                </a:moveTo>
                <a:lnTo>
                  <a:pt x="660952" y="379348"/>
                </a:lnTo>
                <a:lnTo>
                  <a:pt x="628487" y="391734"/>
                </a:lnTo>
                <a:lnTo>
                  <a:pt x="594732" y="403223"/>
                </a:lnTo>
                <a:lnTo>
                  <a:pt x="559764" y="413789"/>
                </a:lnTo>
              </a:path>
              <a:path w="948055" h="520065">
                <a:moveTo>
                  <a:pt x="782586" y="320825"/>
                </a:moveTo>
                <a:lnTo>
                  <a:pt x="692047" y="366088"/>
                </a:lnTo>
              </a:path>
              <a:path w="948055" h="520065">
                <a:moveTo>
                  <a:pt x="878013" y="254671"/>
                </a:moveTo>
                <a:lnTo>
                  <a:pt x="856872" y="272153"/>
                </a:lnTo>
                <a:lnTo>
                  <a:pt x="833887" y="289029"/>
                </a:lnTo>
                <a:lnTo>
                  <a:pt x="809112" y="305265"/>
                </a:lnTo>
                <a:lnTo>
                  <a:pt x="782598" y="320825"/>
                </a:lnTo>
              </a:path>
              <a:path w="948055" h="520065">
                <a:moveTo>
                  <a:pt x="872667" y="234923"/>
                </a:moveTo>
                <a:lnTo>
                  <a:pt x="878944" y="239314"/>
                </a:lnTo>
                <a:lnTo>
                  <a:pt x="882003" y="244354"/>
                </a:lnTo>
                <a:lnTo>
                  <a:pt x="881730" y="249615"/>
                </a:lnTo>
                <a:lnTo>
                  <a:pt x="878013" y="254671"/>
                </a:lnTo>
              </a:path>
              <a:path w="948055" h="520065">
                <a:moveTo>
                  <a:pt x="551585" y="141959"/>
                </a:moveTo>
                <a:lnTo>
                  <a:pt x="555433" y="143902"/>
                </a:lnTo>
              </a:path>
              <a:path w="948055" h="520065">
                <a:moveTo>
                  <a:pt x="489482" y="180859"/>
                </a:moveTo>
                <a:lnTo>
                  <a:pt x="506932" y="189571"/>
                </a:lnTo>
              </a:path>
              <a:path w="948055" h="520065">
                <a:moveTo>
                  <a:pt x="497356" y="172934"/>
                </a:moveTo>
                <a:lnTo>
                  <a:pt x="493496" y="171003"/>
                </a:lnTo>
              </a:path>
              <a:path w="948055" h="520065">
                <a:moveTo>
                  <a:pt x="551585" y="141959"/>
                </a:moveTo>
                <a:lnTo>
                  <a:pt x="493496" y="171003"/>
                </a:lnTo>
              </a:path>
              <a:path w="948055" h="520065">
                <a:moveTo>
                  <a:pt x="489482" y="174839"/>
                </a:moveTo>
                <a:lnTo>
                  <a:pt x="489482" y="180859"/>
                </a:lnTo>
              </a:path>
              <a:path w="948055" h="520065">
                <a:moveTo>
                  <a:pt x="493496" y="171003"/>
                </a:moveTo>
                <a:lnTo>
                  <a:pt x="489482" y="174839"/>
                </a:lnTo>
              </a:path>
              <a:path w="948055" h="520065">
                <a:moveTo>
                  <a:pt x="278662" y="284300"/>
                </a:moveTo>
                <a:lnTo>
                  <a:pt x="249414" y="269682"/>
                </a:lnTo>
              </a:path>
              <a:path w="948055" h="520065">
                <a:moveTo>
                  <a:pt x="481583" y="487411"/>
                </a:moveTo>
                <a:lnTo>
                  <a:pt x="233908" y="363586"/>
                </a:lnTo>
              </a:path>
              <a:path w="948055" h="520065">
                <a:moveTo>
                  <a:pt x="195198" y="344219"/>
                </a:moveTo>
                <a:lnTo>
                  <a:pt x="195198" y="358443"/>
                </a:lnTo>
              </a:path>
              <a:path w="948055" h="520065">
                <a:moveTo>
                  <a:pt x="226173" y="373924"/>
                </a:moveTo>
                <a:lnTo>
                  <a:pt x="195185" y="358443"/>
                </a:lnTo>
              </a:path>
              <a:path w="948055" h="520065">
                <a:moveTo>
                  <a:pt x="233920" y="363586"/>
                </a:moveTo>
                <a:lnTo>
                  <a:pt x="195198" y="344219"/>
                </a:lnTo>
              </a:path>
              <a:path w="948055" h="520065">
                <a:moveTo>
                  <a:pt x="140461" y="323226"/>
                </a:moveTo>
                <a:lnTo>
                  <a:pt x="30327" y="267358"/>
                </a:lnTo>
              </a:path>
              <a:path w="948055" h="520065">
                <a:moveTo>
                  <a:pt x="249414" y="269682"/>
                </a:moveTo>
                <a:lnTo>
                  <a:pt x="233920" y="277417"/>
                </a:lnTo>
              </a:path>
              <a:path w="948055" h="520065">
                <a:moveTo>
                  <a:pt x="233920" y="277417"/>
                </a:moveTo>
                <a:lnTo>
                  <a:pt x="218842" y="288681"/>
                </a:lnTo>
                <a:lnTo>
                  <a:pt x="206534" y="305003"/>
                </a:lnTo>
                <a:lnTo>
                  <a:pt x="198239" y="324231"/>
                </a:lnTo>
                <a:lnTo>
                  <a:pt x="195198" y="344219"/>
                </a:lnTo>
              </a:path>
              <a:path w="948055" h="520065">
                <a:moveTo>
                  <a:pt x="830274" y="414577"/>
                </a:moveTo>
                <a:lnTo>
                  <a:pt x="859431" y="397549"/>
                </a:lnTo>
                <a:lnTo>
                  <a:pt x="886665" y="379755"/>
                </a:lnTo>
                <a:lnTo>
                  <a:pt x="911924" y="361240"/>
                </a:lnTo>
                <a:lnTo>
                  <a:pt x="935151" y="342047"/>
                </a:lnTo>
              </a:path>
              <a:path w="948055" h="520065">
                <a:moveTo>
                  <a:pt x="737323" y="461059"/>
                </a:moveTo>
                <a:lnTo>
                  <a:pt x="830274" y="414577"/>
                </a:lnTo>
              </a:path>
              <a:path w="948055" h="520065">
                <a:moveTo>
                  <a:pt x="592225" y="513510"/>
                </a:moveTo>
                <a:lnTo>
                  <a:pt x="630609" y="501894"/>
                </a:lnTo>
                <a:lnTo>
                  <a:pt x="667641" y="489261"/>
                </a:lnTo>
                <a:lnTo>
                  <a:pt x="703239" y="475639"/>
                </a:lnTo>
                <a:lnTo>
                  <a:pt x="737323" y="461059"/>
                </a:lnTo>
              </a:path>
              <a:path w="948055" h="520065">
                <a:moveTo>
                  <a:pt x="473836" y="505496"/>
                </a:moveTo>
                <a:lnTo>
                  <a:pt x="500135" y="514905"/>
                </a:lnTo>
                <a:lnTo>
                  <a:pt x="530327" y="519490"/>
                </a:lnTo>
                <a:lnTo>
                  <a:pt x="561874" y="519082"/>
                </a:lnTo>
                <a:lnTo>
                  <a:pt x="592238" y="513510"/>
                </a:lnTo>
              </a:path>
              <a:path w="948055" h="520065">
                <a:moveTo>
                  <a:pt x="226173" y="381658"/>
                </a:moveTo>
                <a:lnTo>
                  <a:pt x="473849" y="505509"/>
                </a:lnTo>
              </a:path>
              <a:path w="948055" h="520065">
                <a:moveTo>
                  <a:pt x="878013" y="254671"/>
                </a:moveTo>
                <a:lnTo>
                  <a:pt x="898344" y="267092"/>
                </a:lnTo>
                <a:lnTo>
                  <a:pt x="915569" y="283992"/>
                </a:lnTo>
                <a:lnTo>
                  <a:pt x="928300" y="304517"/>
                </a:lnTo>
                <a:lnTo>
                  <a:pt x="935151" y="327810"/>
                </a:lnTo>
              </a:path>
              <a:path w="948055" h="520065">
                <a:moveTo>
                  <a:pt x="935151" y="327810"/>
                </a:moveTo>
                <a:lnTo>
                  <a:pt x="935151" y="342047"/>
                </a:lnTo>
              </a:path>
              <a:path w="948055" h="520065">
                <a:moveTo>
                  <a:pt x="520280" y="411122"/>
                </a:moveTo>
                <a:lnTo>
                  <a:pt x="502211" y="424642"/>
                </a:lnTo>
                <a:lnTo>
                  <a:pt x="487447" y="444225"/>
                </a:lnTo>
                <a:lnTo>
                  <a:pt x="477489" y="467294"/>
                </a:lnTo>
                <a:lnTo>
                  <a:pt x="473836" y="491272"/>
                </a:lnTo>
              </a:path>
              <a:path w="948055" h="520065">
                <a:moveTo>
                  <a:pt x="592225" y="499260"/>
                </a:moveTo>
                <a:lnTo>
                  <a:pt x="589677" y="474868"/>
                </a:lnTo>
                <a:lnTo>
                  <a:pt x="582724" y="450657"/>
                </a:lnTo>
                <a:lnTo>
                  <a:pt x="572407" y="429380"/>
                </a:lnTo>
                <a:lnTo>
                  <a:pt x="559764" y="413789"/>
                </a:lnTo>
              </a:path>
              <a:path w="948055" h="520065">
                <a:moveTo>
                  <a:pt x="592225" y="513510"/>
                </a:moveTo>
                <a:lnTo>
                  <a:pt x="592225" y="499260"/>
                </a:lnTo>
              </a:path>
              <a:path w="948055" h="520065">
                <a:moveTo>
                  <a:pt x="473836" y="491272"/>
                </a:moveTo>
                <a:lnTo>
                  <a:pt x="473836" y="505496"/>
                </a:lnTo>
              </a:path>
              <a:path w="948055" h="520065">
                <a:moveTo>
                  <a:pt x="586828" y="494511"/>
                </a:moveTo>
                <a:lnTo>
                  <a:pt x="559830" y="499475"/>
                </a:lnTo>
                <a:lnTo>
                  <a:pt x="531788" y="499843"/>
                </a:lnTo>
                <a:lnTo>
                  <a:pt x="504948" y="495770"/>
                </a:lnTo>
                <a:lnTo>
                  <a:pt x="481558" y="487411"/>
                </a:lnTo>
              </a:path>
              <a:path w="948055" h="520065">
                <a:moveTo>
                  <a:pt x="925626" y="325118"/>
                </a:moveTo>
                <a:lnTo>
                  <a:pt x="902746" y="344019"/>
                </a:lnTo>
                <a:lnTo>
                  <a:pt x="877866" y="362254"/>
                </a:lnTo>
                <a:lnTo>
                  <a:pt x="851040" y="379787"/>
                </a:lnTo>
                <a:lnTo>
                  <a:pt x="822324" y="396581"/>
                </a:lnTo>
              </a:path>
              <a:path w="948055" h="520065">
                <a:moveTo>
                  <a:pt x="822324" y="396581"/>
                </a:moveTo>
                <a:lnTo>
                  <a:pt x="729779" y="442860"/>
                </a:lnTo>
              </a:path>
              <a:path w="948055" h="520065">
                <a:moveTo>
                  <a:pt x="729779" y="442860"/>
                </a:moveTo>
                <a:lnTo>
                  <a:pt x="696195" y="457225"/>
                </a:lnTo>
                <a:lnTo>
                  <a:pt x="661123" y="470642"/>
                </a:lnTo>
                <a:lnTo>
                  <a:pt x="624641" y="483081"/>
                </a:lnTo>
                <a:lnTo>
                  <a:pt x="586828" y="494511"/>
                </a:lnTo>
              </a:path>
              <a:path w="948055" h="520065">
                <a:moveTo>
                  <a:pt x="474293" y="101014"/>
                </a:moveTo>
                <a:lnTo>
                  <a:pt x="483221" y="105624"/>
                </a:lnTo>
              </a:path>
              <a:path w="948055" h="520065">
                <a:moveTo>
                  <a:pt x="425589" y="128916"/>
                </a:moveTo>
                <a:lnTo>
                  <a:pt x="482281" y="100099"/>
                </a:lnTo>
              </a:path>
              <a:path w="948055" h="520065">
                <a:moveTo>
                  <a:pt x="892555" y="232840"/>
                </a:moveTo>
                <a:lnTo>
                  <a:pt x="930455" y="267900"/>
                </a:lnTo>
                <a:lnTo>
                  <a:pt x="947457" y="308989"/>
                </a:lnTo>
                <a:lnTo>
                  <a:pt x="947688" y="319882"/>
                </a:lnTo>
                <a:lnTo>
                  <a:pt x="945790" y="327990"/>
                </a:lnTo>
                <a:lnTo>
                  <a:pt x="941697" y="335176"/>
                </a:lnTo>
                <a:lnTo>
                  <a:pt x="935151" y="342047"/>
                </a:lnTo>
              </a:path>
              <a:path w="948055" h="520065">
                <a:moveTo>
                  <a:pt x="866012" y="231481"/>
                </a:moveTo>
                <a:lnTo>
                  <a:pt x="873543" y="224839"/>
                </a:lnTo>
                <a:lnTo>
                  <a:pt x="877493" y="225105"/>
                </a:lnTo>
              </a:path>
            </a:pathLst>
          </a:custGeom>
          <a:ln w="3657">
            <a:solidFill>
              <a:srgbClr val="000000"/>
            </a:solidFill>
          </a:ln>
        </xdr:spPr>
      </xdr:sp>
    </xdr:grpSp>
    <xdr:clientData/>
  </xdr:absoluteAnchor>
  <xdr:absoluteAnchor>
    <xdr:pos x="222862" y="280426690"/>
    <xdr:ext cx="601980" cy="381000"/>
    <xdr:sp macro="" textlink="">
      <xdr:nvSpPr>
        <xdr:cNvPr id="383" name="Shape 1114">
          <a:extLst>
            <a:ext uri="{FF2B5EF4-FFF2-40B4-BE49-F238E27FC236}">
              <a16:creationId xmlns:a16="http://schemas.microsoft.com/office/drawing/2014/main" id="{A50983CF-3D3B-4FD7-8184-2CBF701305A0}"/>
            </a:ext>
          </a:extLst>
        </xdr:cNvPr>
        <xdr:cNvSpPr/>
      </xdr:nvSpPr>
      <xdr:spPr>
        <a:xfrm>
          <a:off x="222862" y="280426690"/>
          <a:ext cx="601980" cy="381000"/>
        </a:xfrm>
        <a:custGeom>
          <a:avLst/>
          <a:gdLst/>
          <a:ahLst/>
          <a:cxnLst/>
          <a:rect l="0" t="0" r="0" b="0"/>
          <a:pathLst>
            <a:path w="601980" h="381000">
              <a:moveTo>
                <a:pt x="3390" y="133324"/>
              </a:moveTo>
              <a:lnTo>
                <a:pt x="508" y="144271"/>
              </a:lnTo>
              <a:lnTo>
                <a:pt x="203" y="146151"/>
              </a:lnTo>
              <a:lnTo>
                <a:pt x="0" y="148018"/>
              </a:lnTo>
              <a:lnTo>
                <a:pt x="25" y="149910"/>
              </a:lnTo>
              <a:lnTo>
                <a:pt x="25" y="150304"/>
              </a:lnTo>
              <a:lnTo>
                <a:pt x="50" y="150710"/>
              </a:lnTo>
              <a:lnTo>
                <a:pt x="50" y="151117"/>
              </a:lnTo>
            </a:path>
            <a:path w="601980" h="381000">
              <a:moveTo>
                <a:pt x="0" y="151117"/>
              </a:moveTo>
              <a:lnTo>
                <a:pt x="0" y="168782"/>
              </a:lnTo>
            </a:path>
            <a:path w="601980" h="381000">
              <a:moveTo>
                <a:pt x="222643" y="838"/>
              </a:moveTo>
              <a:lnTo>
                <a:pt x="220281" y="1181"/>
              </a:lnTo>
              <a:lnTo>
                <a:pt x="217932" y="1498"/>
              </a:lnTo>
              <a:lnTo>
                <a:pt x="215569" y="1841"/>
              </a:lnTo>
              <a:lnTo>
                <a:pt x="176606" y="9410"/>
              </a:lnTo>
              <a:lnTo>
                <a:pt x="172389" y="10426"/>
              </a:lnTo>
              <a:lnTo>
                <a:pt x="151714" y="16306"/>
              </a:lnTo>
              <a:lnTo>
                <a:pt x="147624" y="17589"/>
              </a:lnTo>
              <a:lnTo>
                <a:pt x="143624" y="18922"/>
              </a:lnTo>
              <a:lnTo>
                <a:pt x="139649" y="20319"/>
              </a:lnTo>
              <a:lnTo>
                <a:pt x="135661" y="21704"/>
              </a:lnTo>
              <a:lnTo>
                <a:pt x="131737" y="23190"/>
              </a:lnTo>
              <a:lnTo>
                <a:pt x="127876" y="24714"/>
              </a:lnTo>
              <a:lnTo>
                <a:pt x="123990" y="26238"/>
              </a:lnTo>
              <a:lnTo>
                <a:pt x="105333" y="34556"/>
              </a:lnTo>
              <a:lnTo>
                <a:pt x="101688" y="36309"/>
              </a:lnTo>
              <a:lnTo>
                <a:pt x="98120" y="38138"/>
              </a:lnTo>
              <a:lnTo>
                <a:pt x="94615" y="40004"/>
              </a:lnTo>
              <a:lnTo>
                <a:pt x="91109" y="41871"/>
              </a:lnTo>
              <a:lnTo>
                <a:pt x="64998" y="58394"/>
              </a:lnTo>
              <a:lnTo>
                <a:pt x="61937" y="60604"/>
              </a:lnTo>
              <a:lnTo>
                <a:pt x="47650" y="72275"/>
              </a:lnTo>
              <a:lnTo>
                <a:pt x="44932" y="74663"/>
              </a:lnTo>
              <a:lnTo>
                <a:pt x="42303" y="77114"/>
              </a:lnTo>
              <a:lnTo>
                <a:pt x="39776" y="79628"/>
              </a:lnTo>
              <a:lnTo>
                <a:pt x="37236" y="82105"/>
              </a:lnTo>
              <a:lnTo>
                <a:pt x="34798" y="84658"/>
              </a:lnTo>
              <a:lnTo>
                <a:pt x="32473" y="87261"/>
              </a:lnTo>
              <a:lnTo>
                <a:pt x="30149" y="89827"/>
              </a:lnTo>
              <a:lnTo>
                <a:pt x="14287" y="111493"/>
              </a:lnTo>
              <a:lnTo>
                <a:pt x="12598" y="114261"/>
              </a:lnTo>
              <a:lnTo>
                <a:pt x="10998" y="117081"/>
              </a:lnTo>
              <a:lnTo>
                <a:pt x="9512" y="119951"/>
              </a:lnTo>
              <a:lnTo>
                <a:pt x="8013" y="122745"/>
              </a:lnTo>
              <a:lnTo>
                <a:pt x="6654" y="125590"/>
              </a:lnTo>
              <a:lnTo>
                <a:pt x="5397" y="128498"/>
              </a:lnTo>
              <a:lnTo>
                <a:pt x="4699" y="130086"/>
              </a:lnTo>
              <a:lnTo>
                <a:pt x="4051" y="131698"/>
              </a:lnTo>
              <a:lnTo>
                <a:pt x="3390" y="133324"/>
              </a:lnTo>
            </a:path>
            <a:path w="601980" h="381000">
              <a:moveTo>
                <a:pt x="387819" y="73875"/>
              </a:moveTo>
              <a:lnTo>
                <a:pt x="278815" y="10947"/>
              </a:lnTo>
            </a:path>
            <a:path w="601980" h="381000">
              <a:moveTo>
                <a:pt x="344957" y="95884"/>
              </a:moveTo>
              <a:lnTo>
                <a:pt x="360565" y="104914"/>
              </a:lnTo>
            </a:path>
            <a:path w="601980" h="381000">
              <a:moveTo>
                <a:pt x="377012" y="92621"/>
              </a:moveTo>
              <a:lnTo>
                <a:pt x="366382" y="86486"/>
              </a:lnTo>
            </a:path>
            <a:path w="601980" h="381000">
              <a:moveTo>
                <a:pt x="341134" y="98107"/>
              </a:moveTo>
              <a:lnTo>
                <a:pt x="374573" y="117436"/>
              </a:lnTo>
            </a:path>
            <a:path w="601980" h="381000">
              <a:moveTo>
                <a:pt x="278815" y="10960"/>
              </a:moveTo>
              <a:lnTo>
                <a:pt x="277583" y="10274"/>
              </a:lnTo>
              <a:lnTo>
                <a:pt x="276352" y="9588"/>
              </a:lnTo>
              <a:lnTo>
                <a:pt x="275120" y="8966"/>
              </a:lnTo>
              <a:lnTo>
                <a:pt x="242976" y="342"/>
              </a:lnTo>
              <a:lnTo>
                <a:pt x="240703" y="152"/>
              </a:lnTo>
              <a:lnTo>
                <a:pt x="238442" y="50"/>
              </a:lnTo>
              <a:lnTo>
                <a:pt x="236156" y="12"/>
              </a:lnTo>
              <a:lnTo>
                <a:pt x="233857" y="0"/>
              </a:lnTo>
              <a:lnTo>
                <a:pt x="231584" y="50"/>
              </a:lnTo>
              <a:lnTo>
                <a:pt x="229298" y="215"/>
              </a:lnTo>
              <a:lnTo>
                <a:pt x="227076" y="355"/>
              </a:lnTo>
              <a:lnTo>
                <a:pt x="224878" y="596"/>
              </a:lnTo>
              <a:lnTo>
                <a:pt x="222656" y="838"/>
              </a:lnTo>
            </a:path>
            <a:path w="601980" h="381000">
              <a:moveTo>
                <a:pt x="601865" y="226923"/>
              </a:moveTo>
              <a:lnTo>
                <a:pt x="601840" y="225475"/>
              </a:lnTo>
              <a:lnTo>
                <a:pt x="601827" y="224002"/>
              </a:lnTo>
              <a:lnTo>
                <a:pt x="601700" y="222542"/>
              </a:lnTo>
              <a:lnTo>
                <a:pt x="601586" y="220713"/>
              </a:lnTo>
              <a:lnTo>
                <a:pt x="601294" y="218884"/>
              </a:lnTo>
              <a:lnTo>
                <a:pt x="600887" y="217093"/>
              </a:lnTo>
              <a:lnTo>
                <a:pt x="600519" y="215315"/>
              </a:lnTo>
              <a:lnTo>
                <a:pt x="595007" y="201929"/>
              </a:lnTo>
              <a:lnTo>
                <a:pt x="594080" y="200329"/>
              </a:lnTo>
              <a:lnTo>
                <a:pt x="574929" y="181927"/>
              </a:lnTo>
              <a:lnTo>
                <a:pt x="574408" y="181609"/>
              </a:lnTo>
              <a:lnTo>
                <a:pt x="573849" y="181279"/>
              </a:lnTo>
              <a:lnTo>
                <a:pt x="573328" y="180974"/>
              </a:lnTo>
            </a:path>
            <a:path w="601980" h="381000">
              <a:moveTo>
                <a:pt x="601916" y="244589"/>
              </a:moveTo>
              <a:lnTo>
                <a:pt x="601916" y="226923"/>
              </a:lnTo>
            </a:path>
            <a:path w="601980" h="381000">
              <a:moveTo>
                <a:pt x="573328" y="180974"/>
              </a:moveTo>
              <a:lnTo>
                <a:pt x="464312" y="118033"/>
              </a:lnTo>
            </a:path>
            <a:path w="601980" h="381000">
              <a:moveTo>
                <a:pt x="371373" y="190271"/>
              </a:moveTo>
              <a:lnTo>
                <a:pt x="381901" y="184213"/>
              </a:lnTo>
            </a:path>
            <a:path w="601980" h="381000">
              <a:moveTo>
                <a:pt x="446036" y="119964"/>
              </a:moveTo>
              <a:lnTo>
                <a:pt x="418122" y="103860"/>
              </a:lnTo>
            </a:path>
            <a:path w="601980" h="381000">
              <a:moveTo>
                <a:pt x="178587" y="280263"/>
              </a:moveTo>
              <a:lnTo>
                <a:pt x="186220" y="275869"/>
              </a:lnTo>
            </a:path>
            <a:path w="601980" h="381000">
              <a:moveTo>
                <a:pt x="178587" y="280263"/>
              </a:moveTo>
              <a:lnTo>
                <a:pt x="178587" y="262597"/>
              </a:lnTo>
            </a:path>
            <a:path w="601980" h="381000">
              <a:moveTo>
                <a:pt x="196430" y="231686"/>
              </a:moveTo>
              <a:lnTo>
                <a:pt x="189235" y="237605"/>
              </a:lnTo>
              <a:lnTo>
                <a:pt x="183727" y="244962"/>
              </a:lnTo>
              <a:lnTo>
                <a:pt x="180111" y="253412"/>
              </a:lnTo>
              <a:lnTo>
                <a:pt x="178587" y="262610"/>
              </a:lnTo>
            </a:path>
            <a:path w="601980" h="381000">
              <a:moveTo>
                <a:pt x="196430" y="231686"/>
              </a:moveTo>
              <a:lnTo>
                <a:pt x="201523" y="228752"/>
              </a:lnTo>
            </a:path>
            <a:path w="601980" h="381000">
              <a:moveTo>
                <a:pt x="201523" y="228752"/>
              </a:moveTo>
              <a:lnTo>
                <a:pt x="201523" y="237566"/>
              </a:lnTo>
            </a:path>
            <a:path w="601980" h="381000">
              <a:moveTo>
                <a:pt x="201523" y="237578"/>
              </a:moveTo>
              <a:lnTo>
                <a:pt x="196430" y="240537"/>
              </a:lnTo>
            </a:path>
            <a:path w="601980" h="381000">
              <a:moveTo>
                <a:pt x="196430" y="240512"/>
              </a:moveTo>
              <a:lnTo>
                <a:pt x="190360" y="244398"/>
              </a:lnTo>
              <a:lnTo>
                <a:pt x="186550" y="251002"/>
              </a:lnTo>
              <a:lnTo>
                <a:pt x="186220" y="258203"/>
              </a:lnTo>
            </a:path>
            <a:path w="601980" h="381000">
              <a:moveTo>
                <a:pt x="186220" y="275856"/>
              </a:moveTo>
              <a:lnTo>
                <a:pt x="186220" y="258165"/>
              </a:lnTo>
            </a:path>
            <a:path w="601980" h="381000">
              <a:moveTo>
                <a:pt x="155625" y="208127"/>
              </a:moveTo>
              <a:lnTo>
                <a:pt x="148442" y="214048"/>
              </a:lnTo>
              <a:lnTo>
                <a:pt x="142936" y="221408"/>
              </a:lnTo>
              <a:lnTo>
                <a:pt x="139314" y="229858"/>
              </a:lnTo>
              <a:lnTo>
                <a:pt x="137782" y="239052"/>
              </a:lnTo>
            </a:path>
            <a:path w="601980" h="381000">
              <a:moveTo>
                <a:pt x="178587" y="280263"/>
              </a:moveTo>
              <a:lnTo>
                <a:pt x="137782" y="256730"/>
              </a:lnTo>
            </a:path>
            <a:path w="601980" h="381000">
              <a:moveTo>
                <a:pt x="137782" y="256730"/>
              </a:moveTo>
              <a:lnTo>
                <a:pt x="137782" y="239052"/>
              </a:lnTo>
            </a:path>
            <a:path w="601980" h="381000">
              <a:moveTo>
                <a:pt x="201523" y="228752"/>
              </a:moveTo>
              <a:lnTo>
                <a:pt x="160743" y="205206"/>
              </a:lnTo>
            </a:path>
            <a:path w="601980" h="381000">
              <a:moveTo>
                <a:pt x="155625" y="208127"/>
              </a:moveTo>
              <a:lnTo>
                <a:pt x="160743" y="205206"/>
              </a:lnTo>
            </a:path>
            <a:path w="601980" h="381000">
              <a:moveTo>
                <a:pt x="155625" y="199301"/>
              </a:moveTo>
              <a:lnTo>
                <a:pt x="145344" y="207754"/>
              </a:lnTo>
              <a:lnTo>
                <a:pt x="137477" y="218268"/>
              </a:lnTo>
              <a:lnTo>
                <a:pt x="132315" y="230344"/>
              </a:lnTo>
              <a:lnTo>
                <a:pt x="130149" y="243484"/>
              </a:lnTo>
            </a:path>
            <a:path w="601980" h="381000">
              <a:moveTo>
                <a:pt x="168376" y="209626"/>
              </a:moveTo>
              <a:lnTo>
                <a:pt x="168376" y="206667"/>
              </a:lnTo>
            </a:path>
            <a:path w="601980" h="381000">
              <a:moveTo>
                <a:pt x="130149" y="243471"/>
              </a:moveTo>
              <a:lnTo>
                <a:pt x="130149" y="261137"/>
              </a:lnTo>
            </a:path>
            <a:path w="601980" h="381000">
              <a:moveTo>
                <a:pt x="155625" y="199301"/>
              </a:moveTo>
              <a:lnTo>
                <a:pt x="235953" y="152946"/>
              </a:lnTo>
            </a:path>
            <a:path w="601980" h="381000">
              <a:moveTo>
                <a:pt x="235953" y="176491"/>
              </a:moveTo>
              <a:lnTo>
                <a:pt x="235953" y="152958"/>
              </a:lnTo>
            </a:path>
            <a:path w="601980" h="381000">
              <a:moveTo>
                <a:pt x="235953" y="176491"/>
              </a:moveTo>
              <a:lnTo>
                <a:pt x="216814" y="187528"/>
              </a:lnTo>
            </a:path>
            <a:path w="601980" h="381000">
              <a:moveTo>
                <a:pt x="168376" y="206667"/>
              </a:moveTo>
              <a:lnTo>
                <a:pt x="209181" y="183108"/>
              </a:lnTo>
            </a:path>
            <a:path w="601980" h="381000">
              <a:moveTo>
                <a:pt x="130149" y="261137"/>
              </a:moveTo>
              <a:lnTo>
                <a:pt x="137782" y="256730"/>
              </a:lnTo>
            </a:path>
            <a:path w="601980" h="381000">
              <a:moveTo>
                <a:pt x="188760" y="212572"/>
              </a:moveTo>
              <a:lnTo>
                <a:pt x="229565" y="189014"/>
              </a:lnTo>
            </a:path>
            <a:path w="601980" h="381000">
              <a:moveTo>
                <a:pt x="229565" y="189014"/>
              </a:moveTo>
              <a:lnTo>
                <a:pt x="234683" y="197827"/>
              </a:lnTo>
            </a:path>
            <a:path w="601980" h="381000">
              <a:moveTo>
                <a:pt x="193865" y="221386"/>
              </a:moveTo>
              <a:lnTo>
                <a:pt x="234683" y="197827"/>
              </a:lnTo>
            </a:path>
            <a:path w="601980" h="381000">
              <a:moveTo>
                <a:pt x="188760" y="212572"/>
              </a:moveTo>
              <a:lnTo>
                <a:pt x="193878" y="221386"/>
              </a:lnTo>
            </a:path>
            <a:path w="601980" h="381000">
              <a:moveTo>
                <a:pt x="183680" y="209626"/>
              </a:moveTo>
              <a:lnTo>
                <a:pt x="181140" y="214033"/>
              </a:lnTo>
            </a:path>
            <a:path w="601980" h="381000">
              <a:moveTo>
                <a:pt x="188760" y="212572"/>
              </a:moveTo>
              <a:lnTo>
                <a:pt x="183667" y="209626"/>
              </a:lnTo>
            </a:path>
            <a:path w="601980" h="381000">
              <a:moveTo>
                <a:pt x="193865" y="224320"/>
              </a:moveTo>
              <a:lnTo>
                <a:pt x="193865" y="221386"/>
              </a:lnTo>
            </a:path>
            <a:path w="601980" h="381000">
              <a:moveTo>
                <a:pt x="181140" y="214033"/>
              </a:moveTo>
              <a:lnTo>
                <a:pt x="168376" y="206667"/>
              </a:lnTo>
            </a:path>
            <a:path w="601980" h="381000">
              <a:moveTo>
                <a:pt x="21120" y="198196"/>
              </a:moveTo>
              <a:lnTo>
                <a:pt x="130149" y="261137"/>
              </a:lnTo>
            </a:path>
            <a:path w="601980" h="381000">
              <a:moveTo>
                <a:pt x="198983" y="227279"/>
              </a:moveTo>
              <a:lnTo>
                <a:pt x="234683" y="206667"/>
              </a:lnTo>
            </a:path>
            <a:path w="601980" h="381000">
              <a:moveTo>
                <a:pt x="234683" y="197827"/>
              </a:moveTo>
              <a:lnTo>
                <a:pt x="234683" y="206667"/>
              </a:lnTo>
            </a:path>
            <a:path w="601980" h="381000">
              <a:moveTo>
                <a:pt x="229565" y="189014"/>
              </a:moveTo>
              <a:lnTo>
                <a:pt x="224459" y="186067"/>
              </a:lnTo>
            </a:path>
            <a:path w="601980" h="381000">
              <a:moveTo>
                <a:pt x="183680" y="209626"/>
              </a:moveTo>
              <a:lnTo>
                <a:pt x="224472" y="186067"/>
              </a:lnTo>
            </a:path>
            <a:path w="601980" h="381000">
              <a:moveTo>
                <a:pt x="132676" y="93319"/>
              </a:moveTo>
              <a:lnTo>
                <a:pt x="235940" y="152958"/>
              </a:lnTo>
            </a:path>
            <a:path w="601980" h="381000">
              <a:moveTo>
                <a:pt x="289483" y="122046"/>
              </a:moveTo>
              <a:lnTo>
                <a:pt x="369785" y="75679"/>
              </a:lnTo>
            </a:path>
            <a:path w="601980" h="381000">
              <a:moveTo>
                <a:pt x="289483" y="122046"/>
              </a:moveTo>
              <a:lnTo>
                <a:pt x="186220" y="62420"/>
              </a:lnTo>
            </a:path>
            <a:path w="601980" h="381000">
              <a:moveTo>
                <a:pt x="186220" y="62433"/>
              </a:moveTo>
              <a:lnTo>
                <a:pt x="132676" y="93319"/>
              </a:lnTo>
            </a:path>
            <a:path w="601980" h="381000">
              <a:moveTo>
                <a:pt x="219367" y="189014"/>
              </a:moveTo>
              <a:lnTo>
                <a:pt x="209181" y="183108"/>
              </a:lnTo>
            </a:path>
            <a:path w="601980" h="381000">
              <a:moveTo>
                <a:pt x="0" y="168770"/>
              </a:moveTo>
              <a:lnTo>
                <a:pt x="2171" y="178054"/>
              </a:lnTo>
              <a:lnTo>
                <a:pt x="6607" y="186321"/>
              </a:lnTo>
              <a:lnTo>
                <a:pt x="13019" y="193169"/>
              </a:lnTo>
              <a:lnTo>
                <a:pt x="21120" y="198196"/>
              </a:lnTo>
            </a:path>
            <a:path w="601980" h="381000">
              <a:moveTo>
                <a:pt x="395300" y="90385"/>
              </a:moveTo>
              <a:lnTo>
                <a:pt x="396608" y="81775"/>
              </a:lnTo>
              <a:lnTo>
                <a:pt x="390715" y="73698"/>
              </a:lnTo>
              <a:lnTo>
                <a:pt x="382079" y="72389"/>
              </a:lnTo>
              <a:lnTo>
                <a:pt x="377698" y="71704"/>
              </a:lnTo>
              <a:lnTo>
                <a:pt x="373253" y="72910"/>
              </a:lnTo>
              <a:lnTo>
                <a:pt x="369785" y="75679"/>
              </a:lnTo>
            </a:path>
            <a:path w="601980" h="381000">
              <a:moveTo>
                <a:pt x="395300" y="90385"/>
              </a:moveTo>
              <a:lnTo>
                <a:pt x="395300" y="108076"/>
              </a:lnTo>
            </a:path>
            <a:path w="601980" h="381000">
              <a:moveTo>
                <a:pt x="387654" y="94818"/>
              </a:moveTo>
              <a:lnTo>
                <a:pt x="387654" y="112483"/>
              </a:lnTo>
            </a:path>
            <a:path w="601980" h="381000">
              <a:moveTo>
                <a:pt x="387654" y="94818"/>
              </a:moveTo>
              <a:lnTo>
                <a:pt x="388556" y="88772"/>
              </a:lnTo>
              <a:lnTo>
                <a:pt x="384416" y="83121"/>
              </a:lnTo>
              <a:lnTo>
                <a:pt x="378383" y="82194"/>
              </a:lnTo>
              <a:lnTo>
                <a:pt x="375335" y="81737"/>
              </a:lnTo>
              <a:lnTo>
                <a:pt x="372211" y="82562"/>
              </a:lnTo>
              <a:lnTo>
                <a:pt x="369798" y="84505"/>
              </a:lnTo>
            </a:path>
            <a:path w="601980" h="381000">
              <a:moveTo>
                <a:pt x="365975" y="86702"/>
              </a:moveTo>
              <a:lnTo>
                <a:pt x="369785" y="84505"/>
              </a:lnTo>
            </a:path>
            <a:path w="601980" h="381000">
              <a:moveTo>
                <a:pt x="365975" y="95554"/>
              </a:moveTo>
              <a:lnTo>
                <a:pt x="365975" y="86715"/>
              </a:lnTo>
            </a:path>
            <a:path w="601980" h="381000">
              <a:moveTo>
                <a:pt x="369633" y="93421"/>
              </a:moveTo>
              <a:lnTo>
                <a:pt x="365975" y="95542"/>
              </a:lnTo>
            </a:path>
            <a:path w="601980" h="381000">
              <a:moveTo>
                <a:pt x="380009" y="99225"/>
              </a:moveTo>
              <a:lnTo>
                <a:pt x="380542" y="95770"/>
              </a:lnTo>
              <a:lnTo>
                <a:pt x="378180" y="92544"/>
              </a:lnTo>
              <a:lnTo>
                <a:pt x="374738" y="91986"/>
              </a:lnTo>
              <a:lnTo>
                <a:pt x="372910" y="91706"/>
              </a:lnTo>
              <a:lnTo>
                <a:pt x="371030" y="92214"/>
              </a:lnTo>
              <a:lnTo>
                <a:pt x="369633" y="93446"/>
              </a:lnTo>
            </a:path>
            <a:path w="601980" h="381000">
              <a:moveTo>
                <a:pt x="380009" y="116903"/>
              </a:moveTo>
              <a:lnTo>
                <a:pt x="380009" y="99225"/>
              </a:lnTo>
            </a:path>
            <a:path w="601980" h="381000">
              <a:moveTo>
                <a:pt x="372351" y="112471"/>
              </a:moveTo>
              <a:lnTo>
                <a:pt x="371919" y="115049"/>
              </a:lnTo>
              <a:lnTo>
                <a:pt x="373672" y="117462"/>
              </a:lnTo>
              <a:lnTo>
                <a:pt x="376250" y="117906"/>
              </a:lnTo>
              <a:lnTo>
                <a:pt x="377596" y="118109"/>
              </a:lnTo>
              <a:lnTo>
                <a:pt x="378955" y="117741"/>
              </a:lnTo>
              <a:lnTo>
                <a:pt x="380009" y="116878"/>
              </a:lnTo>
            </a:path>
            <a:path w="601980" h="381000">
              <a:moveTo>
                <a:pt x="372351" y="112471"/>
              </a:moveTo>
              <a:lnTo>
                <a:pt x="372351" y="103657"/>
              </a:lnTo>
            </a:path>
            <a:path w="601980" h="381000">
              <a:moveTo>
                <a:pt x="372351" y="103631"/>
              </a:moveTo>
              <a:lnTo>
                <a:pt x="370725" y="101828"/>
              </a:lnTo>
              <a:lnTo>
                <a:pt x="370205" y="101955"/>
              </a:lnTo>
              <a:lnTo>
                <a:pt x="369697" y="102209"/>
              </a:lnTo>
            </a:path>
            <a:path w="601980" h="381000">
              <a:moveTo>
                <a:pt x="369697" y="102209"/>
              </a:moveTo>
              <a:lnTo>
                <a:pt x="365975" y="104381"/>
              </a:lnTo>
            </a:path>
            <a:path w="601980" h="381000">
              <a:moveTo>
                <a:pt x="358330" y="99974"/>
              </a:moveTo>
              <a:lnTo>
                <a:pt x="357911" y="102527"/>
              </a:lnTo>
              <a:lnTo>
                <a:pt x="359676" y="104965"/>
              </a:lnTo>
              <a:lnTo>
                <a:pt x="362242" y="105371"/>
              </a:lnTo>
              <a:lnTo>
                <a:pt x="363562" y="105600"/>
              </a:lnTo>
              <a:lnTo>
                <a:pt x="364921" y="105219"/>
              </a:lnTo>
              <a:lnTo>
                <a:pt x="365975" y="104355"/>
              </a:lnTo>
            </a:path>
            <a:path w="601980" h="381000">
              <a:moveTo>
                <a:pt x="358330" y="99974"/>
              </a:moveTo>
              <a:lnTo>
                <a:pt x="358330" y="88176"/>
              </a:lnTo>
            </a:path>
            <a:path w="601980" h="381000">
              <a:moveTo>
                <a:pt x="358330" y="88188"/>
              </a:moveTo>
              <a:lnTo>
                <a:pt x="289509" y="127927"/>
              </a:lnTo>
            </a:path>
            <a:path w="601980" h="381000">
              <a:moveTo>
                <a:pt x="289483" y="127927"/>
              </a:moveTo>
              <a:lnTo>
                <a:pt x="289483" y="122046"/>
              </a:lnTo>
            </a:path>
            <a:path w="601980" h="381000">
              <a:moveTo>
                <a:pt x="387654" y="112483"/>
              </a:moveTo>
              <a:lnTo>
                <a:pt x="395300" y="108076"/>
              </a:lnTo>
            </a:path>
            <a:path w="601980" h="381000">
              <a:moveTo>
                <a:pt x="276745" y="123507"/>
              </a:moveTo>
              <a:lnTo>
                <a:pt x="276745" y="129400"/>
              </a:lnTo>
            </a:path>
            <a:path w="601980" h="381000">
              <a:moveTo>
                <a:pt x="186220" y="71246"/>
              </a:moveTo>
              <a:lnTo>
                <a:pt x="186220" y="62433"/>
              </a:lnTo>
            </a:path>
            <a:path w="601980" h="381000">
              <a:moveTo>
                <a:pt x="289483" y="127927"/>
              </a:moveTo>
              <a:lnTo>
                <a:pt x="281838" y="132333"/>
              </a:lnTo>
            </a:path>
            <a:path w="601980" h="381000">
              <a:moveTo>
                <a:pt x="276745" y="129400"/>
              </a:moveTo>
              <a:lnTo>
                <a:pt x="281838" y="132359"/>
              </a:lnTo>
            </a:path>
            <a:path w="601980" h="381000">
              <a:moveTo>
                <a:pt x="186220" y="71246"/>
              </a:moveTo>
              <a:lnTo>
                <a:pt x="276745" y="123507"/>
              </a:lnTo>
            </a:path>
            <a:path w="601980" h="381000">
              <a:moveTo>
                <a:pt x="358330" y="88188"/>
              </a:moveTo>
              <a:lnTo>
                <a:pt x="350685" y="92608"/>
              </a:lnTo>
            </a:path>
            <a:path w="601980" h="381000">
              <a:moveTo>
                <a:pt x="350685" y="92608"/>
              </a:moveTo>
              <a:lnTo>
                <a:pt x="281838" y="132359"/>
              </a:lnTo>
            </a:path>
            <a:path w="601980" h="381000">
              <a:moveTo>
                <a:pt x="140335" y="97751"/>
              </a:moveTo>
              <a:lnTo>
                <a:pt x="186220" y="71246"/>
              </a:lnTo>
            </a:path>
            <a:path w="601980" h="381000">
              <a:moveTo>
                <a:pt x="380009" y="108038"/>
              </a:moveTo>
              <a:lnTo>
                <a:pt x="387654" y="112471"/>
              </a:lnTo>
            </a:path>
            <a:path w="601980" h="381000">
              <a:moveTo>
                <a:pt x="382549" y="379387"/>
              </a:moveTo>
              <a:lnTo>
                <a:pt x="424802" y="371843"/>
              </a:lnTo>
              <a:lnTo>
                <a:pt x="464540" y="360679"/>
              </a:lnTo>
              <a:lnTo>
                <a:pt x="500875" y="346125"/>
              </a:lnTo>
              <a:lnTo>
                <a:pt x="542544" y="322084"/>
              </a:lnTo>
              <a:lnTo>
                <a:pt x="574852" y="293662"/>
              </a:lnTo>
              <a:lnTo>
                <a:pt x="596493" y="262039"/>
              </a:lnTo>
              <a:lnTo>
                <a:pt x="600138" y="253784"/>
              </a:lnTo>
            </a:path>
            <a:path w="601980" h="381000">
              <a:moveTo>
                <a:pt x="469226" y="225818"/>
              </a:moveTo>
              <a:lnTo>
                <a:pt x="365975" y="166179"/>
              </a:lnTo>
            </a:path>
            <a:path w="601980" h="381000">
              <a:moveTo>
                <a:pt x="446290" y="119837"/>
              </a:moveTo>
              <a:lnTo>
                <a:pt x="365975" y="166192"/>
              </a:lnTo>
            </a:path>
            <a:path w="601980" h="381000">
              <a:moveTo>
                <a:pt x="312432" y="197091"/>
              </a:moveTo>
              <a:lnTo>
                <a:pt x="232117" y="243471"/>
              </a:lnTo>
            </a:path>
            <a:path w="601980" h="381000">
              <a:moveTo>
                <a:pt x="312432" y="197091"/>
              </a:moveTo>
              <a:lnTo>
                <a:pt x="415671" y="256730"/>
              </a:lnTo>
            </a:path>
            <a:path w="601980" h="381000">
              <a:moveTo>
                <a:pt x="415709" y="256717"/>
              </a:moveTo>
              <a:lnTo>
                <a:pt x="469239" y="225818"/>
              </a:lnTo>
            </a:path>
            <a:path w="601980" h="381000">
              <a:moveTo>
                <a:pt x="315633" y="368223"/>
              </a:moveTo>
              <a:lnTo>
                <a:pt x="331548" y="374963"/>
              </a:lnTo>
              <a:lnTo>
                <a:pt x="348219" y="379106"/>
              </a:lnTo>
              <a:lnTo>
                <a:pt x="365326" y="380598"/>
              </a:lnTo>
              <a:lnTo>
                <a:pt x="382549" y="379387"/>
              </a:lnTo>
            </a:path>
            <a:path w="601980" h="381000">
              <a:moveTo>
                <a:pt x="232117" y="243471"/>
              </a:moveTo>
              <a:lnTo>
                <a:pt x="221836" y="251918"/>
              </a:lnTo>
              <a:lnTo>
                <a:pt x="213966" y="262428"/>
              </a:lnTo>
              <a:lnTo>
                <a:pt x="208797" y="274502"/>
              </a:lnTo>
              <a:lnTo>
                <a:pt x="206616" y="287642"/>
              </a:lnTo>
            </a:path>
            <a:path w="601980" h="381000">
              <a:moveTo>
                <a:pt x="206616" y="287616"/>
              </a:moveTo>
              <a:lnTo>
                <a:pt x="206616" y="305295"/>
              </a:lnTo>
            </a:path>
            <a:path w="601980" h="381000">
              <a:moveTo>
                <a:pt x="206616" y="305295"/>
              </a:moveTo>
              <a:lnTo>
                <a:pt x="315633" y="368249"/>
              </a:lnTo>
            </a:path>
            <a:path w="601980" h="381000">
              <a:moveTo>
                <a:pt x="373621" y="179438"/>
              </a:moveTo>
              <a:lnTo>
                <a:pt x="373621" y="185343"/>
              </a:lnTo>
            </a:path>
            <a:path w="601980" h="381000">
              <a:moveTo>
                <a:pt x="365975" y="189750"/>
              </a:moveTo>
              <a:lnTo>
                <a:pt x="367995" y="191388"/>
              </a:lnTo>
              <a:lnTo>
                <a:pt x="370954" y="191096"/>
              </a:lnTo>
              <a:lnTo>
                <a:pt x="372618" y="189064"/>
              </a:lnTo>
              <a:lnTo>
                <a:pt x="373468" y="188023"/>
              </a:lnTo>
              <a:lnTo>
                <a:pt x="373837" y="186664"/>
              </a:lnTo>
              <a:lnTo>
                <a:pt x="373621" y="185343"/>
              </a:lnTo>
            </a:path>
            <a:path w="601980" h="381000">
              <a:moveTo>
                <a:pt x="365975" y="189750"/>
              </a:moveTo>
              <a:lnTo>
                <a:pt x="365975" y="166192"/>
              </a:lnTo>
            </a:path>
            <a:path w="601980" h="381000">
              <a:moveTo>
                <a:pt x="373621" y="179438"/>
              </a:moveTo>
              <a:lnTo>
                <a:pt x="461581" y="230225"/>
              </a:lnTo>
            </a:path>
            <a:path w="601980" h="381000">
              <a:moveTo>
                <a:pt x="600138" y="253796"/>
              </a:moveTo>
              <a:lnTo>
                <a:pt x="601306" y="250875"/>
              </a:lnTo>
              <a:lnTo>
                <a:pt x="601916" y="247726"/>
              </a:lnTo>
              <a:lnTo>
                <a:pt x="601916" y="244589"/>
              </a:lnTo>
            </a:path>
            <a:path w="601980" h="381000">
              <a:moveTo>
                <a:pt x="464312" y="118033"/>
              </a:moveTo>
              <a:lnTo>
                <a:pt x="458419" y="115354"/>
              </a:lnTo>
              <a:lnTo>
                <a:pt x="451523" y="116039"/>
              </a:lnTo>
              <a:lnTo>
                <a:pt x="446278" y="119837"/>
              </a:lnTo>
            </a:path>
            <a:path w="601980" h="381000">
              <a:moveTo>
                <a:pt x="367245" y="159575"/>
              </a:moveTo>
              <a:lnTo>
                <a:pt x="372338" y="162521"/>
              </a:lnTo>
            </a:path>
            <a:path w="601980" h="381000">
              <a:moveTo>
                <a:pt x="367245" y="150723"/>
              </a:moveTo>
              <a:lnTo>
                <a:pt x="367245" y="159562"/>
              </a:lnTo>
            </a:path>
            <a:path w="601980" h="381000">
              <a:moveTo>
                <a:pt x="372351" y="147789"/>
              </a:moveTo>
              <a:lnTo>
                <a:pt x="367245" y="150723"/>
              </a:lnTo>
            </a:path>
            <a:path w="601980" h="381000">
              <a:moveTo>
                <a:pt x="372351" y="147789"/>
              </a:moveTo>
              <a:lnTo>
                <a:pt x="377456" y="150723"/>
              </a:lnTo>
            </a:path>
            <a:path w="601980" h="381000">
              <a:moveTo>
                <a:pt x="377456" y="150723"/>
              </a:moveTo>
              <a:lnTo>
                <a:pt x="379984" y="158102"/>
              </a:lnTo>
            </a:path>
            <a:path w="601980" h="381000">
              <a:moveTo>
                <a:pt x="418236" y="127190"/>
              </a:moveTo>
              <a:lnTo>
                <a:pt x="420776" y="134531"/>
              </a:lnTo>
            </a:path>
            <a:path w="601980" h="381000">
              <a:moveTo>
                <a:pt x="418236" y="127190"/>
              </a:moveTo>
              <a:lnTo>
                <a:pt x="377456" y="150723"/>
              </a:lnTo>
            </a:path>
            <a:path w="601980" h="381000">
              <a:moveTo>
                <a:pt x="413143" y="124244"/>
              </a:moveTo>
              <a:lnTo>
                <a:pt x="372351" y="147789"/>
              </a:lnTo>
            </a:path>
            <a:path w="601980" h="381000">
              <a:moveTo>
                <a:pt x="413143" y="124244"/>
              </a:moveTo>
              <a:lnTo>
                <a:pt x="418236" y="127190"/>
              </a:lnTo>
            </a:path>
            <a:path w="601980" h="381000">
              <a:moveTo>
                <a:pt x="400392" y="108038"/>
              </a:moveTo>
              <a:lnTo>
                <a:pt x="433539" y="127190"/>
              </a:lnTo>
            </a:path>
            <a:path w="601980" h="381000">
              <a:moveTo>
                <a:pt x="405485" y="105117"/>
              </a:moveTo>
              <a:lnTo>
                <a:pt x="400380" y="108038"/>
              </a:lnTo>
            </a:path>
            <a:path w="601980" h="381000">
              <a:moveTo>
                <a:pt x="400392" y="116878"/>
              </a:moveTo>
              <a:lnTo>
                <a:pt x="413156" y="124244"/>
              </a:lnTo>
            </a:path>
            <a:path w="601980" h="381000">
              <a:moveTo>
                <a:pt x="418236" y="127190"/>
              </a:moveTo>
              <a:lnTo>
                <a:pt x="425894" y="131597"/>
              </a:lnTo>
            </a:path>
            <a:path w="601980" h="381000">
              <a:moveTo>
                <a:pt x="400392" y="108038"/>
              </a:moveTo>
              <a:lnTo>
                <a:pt x="400392" y="116878"/>
              </a:lnTo>
            </a:path>
            <a:path w="601980" h="381000">
              <a:moveTo>
                <a:pt x="418122" y="103860"/>
              </a:moveTo>
              <a:lnTo>
                <a:pt x="413969" y="101993"/>
              </a:lnTo>
              <a:lnTo>
                <a:pt x="409181" y="102476"/>
              </a:lnTo>
              <a:lnTo>
                <a:pt x="405485" y="105117"/>
              </a:lnTo>
            </a:path>
            <a:path w="601980" h="381000">
              <a:moveTo>
                <a:pt x="348119" y="94056"/>
              </a:moveTo>
              <a:lnTo>
                <a:pt x="358330" y="99974"/>
              </a:lnTo>
            </a:path>
            <a:path w="601980" h="381000">
              <a:moveTo>
                <a:pt x="365975" y="91312"/>
              </a:moveTo>
              <a:lnTo>
                <a:pt x="369633" y="93421"/>
              </a:lnTo>
            </a:path>
            <a:path w="601980" h="381000">
              <a:moveTo>
                <a:pt x="369785" y="102184"/>
              </a:moveTo>
              <a:lnTo>
                <a:pt x="372351" y="103657"/>
              </a:lnTo>
            </a:path>
            <a:path w="601980" h="381000">
              <a:moveTo>
                <a:pt x="344297" y="96278"/>
              </a:moveTo>
              <a:lnTo>
                <a:pt x="372338" y="112483"/>
              </a:lnTo>
            </a:path>
            <a:path w="601980" h="381000">
              <a:moveTo>
                <a:pt x="600138" y="236118"/>
              </a:moveTo>
              <a:lnTo>
                <a:pt x="600138" y="253796"/>
              </a:lnTo>
            </a:path>
            <a:path w="601980" h="381000">
              <a:moveTo>
                <a:pt x="600138" y="236118"/>
              </a:moveTo>
              <a:lnTo>
                <a:pt x="601306" y="233210"/>
              </a:lnTo>
              <a:lnTo>
                <a:pt x="601916" y="230073"/>
              </a:lnTo>
              <a:lnTo>
                <a:pt x="601916" y="226923"/>
              </a:lnTo>
            </a:path>
            <a:path w="601980" h="381000">
              <a:moveTo>
                <a:pt x="373621" y="185331"/>
              </a:moveTo>
              <a:lnTo>
                <a:pt x="378739" y="182397"/>
              </a:lnTo>
            </a:path>
            <a:path w="601980" h="381000">
              <a:moveTo>
                <a:pt x="130149" y="243471"/>
              </a:moveTo>
              <a:lnTo>
                <a:pt x="21120" y="180530"/>
              </a:lnTo>
            </a:path>
            <a:path w="601980" h="381000">
              <a:moveTo>
                <a:pt x="46621" y="136397"/>
              </a:moveTo>
              <a:lnTo>
                <a:pt x="36339" y="144833"/>
              </a:lnTo>
              <a:lnTo>
                <a:pt x="28470" y="155332"/>
              </a:lnTo>
              <a:lnTo>
                <a:pt x="23300" y="167400"/>
              </a:lnTo>
              <a:lnTo>
                <a:pt x="21120" y="180543"/>
              </a:lnTo>
            </a:path>
            <a:path w="601980" h="381000">
              <a:moveTo>
                <a:pt x="46621" y="136397"/>
              </a:moveTo>
              <a:lnTo>
                <a:pt x="155625" y="199326"/>
              </a:lnTo>
            </a:path>
            <a:path w="601980" h="381000">
              <a:moveTo>
                <a:pt x="21120" y="180543"/>
              </a:moveTo>
              <a:lnTo>
                <a:pt x="21120" y="198221"/>
              </a:lnTo>
            </a:path>
            <a:path w="601980" h="381000">
              <a:moveTo>
                <a:pt x="36969" y="117068"/>
              </a:moveTo>
              <a:lnTo>
                <a:pt x="34721" y="125031"/>
              </a:lnTo>
              <a:lnTo>
                <a:pt x="38912" y="133375"/>
              </a:lnTo>
              <a:lnTo>
                <a:pt x="46609" y="136372"/>
              </a:lnTo>
            </a:path>
            <a:path w="601980" h="381000">
              <a:moveTo>
                <a:pt x="227317" y="7162"/>
              </a:moveTo>
              <a:lnTo>
                <a:pt x="188645" y="14147"/>
              </a:lnTo>
              <a:lnTo>
                <a:pt x="141033" y="28841"/>
              </a:lnTo>
              <a:lnTo>
                <a:pt x="99923" y="49034"/>
              </a:lnTo>
              <a:lnTo>
                <a:pt x="67195" y="73812"/>
              </a:lnTo>
              <a:lnTo>
                <a:pt x="40284" y="109486"/>
              </a:lnTo>
              <a:lnTo>
                <a:pt x="36969" y="117068"/>
              </a:lnTo>
            </a:path>
            <a:path w="601980" h="381000">
              <a:moveTo>
                <a:pt x="260794" y="12750"/>
              </a:moveTo>
              <a:lnTo>
                <a:pt x="252836" y="9375"/>
              </a:lnTo>
              <a:lnTo>
                <a:pt x="244498" y="7304"/>
              </a:lnTo>
              <a:lnTo>
                <a:pt x="235939" y="6558"/>
              </a:lnTo>
              <a:lnTo>
                <a:pt x="227317" y="7162"/>
              </a:lnTo>
            </a:path>
            <a:path w="601980" h="381000">
              <a:moveTo>
                <a:pt x="369785" y="75679"/>
              </a:moveTo>
              <a:lnTo>
                <a:pt x="260781" y="12750"/>
              </a:lnTo>
            </a:path>
            <a:path w="601980" h="381000">
              <a:moveTo>
                <a:pt x="0" y="151117"/>
              </a:moveTo>
              <a:lnTo>
                <a:pt x="2171" y="160396"/>
              </a:lnTo>
              <a:lnTo>
                <a:pt x="6607" y="168663"/>
              </a:lnTo>
              <a:lnTo>
                <a:pt x="13019" y="175514"/>
              </a:lnTo>
              <a:lnTo>
                <a:pt x="21120" y="180543"/>
              </a:lnTo>
            </a:path>
            <a:path w="601980" h="381000">
              <a:moveTo>
                <a:pt x="278815" y="10960"/>
              </a:moveTo>
              <a:lnTo>
                <a:pt x="272923" y="8267"/>
              </a:lnTo>
              <a:lnTo>
                <a:pt x="266026" y="8953"/>
              </a:lnTo>
              <a:lnTo>
                <a:pt x="260781" y="12763"/>
              </a:lnTo>
            </a:path>
            <a:path w="601980" h="381000">
              <a:moveTo>
                <a:pt x="600138" y="236118"/>
              </a:moveTo>
              <a:lnTo>
                <a:pt x="574852" y="276009"/>
              </a:lnTo>
              <a:lnTo>
                <a:pt x="542544" y="304431"/>
              </a:lnTo>
              <a:lnTo>
                <a:pt x="500875" y="328472"/>
              </a:lnTo>
              <a:lnTo>
                <a:pt x="464540" y="343001"/>
              </a:lnTo>
              <a:lnTo>
                <a:pt x="424802" y="354190"/>
              </a:lnTo>
              <a:lnTo>
                <a:pt x="396875" y="359613"/>
              </a:lnTo>
              <a:lnTo>
                <a:pt x="382549" y="361721"/>
              </a:lnTo>
            </a:path>
            <a:path w="601980" h="381000">
              <a:moveTo>
                <a:pt x="382549" y="361721"/>
              </a:moveTo>
              <a:lnTo>
                <a:pt x="382080" y="349072"/>
              </a:lnTo>
              <a:lnTo>
                <a:pt x="380588" y="336524"/>
              </a:lnTo>
              <a:lnTo>
                <a:pt x="378089" y="324138"/>
              </a:lnTo>
              <a:lnTo>
                <a:pt x="374599" y="311975"/>
              </a:lnTo>
            </a:path>
            <a:path w="601980" h="381000">
              <a:moveTo>
                <a:pt x="374599" y="311975"/>
              </a:moveTo>
              <a:lnTo>
                <a:pt x="413270" y="304990"/>
              </a:lnTo>
              <a:lnTo>
                <a:pt x="460895" y="290309"/>
              </a:lnTo>
              <a:lnTo>
                <a:pt x="501980" y="270103"/>
              </a:lnTo>
              <a:lnTo>
                <a:pt x="534720" y="245325"/>
              </a:lnTo>
              <a:lnTo>
                <a:pt x="561619" y="209651"/>
              </a:lnTo>
              <a:lnTo>
                <a:pt x="564946" y="202069"/>
              </a:lnTo>
            </a:path>
            <a:path w="601980" h="381000">
              <a:moveTo>
                <a:pt x="315633" y="350545"/>
              </a:moveTo>
              <a:lnTo>
                <a:pt x="331548" y="357302"/>
              </a:lnTo>
              <a:lnTo>
                <a:pt x="348219" y="361448"/>
              </a:lnTo>
              <a:lnTo>
                <a:pt x="365326" y="362936"/>
              </a:lnTo>
              <a:lnTo>
                <a:pt x="382549" y="361721"/>
              </a:lnTo>
            </a:path>
            <a:path w="601980" h="381000">
              <a:moveTo>
                <a:pt x="341134" y="306374"/>
              </a:moveTo>
              <a:lnTo>
                <a:pt x="330847" y="314839"/>
              </a:lnTo>
              <a:lnTo>
                <a:pt x="322978" y="325350"/>
              </a:lnTo>
              <a:lnTo>
                <a:pt x="317812" y="337416"/>
              </a:lnTo>
              <a:lnTo>
                <a:pt x="315633" y="350545"/>
              </a:lnTo>
            </a:path>
            <a:path w="601980" h="381000">
              <a:moveTo>
                <a:pt x="341134" y="306374"/>
              </a:moveTo>
              <a:lnTo>
                <a:pt x="349090" y="309744"/>
              </a:lnTo>
              <a:lnTo>
                <a:pt x="357424" y="311818"/>
              </a:lnTo>
              <a:lnTo>
                <a:pt x="365978" y="312570"/>
              </a:lnTo>
              <a:lnTo>
                <a:pt x="374599" y="311975"/>
              </a:lnTo>
            </a:path>
            <a:path w="601980" h="381000">
              <a:moveTo>
                <a:pt x="232117" y="243471"/>
              </a:moveTo>
              <a:lnTo>
                <a:pt x="341134" y="306400"/>
              </a:lnTo>
            </a:path>
            <a:path w="601980" h="381000">
              <a:moveTo>
                <a:pt x="315633" y="350545"/>
              </a:moveTo>
              <a:lnTo>
                <a:pt x="315633" y="368249"/>
              </a:lnTo>
            </a:path>
            <a:path w="601980" h="381000">
              <a:moveTo>
                <a:pt x="315633" y="350545"/>
              </a:moveTo>
              <a:lnTo>
                <a:pt x="206616" y="287616"/>
              </a:lnTo>
            </a:path>
            <a:path w="601980" h="381000">
              <a:moveTo>
                <a:pt x="555307" y="182740"/>
              </a:moveTo>
              <a:lnTo>
                <a:pt x="446278" y="119837"/>
              </a:lnTo>
            </a:path>
            <a:path w="601980" h="381000">
              <a:moveTo>
                <a:pt x="564972" y="202069"/>
              </a:moveTo>
              <a:lnTo>
                <a:pt x="567182" y="194106"/>
              </a:lnTo>
              <a:lnTo>
                <a:pt x="563003" y="185762"/>
              </a:lnTo>
              <a:lnTo>
                <a:pt x="555307" y="182765"/>
              </a:lnTo>
            </a:path>
            <a:path w="601980" h="381000">
              <a:moveTo>
                <a:pt x="573366" y="180987"/>
              </a:moveTo>
              <a:lnTo>
                <a:pt x="567461" y="178269"/>
              </a:lnTo>
              <a:lnTo>
                <a:pt x="560565" y="178955"/>
              </a:lnTo>
              <a:lnTo>
                <a:pt x="555307" y="182740"/>
              </a:lnTo>
            </a:path>
            <a:path w="601980" h="381000">
              <a:moveTo>
                <a:pt x="600138" y="236118"/>
              </a:moveTo>
              <a:lnTo>
                <a:pt x="596331" y="223293"/>
              </a:lnTo>
              <a:lnTo>
                <a:pt x="588633" y="212798"/>
              </a:lnTo>
              <a:lnTo>
                <a:pt x="577891" y="205450"/>
              </a:lnTo>
              <a:lnTo>
                <a:pt x="564946" y="202069"/>
              </a:lnTo>
            </a:path>
            <a:path w="601980" h="381000">
              <a:moveTo>
                <a:pt x="405485" y="105117"/>
              </a:moveTo>
              <a:lnTo>
                <a:pt x="438619" y="124244"/>
              </a:lnTo>
            </a:path>
            <a:path w="601980" h="381000">
              <a:moveTo>
                <a:pt x="369785" y="84505"/>
              </a:moveTo>
              <a:lnTo>
                <a:pt x="387654" y="94818"/>
              </a:lnTo>
            </a:path>
            <a:path w="601980" h="381000">
              <a:moveTo>
                <a:pt x="196430" y="231686"/>
              </a:moveTo>
              <a:lnTo>
                <a:pt x="155625" y="208127"/>
              </a:lnTo>
            </a:path>
            <a:path w="601980" h="381000">
              <a:moveTo>
                <a:pt x="178587" y="262610"/>
              </a:moveTo>
              <a:lnTo>
                <a:pt x="137782" y="239052"/>
              </a:lnTo>
            </a:path>
            <a:path w="601980" h="381000">
              <a:moveTo>
                <a:pt x="36969" y="117068"/>
              </a:moveTo>
              <a:lnTo>
                <a:pt x="26850" y="116649"/>
              </a:lnTo>
              <a:lnTo>
                <a:pt x="17389" y="119460"/>
              </a:lnTo>
              <a:lnTo>
                <a:pt x="9323" y="125146"/>
              </a:lnTo>
              <a:lnTo>
                <a:pt x="3390" y="133349"/>
              </a:lnTo>
            </a:path>
            <a:path w="601980" h="381000">
              <a:moveTo>
                <a:pt x="222643" y="838"/>
              </a:moveTo>
              <a:lnTo>
                <a:pt x="223012" y="850"/>
              </a:lnTo>
              <a:lnTo>
                <a:pt x="224002" y="1371"/>
              </a:lnTo>
              <a:lnTo>
                <a:pt x="225069" y="2641"/>
              </a:lnTo>
              <a:lnTo>
                <a:pt x="226199" y="4559"/>
              </a:lnTo>
              <a:lnTo>
                <a:pt x="227317" y="7150"/>
              </a:lnTo>
            </a:path>
            <a:path w="601980" h="381000">
              <a:moveTo>
                <a:pt x="382549" y="361721"/>
              </a:moveTo>
              <a:lnTo>
                <a:pt x="382549" y="379387"/>
              </a:lnTo>
            </a:path>
          </a:pathLst>
        </a:custGeom>
        <a:ln w="4191">
          <a:solidFill>
            <a:srgbClr val="000000"/>
          </a:solidFill>
        </a:ln>
      </xdr:spPr>
    </xdr:sp>
    <xdr:clientData/>
  </xdr:absoluteAnchor>
  <xdr:absoluteAnchor>
    <xdr:pos x="208521" y="283331220"/>
    <xdr:ext cx="890511" cy="2339999"/>
    <xdr:pic>
      <xdr:nvPicPr>
        <xdr:cNvPr id="384" name="image307.png">
          <a:extLst>
            <a:ext uri="{FF2B5EF4-FFF2-40B4-BE49-F238E27FC236}">
              <a16:creationId xmlns:a16="http://schemas.microsoft.com/office/drawing/2014/main" id="{6CB14A5C-B1F4-4B40-9226-03980BB68671}"/>
            </a:ext>
          </a:extLst>
        </xdr:cNvPr>
        <xdr:cNvPicPr>
          <a:picLocks noChangeAspect="1"/>
        </xdr:cNvPicPr>
      </xdr:nvPicPr>
      <xdr:blipFill>
        <a:blip xmlns:r="http://schemas.openxmlformats.org/officeDocument/2006/relationships" r:embed="rId127">
          <a:extLst>
            <a:ext uri="{28A0092B-C50C-407E-A947-70E740481C1C}">
              <a14:useLocalDpi xmlns:a14="http://schemas.microsoft.com/office/drawing/2010/main" val="0"/>
            </a:ext>
          </a:extLst>
        </a:blip>
        <a:stretch>
          <a:fillRect/>
        </a:stretch>
      </xdr:blipFill>
      <xdr:spPr>
        <a:xfrm>
          <a:off x="208521" y="283331220"/>
          <a:ext cx="890511" cy="2339999"/>
        </a:xfrm>
        <a:prstGeom prst="rect">
          <a:avLst/>
        </a:prstGeom>
      </xdr:spPr>
    </xdr:pic>
    <xdr:clientData/>
  </xdr:absoluteAnchor>
  <xdr:absoluteAnchor>
    <xdr:pos x="1482843" y="287541865"/>
    <xdr:ext cx="806450" cy="1913255"/>
    <xdr:grpSp>
      <xdr:nvGrpSpPr>
        <xdr:cNvPr id="385" name="Group 1135">
          <a:extLst>
            <a:ext uri="{FF2B5EF4-FFF2-40B4-BE49-F238E27FC236}">
              <a16:creationId xmlns:a16="http://schemas.microsoft.com/office/drawing/2014/main" id="{59E85110-9218-40D0-8A64-457B75F53740}"/>
            </a:ext>
          </a:extLst>
        </xdr:cNvPr>
        <xdr:cNvGrpSpPr/>
      </xdr:nvGrpSpPr>
      <xdr:grpSpPr>
        <a:xfrm>
          <a:off x="1482843" y="287541865"/>
          <a:ext cx="806450" cy="1913255"/>
          <a:chOff x="0" y="0"/>
          <a:chExt cx="806450" cy="1913255"/>
        </a:xfrm>
      </xdr:grpSpPr>
      <xdr:sp macro="" textlink="">
        <xdr:nvSpPr>
          <xdr:cNvPr id="386" name="Shape 1136">
            <a:extLst>
              <a:ext uri="{FF2B5EF4-FFF2-40B4-BE49-F238E27FC236}">
                <a16:creationId xmlns:a16="http://schemas.microsoft.com/office/drawing/2014/main" id="{080CCABD-E4ED-A42E-47B0-06BAE1AD00A4}"/>
              </a:ext>
            </a:extLst>
          </xdr:cNvPr>
          <xdr:cNvSpPr/>
        </xdr:nvSpPr>
        <xdr:spPr>
          <a:xfrm>
            <a:off x="135558" y="273390"/>
            <a:ext cx="549275" cy="1637030"/>
          </a:xfrm>
          <a:custGeom>
            <a:avLst/>
            <a:gdLst/>
            <a:ahLst/>
            <a:cxnLst/>
            <a:rect l="0" t="0" r="0" b="0"/>
            <a:pathLst>
              <a:path w="549275" h="1637030">
                <a:moveTo>
                  <a:pt x="0" y="1145870"/>
                </a:moveTo>
                <a:lnTo>
                  <a:pt x="93446" y="1052410"/>
                </a:lnTo>
              </a:path>
              <a:path w="549275" h="1637030">
                <a:moveTo>
                  <a:pt x="0" y="1075702"/>
                </a:moveTo>
                <a:lnTo>
                  <a:pt x="93446" y="982243"/>
                </a:lnTo>
              </a:path>
              <a:path w="549275" h="1637030">
                <a:moveTo>
                  <a:pt x="0" y="1005560"/>
                </a:moveTo>
                <a:lnTo>
                  <a:pt x="93446" y="912075"/>
                </a:lnTo>
              </a:path>
              <a:path w="549275" h="1637030">
                <a:moveTo>
                  <a:pt x="0" y="935380"/>
                </a:moveTo>
                <a:lnTo>
                  <a:pt x="93446" y="841921"/>
                </a:lnTo>
              </a:path>
              <a:path w="549275" h="1637030">
                <a:moveTo>
                  <a:pt x="0" y="865225"/>
                </a:moveTo>
                <a:lnTo>
                  <a:pt x="93446" y="771766"/>
                </a:lnTo>
              </a:path>
              <a:path w="549275" h="1637030">
                <a:moveTo>
                  <a:pt x="0" y="795058"/>
                </a:moveTo>
                <a:lnTo>
                  <a:pt x="93446" y="701598"/>
                </a:lnTo>
              </a:path>
              <a:path w="549275" h="1637030">
                <a:moveTo>
                  <a:pt x="0" y="724890"/>
                </a:moveTo>
                <a:lnTo>
                  <a:pt x="93446" y="631444"/>
                </a:lnTo>
              </a:path>
              <a:path w="549275" h="1637030">
                <a:moveTo>
                  <a:pt x="0" y="654748"/>
                </a:moveTo>
                <a:lnTo>
                  <a:pt x="93446" y="561289"/>
                </a:lnTo>
              </a:path>
              <a:path w="549275" h="1637030">
                <a:moveTo>
                  <a:pt x="0" y="584581"/>
                </a:moveTo>
                <a:lnTo>
                  <a:pt x="93446" y="491121"/>
                </a:lnTo>
              </a:path>
              <a:path w="549275" h="1637030">
                <a:moveTo>
                  <a:pt x="0" y="514426"/>
                </a:moveTo>
                <a:lnTo>
                  <a:pt x="93446" y="420966"/>
                </a:lnTo>
              </a:path>
              <a:path w="549275" h="1637030">
                <a:moveTo>
                  <a:pt x="0" y="444258"/>
                </a:moveTo>
                <a:lnTo>
                  <a:pt x="93446" y="350799"/>
                </a:lnTo>
              </a:path>
              <a:path w="549275" h="1637030">
                <a:moveTo>
                  <a:pt x="0" y="374091"/>
                </a:moveTo>
                <a:lnTo>
                  <a:pt x="93446" y="280644"/>
                </a:lnTo>
              </a:path>
              <a:path w="549275" h="1637030">
                <a:moveTo>
                  <a:pt x="0" y="303936"/>
                </a:moveTo>
                <a:lnTo>
                  <a:pt x="93446" y="210477"/>
                </a:lnTo>
              </a:path>
              <a:path w="549275" h="1637030">
                <a:moveTo>
                  <a:pt x="0" y="233781"/>
                </a:moveTo>
                <a:lnTo>
                  <a:pt x="93446" y="140322"/>
                </a:lnTo>
              </a:path>
              <a:path w="549275" h="1637030">
                <a:moveTo>
                  <a:pt x="0" y="163614"/>
                </a:moveTo>
                <a:lnTo>
                  <a:pt x="55003" y="108623"/>
                </a:lnTo>
              </a:path>
              <a:path w="549275" h="1637030">
                <a:moveTo>
                  <a:pt x="0" y="1216025"/>
                </a:moveTo>
                <a:lnTo>
                  <a:pt x="93446" y="1122578"/>
                </a:lnTo>
              </a:path>
              <a:path w="549275" h="1637030">
                <a:moveTo>
                  <a:pt x="0" y="1286179"/>
                </a:moveTo>
                <a:lnTo>
                  <a:pt x="93446" y="1192745"/>
                </a:lnTo>
              </a:path>
              <a:path w="549275" h="1637030">
                <a:moveTo>
                  <a:pt x="0" y="1356347"/>
                </a:moveTo>
                <a:lnTo>
                  <a:pt x="93446" y="1262888"/>
                </a:lnTo>
              </a:path>
              <a:path w="549275" h="1637030">
                <a:moveTo>
                  <a:pt x="0" y="1426514"/>
                </a:moveTo>
                <a:lnTo>
                  <a:pt x="93446" y="1333042"/>
                </a:lnTo>
              </a:path>
              <a:path w="549275" h="1637030">
                <a:moveTo>
                  <a:pt x="0" y="1496669"/>
                </a:moveTo>
                <a:lnTo>
                  <a:pt x="93446" y="1403222"/>
                </a:lnTo>
              </a:path>
              <a:path w="549275" h="1637030">
                <a:moveTo>
                  <a:pt x="0" y="1566837"/>
                </a:moveTo>
                <a:lnTo>
                  <a:pt x="93446" y="1473365"/>
                </a:lnTo>
              </a:path>
              <a:path w="549275" h="1637030">
                <a:moveTo>
                  <a:pt x="127" y="1636864"/>
                </a:moveTo>
                <a:lnTo>
                  <a:pt x="93446" y="1543532"/>
                </a:lnTo>
              </a:path>
              <a:path w="549275" h="1637030">
                <a:moveTo>
                  <a:pt x="70269" y="1636864"/>
                </a:moveTo>
                <a:lnTo>
                  <a:pt x="147815" y="1559306"/>
                </a:lnTo>
              </a:path>
              <a:path w="549275" h="1637030">
                <a:moveTo>
                  <a:pt x="140436" y="1636864"/>
                </a:moveTo>
                <a:lnTo>
                  <a:pt x="217970" y="1559306"/>
                </a:lnTo>
              </a:path>
              <a:path w="549275" h="1637030">
                <a:moveTo>
                  <a:pt x="210591" y="1636864"/>
                </a:moveTo>
                <a:lnTo>
                  <a:pt x="288124" y="1559306"/>
                </a:lnTo>
              </a:path>
              <a:path w="549275" h="1637030">
                <a:moveTo>
                  <a:pt x="280746" y="1636864"/>
                </a:moveTo>
                <a:lnTo>
                  <a:pt x="358305" y="1559306"/>
                </a:lnTo>
              </a:path>
              <a:path w="549275" h="1637030">
                <a:moveTo>
                  <a:pt x="350913" y="1636864"/>
                </a:moveTo>
                <a:lnTo>
                  <a:pt x="428447" y="1559306"/>
                </a:lnTo>
              </a:path>
              <a:path w="549275" h="1637030">
                <a:moveTo>
                  <a:pt x="421068" y="1636864"/>
                </a:moveTo>
                <a:lnTo>
                  <a:pt x="498627" y="1559306"/>
                </a:lnTo>
              </a:path>
              <a:path w="549275" h="1637030">
                <a:moveTo>
                  <a:pt x="491248" y="1636864"/>
                </a:moveTo>
                <a:lnTo>
                  <a:pt x="548766" y="1579333"/>
                </a:lnTo>
              </a:path>
              <a:path w="549275" h="1637030">
                <a:moveTo>
                  <a:pt x="0" y="163614"/>
                </a:moveTo>
                <a:lnTo>
                  <a:pt x="93446" y="70167"/>
                </a:lnTo>
              </a:path>
              <a:path w="549275" h="1637030">
                <a:moveTo>
                  <a:pt x="0" y="93459"/>
                </a:moveTo>
                <a:lnTo>
                  <a:pt x="93446" y="0"/>
                </a:lnTo>
              </a:path>
              <a:path w="549275" h="1637030">
                <a:moveTo>
                  <a:pt x="354698" y="1432788"/>
                </a:moveTo>
                <a:lnTo>
                  <a:pt x="354698" y="682485"/>
                </a:lnTo>
              </a:path>
              <a:path w="549275" h="1637030">
                <a:moveTo>
                  <a:pt x="305079" y="1306779"/>
                </a:moveTo>
                <a:lnTo>
                  <a:pt x="305079" y="682485"/>
                </a:lnTo>
              </a:path>
              <a:path w="549275" h="1637030">
                <a:moveTo>
                  <a:pt x="281266" y="1306779"/>
                </a:moveTo>
                <a:lnTo>
                  <a:pt x="281266" y="682485"/>
                </a:lnTo>
              </a:path>
              <a:path w="549275" h="1637030">
                <a:moveTo>
                  <a:pt x="231660" y="1306779"/>
                </a:moveTo>
                <a:lnTo>
                  <a:pt x="231660" y="682485"/>
                </a:lnTo>
              </a:path>
              <a:path w="549275" h="1637030">
                <a:moveTo>
                  <a:pt x="207860" y="1306779"/>
                </a:moveTo>
                <a:lnTo>
                  <a:pt x="207860" y="1227607"/>
                </a:lnTo>
              </a:path>
            </a:pathLst>
          </a:custGeom>
          <a:ln w="5092">
            <a:solidFill>
              <a:srgbClr val="000000"/>
            </a:solidFill>
          </a:ln>
        </xdr:spPr>
      </xdr:sp>
      <xdr:pic>
        <xdr:nvPicPr>
          <xdr:cNvPr id="387" name="image308.png">
            <a:extLst>
              <a:ext uri="{FF2B5EF4-FFF2-40B4-BE49-F238E27FC236}">
                <a16:creationId xmlns:a16="http://schemas.microsoft.com/office/drawing/2014/main" id="{6C1F61DE-1961-C83D-C426-04C4536EDF95}"/>
              </a:ext>
            </a:extLst>
          </xdr:cNvPr>
          <xdr:cNvPicPr>
            <a:picLocks noChangeAspect="1"/>
          </xdr:cNvPicPr>
        </xdr:nvPicPr>
        <xdr:blipFill>
          <a:blip xmlns:r="http://schemas.openxmlformats.org/officeDocument/2006/relationships" r:embed="rId128">
            <a:extLst>
              <a:ext uri="{28A0092B-C50C-407E-A947-70E740481C1C}">
                <a14:useLocalDpi xmlns:a14="http://schemas.microsoft.com/office/drawing/2010/main" val="0"/>
              </a:ext>
            </a:extLst>
          </a:blip>
          <a:stretch>
            <a:fillRect/>
          </a:stretch>
        </xdr:blipFill>
        <xdr:spPr>
          <a:xfrm>
            <a:off x="332922" y="1577623"/>
            <a:ext cx="159880" cy="155905"/>
          </a:xfrm>
          <a:prstGeom prst="rect">
            <a:avLst/>
          </a:prstGeom>
        </xdr:spPr>
      </xdr:pic>
      <xdr:sp macro="" textlink="">
        <xdr:nvSpPr>
          <xdr:cNvPr id="388" name="Shape 1138">
            <a:extLst>
              <a:ext uri="{FF2B5EF4-FFF2-40B4-BE49-F238E27FC236}">
                <a16:creationId xmlns:a16="http://schemas.microsoft.com/office/drawing/2014/main" id="{D80A9834-38D6-86C8-D0D4-9F474E532409}"/>
              </a:ext>
            </a:extLst>
          </xdr:cNvPr>
          <xdr:cNvSpPr/>
        </xdr:nvSpPr>
        <xdr:spPr>
          <a:xfrm>
            <a:off x="343419" y="366671"/>
            <a:ext cx="147320" cy="589280"/>
          </a:xfrm>
          <a:custGeom>
            <a:avLst/>
            <a:gdLst/>
            <a:ahLst/>
            <a:cxnLst/>
            <a:rect l="0" t="0" r="0" b="0"/>
            <a:pathLst>
              <a:path w="147320" h="589280">
                <a:moveTo>
                  <a:pt x="146837" y="589203"/>
                </a:moveTo>
                <a:lnTo>
                  <a:pt x="146837" y="0"/>
                </a:lnTo>
              </a:path>
              <a:path w="147320" h="589280">
                <a:moveTo>
                  <a:pt x="0" y="589203"/>
                </a:moveTo>
                <a:lnTo>
                  <a:pt x="0" y="266712"/>
                </a:lnTo>
              </a:path>
              <a:path w="147320" h="589280">
                <a:moveTo>
                  <a:pt x="23799" y="589203"/>
                </a:moveTo>
                <a:lnTo>
                  <a:pt x="23799" y="126022"/>
                </a:lnTo>
              </a:path>
              <a:path w="147320" h="589280">
                <a:moveTo>
                  <a:pt x="73406" y="589203"/>
                </a:moveTo>
                <a:lnTo>
                  <a:pt x="73406" y="126022"/>
                </a:lnTo>
              </a:path>
              <a:path w="147320" h="589280">
                <a:moveTo>
                  <a:pt x="97218" y="589203"/>
                </a:moveTo>
                <a:lnTo>
                  <a:pt x="97218" y="126022"/>
                </a:lnTo>
              </a:path>
            </a:pathLst>
          </a:custGeom>
          <a:ln w="5092">
            <a:solidFill>
              <a:srgbClr val="000000"/>
            </a:solidFill>
          </a:ln>
        </xdr:spPr>
      </xdr:sp>
      <xdr:pic>
        <xdr:nvPicPr>
          <xdr:cNvPr id="389" name="image289.png">
            <a:extLst>
              <a:ext uri="{FF2B5EF4-FFF2-40B4-BE49-F238E27FC236}">
                <a16:creationId xmlns:a16="http://schemas.microsoft.com/office/drawing/2014/main" id="{DD526F73-E461-75D7-F6EC-F9B96022A84E}"/>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291254" y="339322"/>
            <a:ext cx="201549" cy="155917"/>
          </a:xfrm>
          <a:prstGeom prst="rect">
            <a:avLst/>
          </a:prstGeom>
        </xdr:spPr>
      </xdr:pic>
      <xdr:sp macro="" textlink="">
        <xdr:nvSpPr>
          <xdr:cNvPr id="390" name="Shape 1140">
            <a:extLst>
              <a:ext uri="{FF2B5EF4-FFF2-40B4-BE49-F238E27FC236}">
                <a16:creationId xmlns:a16="http://schemas.microsoft.com/office/drawing/2014/main" id="{DA8E10DB-558B-34CB-2844-667FAFE3E4F4}"/>
              </a:ext>
            </a:extLst>
          </xdr:cNvPr>
          <xdr:cNvSpPr/>
        </xdr:nvSpPr>
        <xdr:spPr>
          <a:xfrm>
            <a:off x="293800" y="492694"/>
            <a:ext cx="50165" cy="1233170"/>
          </a:xfrm>
          <a:custGeom>
            <a:avLst/>
            <a:gdLst/>
            <a:ahLst/>
            <a:cxnLst/>
            <a:rect l="0" t="0" r="0" b="0"/>
            <a:pathLst>
              <a:path w="50165" h="1233170">
                <a:moveTo>
                  <a:pt x="49618" y="79171"/>
                </a:moveTo>
                <a:lnTo>
                  <a:pt x="49618" y="0"/>
                </a:lnTo>
              </a:path>
              <a:path w="50165" h="1233170">
                <a:moveTo>
                  <a:pt x="0" y="1213485"/>
                </a:moveTo>
                <a:lnTo>
                  <a:pt x="0" y="1221066"/>
                </a:lnTo>
                <a:lnTo>
                  <a:pt x="3467" y="1228217"/>
                </a:lnTo>
                <a:lnTo>
                  <a:pt x="9410" y="1232916"/>
                </a:lnTo>
              </a:path>
              <a:path w="50165" h="1233170">
                <a:moveTo>
                  <a:pt x="49618" y="946772"/>
                </a:moveTo>
                <a:lnTo>
                  <a:pt x="49618" y="463181"/>
                </a:lnTo>
              </a:path>
            </a:pathLst>
          </a:custGeom>
          <a:ln w="5092">
            <a:solidFill>
              <a:srgbClr val="000000"/>
            </a:solidFill>
          </a:ln>
        </xdr:spPr>
      </xdr:sp>
      <xdr:pic>
        <xdr:nvPicPr>
          <xdr:cNvPr id="391" name="image290.png">
            <a:extLst>
              <a:ext uri="{FF2B5EF4-FFF2-40B4-BE49-F238E27FC236}">
                <a16:creationId xmlns:a16="http://schemas.microsoft.com/office/drawing/2014/main" id="{05F16DB7-5F78-A731-F978-DD11E5D407AE}"/>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233405" y="569320"/>
            <a:ext cx="121373" cy="66611"/>
          </a:xfrm>
          <a:prstGeom prst="rect">
            <a:avLst/>
          </a:prstGeom>
        </xdr:spPr>
      </xdr:pic>
      <xdr:pic>
        <xdr:nvPicPr>
          <xdr:cNvPr id="392" name="image291.png">
            <a:extLst>
              <a:ext uri="{FF2B5EF4-FFF2-40B4-BE49-F238E27FC236}">
                <a16:creationId xmlns:a16="http://schemas.microsoft.com/office/drawing/2014/main" id="{957D66C0-7DE4-DDD2-8538-CE250D87499B}"/>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233400" y="1436921"/>
            <a:ext cx="121386" cy="66624"/>
          </a:xfrm>
          <a:prstGeom prst="rect">
            <a:avLst/>
          </a:prstGeom>
        </xdr:spPr>
      </xdr:pic>
      <xdr:sp macro="" textlink="">
        <xdr:nvSpPr>
          <xdr:cNvPr id="393" name="Shape 1143">
            <a:extLst>
              <a:ext uri="{FF2B5EF4-FFF2-40B4-BE49-F238E27FC236}">
                <a16:creationId xmlns:a16="http://schemas.microsoft.com/office/drawing/2014/main" id="{26E6D5B1-DD61-21B3-C9EB-3BC176C9E592}"/>
              </a:ext>
            </a:extLst>
          </xdr:cNvPr>
          <xdr:cNvSpPr/>
        </xdr:nvSpPr>
        <xdr:spPr>
          <a:xfrm>
            <a:off x="5772" y="64044"/>
            <a:ext cx="800735" cy="1848485"/>
          </a:xfrm>
          <a:custGeom>
            <a:avLst/>
            <a:gdLst/>
            <a:ahLst/>
            <a:cxnLst/>
            <a:rect l="0" t="0" r="0" b="0"/>
            <a:pathLst>
              <a:path w="800735" h="1848485">
                <a:moveTo>
                  <a:pt x="230174" y="1628825"/>
                </a:moveTo>
                <a:lnTo>
                  <a:pt x="232749" y="1641571"/>
                </a:lnTo>
                <a:lnTo>
                  <a:pt x="239769" y="1651977"/>
                </a:lnTo>
                <a:lnTo>
                  <a:pt x="250180" y="1658993"/>
                </a:lnTo>
                <a:lnTo>
                  <a:pt x="262928" y="1661566"/>
                </a:lnTo>
              </a:path>
              <a:path w="800735" h="1848485">
                <a:moveTo>
                  <a:pt x="223227" y="1627428"/>
                </a:moveTo>
                <a:lnTo>
                  <a:pt x="226346" y="1642879"/>
                </a:lnTo>
                <a:lnTo>
                  <a:pt x="234851" y="1655498"/>
                </a:lnTo>
                <a:lnTo>
                  <a:pt x="247466" y="1664008"/>
                </a:lnTo>
                <a:lnTo>
                  <a:pt x="262915" y="1667128"/>
                </a:lnTo>
              </a:path>
              <a:path w="800735" h="1848485">
                <a:moveTo>
                  <a:pt x="223227" y="1634388"/>
                </a:moveTo>
                <a:lnTo>
                  <a:pt x="226348" y="1649837"/>
                </a:lnTo>
                <a:lnTo>
                  <a:pt x="234857" y="1662452"/>
                </a:lnTo>
                <a:lnTo>
                  <a:pt x="247477" y="1670957"/>
                </a:lnTo>
                <a:lnTo>
                  <a:pt x="262928" y="1674075"/>
                </a:lnTo>
              </a:path>
              <a:path w="800735" h="1848485">
                <a:moveTo>
                  <a:pt x="230174" y="1297050"/>
                </a:moveTo>
                <a:lnTo>
                  <a:pt x="223227" y="1297050"/>
                </a:lnTo>
              </a:path>
              <a:path w="800735" h="1848485">
                <a:moveTo>
                  <a:pt x="267881" y="536257"/>
                </a:moveTo>
                <a:lnTo>
                  <a:pt x="267182" y="533704"/>
                </a:lnTo>
              </a:path>
              <a:path w="800735" h="1848485">
                <a:moveTo>
                  <a:pt x="253987" y="543471"/>
                </a:moveTo>
                <a:lnTo>
                  <a:pt x="251307" y="533704"/>
                </a:lnTo>
              </a:path>
              <a:path w="800735" h="1848485">
                <a:moveTo>
                  <a:pt x="257962" y="543471"/>
                </a:moveTo>
                <a:lnTo>
                  <a:pt x="255269" y="533704"/>
                </a:lnTo>
              </a:path>
              <a:path w="800735" h="1848485">
                <a:moveTo>
                  <a:pt x="261924" y="543471"/>
                </a:moveTo>
                <a:lnTo>
                  <a:pt x="259257" y="533704"/>
                </a:lnTo>
              </a:path>
              <a:path w="800735" h="1848485">
                <a:moveTo>
                  <a:pt x="265899" y="543471"/>
                </a:moveTo>
                <a:lnTo>
                  <a:pt x="263207" y="533704"/>
                </a:lnTo>
              </a:path>
              <a:path w="800735" h="1848485">
                <a:moveTo>
                  <a:pt x="242087" y="543471"/>
                </a:moveTo>
                <a:lnTo>
                  <a:pt x="239394" y="533704"/>
                </a:lnTo>
              </a:path>
              <a:path w="800735" h="1848485">
                <a:moveTo>
                  <a:pt x="250024" y="543471"/>
                </a:moveTo>
                <a:lnTo>
                  <a:pt x="247345" y="533704"/>
                </a:lnTo>
              </a:path>
              <a:path w="800735" h="1848485">
                <a:moveTo>
                  <a:pt x="246049" y="543471"/>
                </a:moveTo>
                <a:lnTo>
                  <a:pt x="243357" y="533704"/>
                </a:lnTo>
              </a:path>
              <a:path w="800735" h="1848485">
                <a:moveTo>
                  <a:pt x="246049" y="1401292"/>
                </a:moveTo>
                <a:lnTo>
                  <a:pt x="243357" y="1411071"/>
                </a:lnTo>
              </a:path>
              <a:path w="800735" h="1848485">
                <a:moveTo>
                  <a:pt x="250024" y="1401292"/>
                </a:moveTo>
                <a:lnTo>
                  <a:pt x="247345" y="1411071"/>
                </a:lnTo>
              </a:path>
              <a:path w="800735" h="1848485">
                <a:moveTo>
                  <a:pt x="242087" y="1401292"/>
                </a:moveTo>
                <a:lnTo>
                  <a:pt x="239394" y="1411071"/>
                </a:lnTo>
              </a:path>
              <a:path w="800735" h="1848485">
                <a:moveTo>
                  <a:pt x="265899" y="1401292"/>
                </a:moveTo>
                <a:lnTo>
                  <a:pt x="263207" y="1411071"/>
                </a:lnTo>
              </a:path>
              <a:path w="800735" h="1848485">
                <a:moveTo>
                  <a:pt x="261924" y="1401292"/>
                </a:moveTo>
                <a:lnTo>
                  <a:pt x="259257" y="1411071"/>
                </a:lnTo>
              </a:path>
              <a:path w="800735" h="1848485">
                <a:moveTo>
                  <a:pt x="257962" y="1401292"/>
                </a:moveTo>
                <a:lnTo>
                  <a:pt x="255269" y="1411071"/>
                </a:lnTo>
              </a:path>
              <a:path w="800735" h="1848485">
                <a:moveTo>
                  <a:pt x="253987" y="1401292"/>
                </a:moveTo>
                <a:lnTo>
                  <a:pt x="251307" y="1411071"/>
                </a:lnTo>
              </a:path>
              <a:path w="800735" h="1848485">
                <a:moveTo>
                  <a:pt x="267881" y="1408506"/>
                </a:moveTo>
                <a:lnTo>
                  <a:pt x="267182" y="1411071"/>
                </a:lnTo>
              </a:path>
              <a:path w="800735" h="1848485">
                <a:moveTo>
                  <a:pt x="386257" y="277787"/>
                </a:moveTo>
                <a:lnTo>
                  <a:pt x="386257" y="0"/>
                </a:lnTo>
              </a:path>
              <a:path w="800735" h="1848485">
                <a:moveTo>
                  <a:pt x="262928" y="39700"/>
                </a:moveTo>
                <a:lnTo>
                  <a:pt x="346570" y="39700"/>
                </a:lnTo>
              </a:path>
              <a:path w="800735" h="1848485">
                <a:moveTo>
                  <a:pt x="256971" y="39700"/>
                </a:moveTo>
                <a:lnTo>
                  <a:pt x="269443" y="39700"/>
                </a:lnTo>
              </a:path>
              <a:path w="800735" h="1848485">
                <a:moveTo>
                  <a:pt x="352526" y="39700"/>
                </a:moveTo>
                <a:lnTo>
                  <a:pt x="340017" y="39700"/>
                </a:lnTo>
              </a:path>
              <a:path w="800735" h="1848485">
                <a:moveTo>
                  <a:pt x="327698" y="158762"/>
                </a:moveTo>
                <a:lnTo>
                  <a:pt x="367411" y="158762"/>
                </a:lnTo>
              </a:path>
              <a:path w="800735" h="1848485">
                <a:moveTo>
                  <a:pt x="183553" y="158762"/>
                </a:moveTo>
                <a:lnTo>
                  <a:pt x="0" y="158762"/>
                </a:lnTo>
              </a:path>
              <a:path w="800735" h="1848485">
                <a:moveTo>
                  <a:pt x="288035" y="158762"/>
                </a:moveTo>
                <a:lnTo>
                  <a:pt x="223227" y="158762"/>
                </a:lnTo>
              </a:path>
              <a:path w="800735" h="1848485">
                <a:moveTo>
                  <a:pt x="321754" y="158762"/>
                </a:moveTo>
                <a:lnTo>
                  <a:pt x="334238" y="158762"/>
                </a:lnTo>
              </a:path>
              <a:path w="800735" h="1848485">
                <a:moveTo>
                  <a:pt x="189509" y="158762"/>
                </a:moveTo>
                <a:lnTo>
                  <a:pt x="177012" y="158762"/>
                </a:lnTo>
              </a:path>
              <a:path w="800735" h="1848485">
                <a:moveTo>
                  <a:pt x="682536" y="1768652"/>
                </a:moveTo>
                <a:lnTo>
                  <a:pt x="800265" y="1768652"/>
                </a:lnTo>
              </a:path>
              <a:path w="800735" h="1848485">
                <a:moveTo>
                  <a:pt x="760590" y="1808352"/>
                </a:moveTo>
                <a:lnTo>
                  <a:pt x="760590" y="1848053"/>
                </a:lnTo>
              </a:path>
              <a:path w="800735" h="1848485">
                <a:moveTo>
                  <a:pt x="760590" y="1629790"/>
                </a:moveTo>
                <a:lnTo>
                  <a:pt x="760590" y="1186395"/>
                </a:lnTo>
              </a:path>
              <a:path w="800735" h="1848485">
                <a:moveTo>
                  <a:pt x="760590" y="1768652"/>
                </a:moveTo>
                <a:lnTo>
                  <a:pt x="760590" y="1669478"/>
                </a:lnTo>
              </a:path>
              <a:path w="800735" h="1848485">
                <a:moveTo>
                  <a:pt x="760590" y="1802409"/>
                </a:moveTo>
                <a:lnTo>
                  <a:pt x="760590" y="1814880"/>
                </a:lnTo>
              </a:path>
              <a:path w="800735" h="1848485">
                <a:moveTo>
                  <a:pt x="760590" y="1635772"/>
                </a:moveTo>
                <a:lnTo>
                  <a:pt x="760590" y="1623263"/>
                </a:lnTo>
              </a:path>
              <a:path w="800735" h="1848485">
                <a:moveTo>
                  <a:pt x="223227" y="1768652"/>
                </a:moveTo>
                <a:lnTo>
                  <a:pt x="678548" y="1768652"/>
                </a:lnTo>
              </a:path>
              <a:path w="800735" h="1848485">
                <a:moveTo>
                  <a:pt x="223227" y="1768652"/>
                </a:moveTo>
                <a:lnTo>
                  <a:pt x="678548" y="1768652"/>
                </a:lnTo>
              </a:path>
            </a:pathLst>
          </a:custGeom>
          <a:ln w="5092">
            <a:solidFill>
              <a:srgbClr val="000000"/>
            </a:solidFill>
          </a:ln>
        </xdr:spPr>
      </xdr:sp>
      <xdr:sp macro="" textlink="">
        <xdr:nvSpPr>
          <xdr:cNvPr id="394" name="Shape 1144">
            <a:extLst>
              <a:ext uri="{FF2B5EF4-FFF2-40B4-BE49-F238E27FC236}">
                <a16:creationId xmlns:a16="http://schemas.microsoft.com/office/drawing/2014/main" id="{C18FD403-3E9B-81CB-DD2D-528F00D610C3}"/>
              </a:ext>
            </a:extLst>
          </xdr:cNvPr>
          <xdr:cNvSpPr/>
        </xdr:nvSpPr>
        <xdr:spPr>
          <a:xfrm>
            <a:off x="244466" y="594810"/>
            <a:ext cx="48260" cy="15875"/>
          </a:xfrm>
          <a:custGeom>
            <a:avLst/>
            <a:gdLst/>
            <a:ahLst/>
            <a:cxnLst/>
            <a:rect l="0" t="0" r="0" b="0"/>
            <a:pathLst>
              <a:path w="48260" h="15875">
                <a:moveTo>
                  <a:pt x="39115" y="15633"/>
                </a:moveTo>
                <a:lnTo>
                  <a:pt x="47904" y="15633"/>
                </a:lnTo>
              </a:path>
              <a:path w="48260" h="15875">
                <a:moveTo>
                  <a:pt x="0" y="12700"/>
                </a:moveTo>
                <a:lnTo>
                  <a:pt x="29184" y="12700"/>
                </a:lnTo>
              </a:path>
              <a:path w="48260" h="15875">
                <a:moveTo>
                  <a:pt x="39115" y="0"/>
                </a:moveTo>
                <a:lnTo>
                  <a:pt x="47904" y="0"/>
                </a:lnTo>
              </a:path>
              <a:path w="48260" h="15875">
                <a:moveTo>
                  <a:pt x="0" y="2933"/>
                </a:moveTo>
                <a:lnTo>
                  <a:pt x="29184" y="2933"/>
                </a:lnTo>
              </a:path>
            </a:pathLst>
          </a:custGeom>
          <a:ln w="5092">
            <a:solidFill>
              <a:srgbClr val="000000"/>
            </a:solidFill>
          </a:ln>
        </xdr:spPr>
      </xdr:sp>
      <xdr:sp macro="" textlink="">
        <xdr:nvSpPr>
          <xdr:cNvPr id="395" name="Shape 1145">
            <a:extLst>
              <a:ext uri="{FF2B5EF4-FFF2-40B4-BE49-F238E27FC236}">
                <a16:creationId xmlns:a16="http://schemas.microsoft.com/office/drawing/2014/main" id="{92754B77-EE69-E38A-ADD7-567ACB67F27F}"/>
              </a:ext>
            </a:extLst>
          </xdr:cNvPr>
          <xdr:cNvSpPr/>
        </xdr:nvSpPr>
        <xdr:spPr>
          <a:xfrm>
            <a:off x="244475" y="1462421"/>
            <a:ext cx="48260" cy="15875"/>
          </a:xfrm>
          <a:custGeom>
            <a:avLst/>
            <a:gdLst/>
            <a:ahLst/>
            <a:cxnLst/>
            <a:rect l="0" t="0" r="0" b="0"/>
            <a:pathLst>
              <a:path w="48260" h="15875">
                <a:moveTo>
                  <a:pt x="39103" y="15620"/>
                </a:moveTo>
                <a:lnTo>
                  <a:pt x="39103" y="0"/>
                </a:lnTo>
              </a:path>
              <a:path w="48260" h="15875">
                <a:moveTo>
                  <a:pt x="0" y="12699"/>
                </a:moveTo>
                <a:lnTo>
                  <a:pt x="29184" y="12699"/>
                </a:lnTo>
              </a:path>
              <a:path w="48260" h="15875">
                <a:moveTo>
                  <a:pt x="39103" y="15620"/>
                </a:moveTo>
                <a:lnTo>
                  <a:pt x="47891" y="15620"/>
                </a:lnTo>
              </a:path>
              <a:path w="48260" h="15875">
                <a:moveTo>
                  <a:pt x="0" y="2920"/>
                </a:moveTo>
                <a:lnTo>
                  <a:pt x="29184" y="2920"/>
                </a:lnTo>
              </a:path>
              <a:path w="48260" h="15875">
                <a:moveTo>
                  <a:pt x="39103" y="0"/>
                </a:moveTo>
                <a:lnTo>
                  <a:pt x="47891" y="0"/>
                </a:lnTo>
              </a:path>
            </a:pathLst>
          </a:custGeom>
          <a:ln w="5092">
            <a:solidFill>
              <a:srgbClr val="000000"/>
            </a:solidFill>
          </a:ln>
        </xdr:spPr>
      </xdr:sp>
      <xdr:sp macro="" textlink="">
        <xdr:nvSpPr>
          <xdr:cNvPr id="396" name="Shape 1146">
            <a:extLst>
              <a:ext uri="{FF2B5EF4-FFF2-40B4-BE49-F238E27FC236}">
                <a16:creationId xmlns:a16="http://schemas.microsoft.com/office/drawing/2014/main" id="{0DFC89B2-B32B-C607-7264-EA26005C6563}"/>
              </a:ext>
            </a:extLst>
          </xdr:cNvPr>
          <xdr:cNvSpPr/>
        </xdr:nvSpPr>
        <xdr:spPr>
          <a:xfrm>
            <a:off x="156840" y="91122"/>
            <a:ext cx="622300" cy="1814195"/>
          </a:xfrm>
          <a:custGeom>
            <a:avLst/>
            <a:gdLst/>
            <a:ahLst/>
            <a:cxnLst/>
            <a:rect l="0" t="0" r="0" b="0"/>
            <a:pathLst>
              <a:path w="622300" h="1814195">
                <a:moveTo>
                  <a:pt x="72161" y="131686"/>
                </a:moveTo>
                <a:lnTo>
                  <a:pt x="0" y="119062"/>
                </a:lnTo>
                <a:lnTo>
                  <a:pt x="0" y="144322"/>
                </a:lnTo>
                <a:lnTo>
                  <a:pt x="72161" y="131686"/>
                </a:lnTo>
                <a:close/>
              </a:path>
              <a:path w="622300" h="1814195">
                <a:moveTo>
                  <a:pt x="144310" y="0"/>
                </a:moveTo>
                <a:lnTo>
                  <a:pt x="72148" y="12623"/>
                </a:lnTo>
                <a:lnTo>
                  <a:pt x="144310" y="25247"/>
                </a:lnTo>
                <a:lnTo>
                  <a:pt x="144310" y="0"/>
                </a:lnTo>
                <a:close/>
              </a:path>
              <a:path w="622300" h="1814195">
                <a:moveTo>
                  <a:pt x="209118" y="119062"/>
                </a:moveTo>
                <a:lnTo>
                  <a:pt x="136956" y="131699"/>
                </a:lnTo>
                <a:lnTo>
                  <a:pt x="209118" y="144322"/>
                </a:lnTo>
                <a:lnTo>
                  <a:pt x="209118" y="119062"/>
                </a:lnTo>
                <a:close/>
              </a:path>
              <a:path w="622300" h="1814195">
                <a:moveTo>
                  <a:pt x="235191" y="12623"/>
                </a:moveTo>
                <a:lnTo>
                  <a:pt x="163029" y="0"/>
                </a:lnTo>
                <a:lnTo>
                  <a:pt x="163029" y="25247"/>
                </a:lnTo>
                <a:lnTo>
                  <a:pt x="235191" y="12623"/>
                </a:lnTo>
                <a:close/>
              </a:path>
              <a:path w="622300" h="1814195">
                <a:moveTo>
                  <a:pt x="622134" y="1813737"/>
                </a:moveTo>
                <a:lnTo>
                  <a:pt x="609536" y="1741589"/>
                </a:lnTo>
                <a:lnTo>
                  <a:pt x="596887" y="1813737"/>
                </a:lnTo>
                <a:lnTo>
                  <a:pt x="622134" y="1813737"/>
                </a:lnTo>
                <a:close/>
              </a:path>
              <a:path w="622300" h="1814195">
                <a:moveTo>
                  <a:pt x="622134" y="1570253"/>
                </a:moveTo>
                <a:lnTo>
                  <a:pt x="596887" y="1570253"/>
                </a:lnTo>
                <a:lnTo>
                  <a:pt x="609536" y="1642402"/>
                </a:lnTo>
                <a:lnTo>
                  <a:pt x="622134" y="1570253"/>
                </a:lnTo>
                <a:close/>
              </a:path>
            </a:pathLst>
          </a:custGeom>
          <a:solidFill>
            <a:srgbClr val="000000"/>
          </a:solidFill>
        </xdr:spPr>
      </xdr:sp>
      <xdr:pic>
        <xdr:nvPicPr>
          <xdr:cNvPr id="397" name="image309.png">
            <a:extLst>
              <a:ext uri="{FF2B5EF4-FFF2-40B4-BE49-F238E27FC236}">
                <a16:creationId xmlns:a16="http://schemas.microsoft.com/office/drawing/2014/main" id="{14825D04-C20A-A807-1107-12E878AC6CE1}"/>
              </a:ext>
            </a:extLst>
          </xdr:cNvPr>
          <xdr:cNvPicPr>
            <a:picLocks noChangeAspect="1"/>
          </xdr:cNvPicPr>
        </xdr:nvPicPr>
        <xdr:blipFill>
          <a:blip xmlns:r="http://schemas.openxmlformats.org/officeDocument/2006/relationships" r:embed="rId129">
            <a:extLst>
              <a:ext uri="{28A0092B-C50C-407E-A947-70E740481C1C}">
                <a14:useLocalDpi xmlns:a14="http://schemas.microsoft.com/office/drawing/2010/main" val="0"/>
              </a:ext>
            </a:extLst>
          </a:blip>
          <a:stretch>
            <a:fillRect/>
          </a:stretch>
        </xdr:blipFill>
        <xdr:spPr>
          <a:xfrm>
            <a:off x="670593" y="1457680"/>
            <a:ext cx="72661" cy="179282"/>
          </a:xfrm>
          <a:prstGeom prst="rect">
            <a:avLst/>
          </a:prstGeom>
        </xdr:spPr>
      </xdr:pic>
      <xdr:sp macro="" textlink="">
        <xdr:nvSpPr>
          <xdr:cNvPr id="398" name="Shape 1148">
            <a:extLst>
              <a:ext uri="{FF2B5EF4-FFF2-40B4-BE49-F238E27FC236}">
                <a16:creationId xmlns:a16="http://schemas.microsoft.com/office/drawing/2014/main" id="{30F1269A-A224-A70A-1D6D-401E27F2AE20}"/>
              </a:ext>
            </a:extLst>
          </xdr:cNvPr>
          <xdr:cNvSpPr/>
        </xdr:nvSpPr>
        <xdr:spPr>
          <a:xfrm>
            <a:off x="-4" y="0"/>
            <a:ext cx="744855" cy="1412240"/>
          </a:xfrm>
          <a:custGeom>
            <a:avLst/>
            <a:gdLst/>
            <a:ahLst/>
            <a:cxnLst/>
            <a:rect l="0" t="0" r="0" b="0"/>
            <a:pathLst>
              <a:path w="744855" h="1412240">
                <a:moveTo>
                  <a:pt x="91795" y="112382"/>
                </a:moveTo>
                <a:lnTo>
                  <a:pt x="82130" y="112382"/>
                </a:lnTo>
                <a:lnTo>
                  <a:pt x="67373" y="172821"/>
                </a:lnTo>
                <a:lnTo>
                  <a:pt x="67170" y="172821"/>
                </a:lnTo>
                <a:lnTo>
                  <a:pt x="51079" y="112382"/>
                </a:lnTo>
                <a:lnTo>
                  <a:pt x="40601" y="112382"/>
                </a:lnTo>
                <a:lnTo>
                  <a:pt x="24320" y="172821"/>
                </a:lnTo>
                <a:lnTo>
                  <a:pt x="24130" y="172821"/>
                </a:lnTo>
                <a:lnTo>
                  <a:pt x="9867" y="112382"/>
                </a:lnTo>
                <a:lnTo>
                  <a:pt x="0" y="112382"/>
                </a:lnTo>
                <a:lnTo>
                  <a:pt x="18630" y="185039"/>
                </a:lnTo>
                <a:lnTo>
                  <a:pt x="28702" y="185039"/>
                </a:lnTo>
                <a:lnTo>
                  <a:pt x="45491" y="123977"/>
                </a:lnTo>
                <a:lnTo>
                  <a:pt x="45694" y="123977"/>
                </a:lnTo>
                <a:lnTo>
                  <a:pt x="62280" y="185039"/>
                </a:lnTo>
                <a:lnTo>
                  <a:pt x="72364" y="185039"/>
                </a:lnTo>
                <a:lnTo>
                  <a:pt x="91795" y="112382"/>
                </a:lnTo>
                <a:close/>
              </a:path>
              <a:path w="744855" h="1412240">
                <a:moveTo>
                  <a:pt x="157403" y="185039"/>
                </a:moveTo>
                <a:lnTo>
                  <a:pt x="148844" y="163156"/>
                </a:lnTo>
                <a:lnTo>
                  <a:pt x="145669" y="155016"/>
                </a:lnTo>
                <a:lnTo>
                  <a:pt x="135724" y="129590"/>
                </a:lnTo>
                <a:lnTo>
                  <a:pt x="135724" y="155016"/>
                </a:lnTo>
                <a:lnTo>
                  <a:pt x="111099" y="155016"/>
                </a:lnTo>
                <a:lnTo>
                  <a:pt x="123405" y="121132"/>
                </a:lnTo>
                <a:lnTo>
                  <a:pt x="123621" y="121132"/>
                </a:lnTo>
                <a:lnTo>
                  <a:pt x="135724" y="155016"/>
                </a:lnTo>
                <a:lnTo>
                  <a:pt x="135724" y="129590"/>
                </a:lnTo>
                <a:lnTo>
                  <a:pt x="132422" y="121132"/>
                </a:lnTo>
                <a:lnTo>
                  <a:pt x="129006" y="112382"/>
                </a:lnTo>
                <a:lnTo>
                  <a:pt x="118325" y="112382"/>
                </a:lnTo>
                <a:lnTo>
                  <a:pt x="89928" y="185039"/>
                </a:lnTo>
                <a:lnTo>
                  <a:pt x="99898" y="185039"/>
                </a:lnTo>
                <a:lnTo>
                  <a:pt x="108038" y="163156"/>
                </a:lnTo>
                <a:lnTo>
                  <a:pt x="138785" y="163156"/>
                </a:lnTo>
                <a:lnTo>
                  <a:pt x="146710" y="185039"/>
                </a:lnTo>
                <a:lnTo>
                  <a:pt x="157403" y="185039"/>
                </a:lnTo>
                <a:close/>
              </a:path>
              <a:path w="744855" h="1412240">
                <a:moveTo>
                  <a:pt x="342480" y="30988"/>
                </a:moveTo>
                <a:lnTo>
                  <a:pt x="340169" y="15709"/>
                </a:lnTo>
                <a:lnTo>
                  <a:pt x="333413" y="4914"/>
                </a:lnTo>
                <a:lnTo>
                  <a:pt x="332803" y="4559"/>
                </a:lnTo>
                <a:lnTo>
                  <a:pt x="332803" y="32321"/>
                </a:lnTo>
                <a:lnTo>
                  <a:pt x="329907" y="48082"/>
                </a:lnTo>
                <a:lnTo>
                  <a:pt x="323062" y="56654"/>
                </a:lnTo>
                <a:lnTo>
                  <a:pt x="314985" y="60210"/>
                </a:lnTo>
                <a:lnTo>
                  <a:pt x="308381" y="60909"/>
                </a:lnTo>
                <a:lnTo>
                  <a:pt x="292290" y="60909"/>
                </a:lnTo>
                <a:lnTo>
                  <a:pt x="292290" y="4533"/>
                </a:lnTo>
                <a:lnTo>
                  <a:pt x="308571" y="4533"/>
                </a:lnTo>
                <a:lnTo>
                  <a:pt x="319874" y="6438"/>
                </a:lnTo>
                <a:lnTo>
                  <a:pt x="327367" y="11938"/>
                </a:lnTo>
                <a:lnTo>
                  <a:pt x="331520" y="20675"/>
                </a:lnTo>
                <a:lnTo>
                  <a:pt x="332803" y="32321"/>
                </a:lnTo>
                <a:lnTo>
                  <a:pt x="332803" y="4559"/>
                </a:lnTo>
                <a:lnTo>
                  <a:pt x="325018" y="0"/>
                </a:lnTo>
                <a:lnTo>
                  <a:pt x="282625" y="0"/>
                </a:lnTo>
                <a:lnTo>
                  <a:pt x="282625" y="69049"/>
                </a:lnTo>
                <a:lnTo>
                  <a:pt x="307568" y="69049"/>
                </a:lnTo>
                <a:lnTo>
                  <a:pt x="323240" y="66522"/>
                </a:lnTo>
                <a:lnTo>
                  <a:pt x="331495" y="60909"/>
                </a:lnTo>
                <a:lnTo>
                  <a:pt x="334098" y="59143"/>
                </a:lnTo>
                <a:lnTo>
                  <a:pt x="340423" y="47193"/>
                </a:lnTo>
                <a:lnTo>
                  <a:pt x="342480" y="30988"/>
                </a:lnTo>
                <a:close/>
              </a:path>
              <a:path w="744855" h="1412240">
                <a:moveTo>
                  <a:pt x="743254" y="1384579"/>
                </a:moveTo>
                <a:lnTo>
                  <a:pt x="671118" y="1384579"/>
                </a:lnTo>
                <a:lnTo>
                  <a:pt x="671118" y="1391196"/>
                </a:lnTo>
                <a:lnTo>
                  <a:pt x="682015" y="1393126"/>
                </a:lnTo>
                <a:lnTo>
                  <a:pt x="684644" y="1402080"/>
                </a:lnTo>
                <a:lnTo>
                  <a:pt x="684644" y="1411973"/>
                </a:lnTo>
                <a:lnTo>
                  <a:pt x="691578" y="1411973"/>
                </a:lnTo>
                <a:lnTo>
                  <a:pt x="691578" y="1393228"/>
                </a:lnTo>
                <a:lnTo>
                  <a:pt x="743254" y="1393228"/>
                </a:lnTo>
                <a:lnTo>
                  <a:pt x="743254" y="1384579"/>
                </a:lnTo>
                <a:close/>
              </a:path>
              <a:path w="744855" h="1412240">
                <a:moveTo>
                  <a:pt x="744474" y="1335913"/>
                </a:moveTo>
                <a:lnTo>
                  <a:pt x="741057" y="1322933"/>
                </a:lnTo>
                <a:lnTo>
                  <a:pt x="740981" y="1322628"/>
                </a:lnTo>
                <a:lnTo>
                  <a:pt x="739025" y="1321041"/>
                </a:lnTo>
                <a:lnTo>
                  <a:pt x="736841" y="1319276"/>
                </a:lnTo>
                <a:lnTo>
                  <a:pt x="736841" y="1335913"/>
                </a:lnTo>
                <a:lnTo>
                  <a:pt x="733806" y="1344460"/>
                </a:lnTo>
                <a:lnTo>
                  <a:pt x="726338" y="1348867"/>
                </a:lnTo>
                <a:lnTo>
                  <a:pt x="716838" y="1350518"/>
                </a:lnTo>
                <a:lnTo>
                  <a:pt x="707758" y="1350772"/>
                </a:lnTo>
                <a:lnTo>
                  <a:pt x="698715" y="1350518"/>
                </a:lnTo>
                <a:lnTo>
                  <a:pt x="689241" y="1348867"/>
                </a:lnTo>
                <a:lnTo>
                  <a:pt x="681774" y="1344460"/>
                </a:lnTo>
                <a:lnTo>
                  <a:pt x="678751" y="1335913"/>
                </a:lnTo>
                <a:lnTo>
                  <a:pt x="681774" y="1327365"/>
                </a:lnTo>
                <a:lnTo>
                  <a:pt x="689241" y="1322933"/>
                </a:lnTo>
                <a:lnTo>
                  <a:pt x="698715" y="1321282"/>
                </a:lnTo>
                <a:lnTo>
                  <a:pt x="707758" y="1321041"/>
                </a:lnTo>
                <a:lnTo>
                  <a:pt x="716838" y="1321282"/>
                </a:lnTo>
                <a:lnTo>
                  <a:pt x="726338" y="1322933"/>
                </a:lnTo>
                <a:lnTo>
                  <a:pt x="733806" y="1327365"/>
                </a:lnTo>
                <a:lnTo>
                  <a:pt x="736841" y="1335913"/>
                </a:lnTo>
                <a:lnTo>
                  <a:pt x="736841" y="1319276"/>
                </a:lnTo>
                <a:lnTo>
                  <a:pt x="732116" y="1315427"/>
                </a:lnTo>
                <a:lnTo>
                  <a:pt x="720267" y="1312468"/>
                </a:lnTo>
                <a:lnTo>
                  <a:pt x="707859" y="1311897"/>
                </a:lnTo>
                <a:lnTo>
                  <a:pt x="695375" y="1312468"/>
                </a:lnTo>
                <a:lnTo>
                  <a:pt x="683488" y="1315427"/>
                </a:lnTo>
                <a:lnTo>
                  <a:pt x="674611" y="1322628"/>
                </a:lnTo>
                <a:lnTo>
                  <a:pt x="671118" y="1335913"/>
                </a:lnTo>
                <a:lnTo>
                  <a:pt x="674522" y="1348867"/>
                </a:lnTo>
                <a:lnTo>
                  <a:pt x="674611" y="1349197"/>
                </a:lnTo>
                <a:lnTo>
                  <a:pt x="683488" y="1356398"/>
                </a:lnTo>
                <a:lnTo>
                  <a:pt x="695375" y="1359357"/>
                </a:lnTo>
                <a:lnTo>
                  <a:pt x="707859" y="1359928"/>
                </a:lnTo>
                <a:lnTo>
                  <a:pt x="720267" y="1359357"/>
                </a:lnTo>
                <a:lnTo>
                  <a:pt x="732116" y="1356398"/>
                </a:lnTo>
                <a:lnTo>
                  <a:pt x="739051" y="1350772"/>
                </a:lnTo>
                <a:lnTo>
                  <a:pt x="740981" y="1349197"/>
                </a:lnTo>
                <a:lnTo>
                  <a:pt x="744474" y="1335913"/>
                </a:lnTo>
                <a:close/>
              </a:path>
              <a:path w="744855" h="1412240">
                <a:moveTo>
                  <a:pt x="744474" y="1279296"/>
                </a:moveTo>
                <a:lnTo>
                  <a:pt x="741070" y="1266329"/>
                </a:lnTo>
                <a:lnTo>
                  <a:pt x="740981" y="1266012"/>
                </a:lnTo>
                <a:lnTo>
                  <a:pt x="739038" y="1264437"/>
                </a:lnTo>
                <a:lnTo>
                  <a:pt x="736841" y="1262659"/>
                </a:lnTo>
                <a:lnTo>
                  <a:pt x="736841" y="1279296"/>
                </a:lnTo>
                <a:lnTo>
                  <a:pt x="733806" y="1287843"/>
                </a:lnTo>
                <a:lnTo>
                  <a:pt x="726338" y="1292250"/>
                </a:lnTo>
                <a:lnTo>
                  <a:pt x="716838" y="1293901"/>
                </a:lnTo>
                <a:lnTo>
                  <a:pt x="707758" y="1294155"/>
                </a:lnTo>
                <a:lnTo>
                  <a:pt x="698715" y="1293901"/>
                </a:lnTo>
                <a:lnTo>
                  <a:pt x="689241" y="1292250"/>
                </a:lnTo>
                <a:lnTo>
                  <a:pt x="681774" y="1287843"/>
                </a:lnTo>
                <a:lnTo>
                  <a:pt x="678751" y="1279296"/>
                </a:lnTo>
                <a:lnTo>
                  <a:pt x="681774" y="1270749"/>
                </a:lnTo>
                <a:lnTo>
                  <a:pt x="689241" y="1266329"/>
                </a:lnTo>
                <a:lnTo>
                  <a:pt x="698715" y="1264678"/>
                </a:lnTo>
                <a:lnTo>
                  <a:pt x="707758" y="1264437"/>
                </a:lnTo>
                <a:lnTo>
                  <a:pt x="716838" y="1264678"/>
                </a:lnTo>
                <a:lnTo>
                  <a:pt x="726338" y="1266329"/>
                </a:lnTo>
                <a:lnTo>
                  <a:pt x="733806" y="1270749"/>
                </a:lnTo>
                <a:lnTo>
                  <a:pt x="736841" y="1279296"/>
                </a:lnTo>
                <a:lnTo>
                  <a:pt x="736841" y="1262659"/>
                </a:lnTo>
                <a:lnTo>
                  <a:pt x="732116" y="1258811"/>
                </a:lnTo>
                <a:lnTo>
                  <a:pt x="720267" y="1255852"/>
                </a:lnTo>
                <a:lnTo>
                  <a:pt x="707859" y="1255280"/>
                </a:lnTo>
                <a:lnTo>
                  <a:pt x="695375" y="1255852"/>
                </a:lnTo>
                <a:lnTo>
                  <a:pt x="683488" y="1258811"/>
                </a:lnTo>
                <a:lnTo>
                  <a:pt x="674611" y="1266012"/>
                </a:lnTo>
                <a:lnTo>
                  <a:pt x="671118" y="1279296"/>
                </a:lnTo>
                <a:lnTo>
                  <a:pt x="674522" y="1292250"/>
                </a:lnTo>
                <a:lnTo>
                  <a:pt x="674611" y="1292580"/>
                </a:lnTo>
                <a:lnTo>
                  <a:pt x="683488" y="1299768"/>
                </a:lnTo>
                <a:lnTo>
                  <a:pt x="695375" y="1302740"/>
                </a:lnTo>
                <a:lnTo>
                  <a:pt x="707859" y="1303312"/>
                </a:lnTo>
                <a:lnTo>
                  <a:pt x="720267" y="1302740"/>
                </a:lnTo>
                <a:lnTo>
                  <a:pt x="732116" y="1299768"/>
                </a:lnTo>
                <a:lnTo>
                  <a:pt x="739038" y="1294155"/>
                </a:lnTo>
                <a:lnTo>
                  <a:pt x="740981" y="1292580"/>
                </a:lnTo>
                <a:lnTo>
                  <a:pt x="744474" y="1279296"/>
                </a:lnTo>
                <a:close/>
              </a:path>
            </a:pathLst>
          </a:custGeom>
          <a:solidFill>
            <a:srgbClr val="000000"/>
          </a:solidFill>
        </xdr:spPr>
      </xdr:sp>
    </xdr:grpSp>
    <xdr:clientData/>
  </xdr:absoluteAnchor>
  <xdr:absoluteAnchor>
    <xdr:pos x="217500" y="287669312"/>
    <xdr:ext cx="873785" cy="2339996"/>
    <xdr:pic>
      <xdr:nvPicPr>
        <xdr:cNvPr id="399" name="image310.png">
          <a:extLst>
            <a:ext uri="{FF2B5EF4-FFF2-40B4-BE49-F238E27FC236}">
              <a16:creationId xmlns:a16="http://schemas.microsoft.com/office/drawing/2014/main" id="{4C7A9681-0857-4AD9-B806-806C670FA520}"/>
            </a:ext>
          </a:extLst>
        </xdr:cNvPr>
        <xdr:cNvPicPr>
          <a:picLocks noChangeAspect="1"/>
        </xdr:cNvPicPr>
      </xdr:nvPicPr>
      <xdr:blipFill>
        <a:blip xmlns:r="http://schemas.openxmlformats.org/officeDocument/2006/relationships" r:embed="rId130">
          <a:extLst>
            <a:ext uri="{28A0092B-C50C-407E-A947-70E740481C1C}">
              <a14:useLocalDpi xmlns:a14="http://schemas.microsoft.com/office/drawing/2010/main" val="0"/>
            </a:ext>
          </a:extLst>
        </a:blip>
        <a:stretch>
          <a:fillRect/>
        </a:stretch>
      </xdr:blipFill>
      <xdr:spPr>
        <a:xfrm>
          <a:off x="217500" y="287669312"/>
          <a:ext cx="873785" cy="2339996"/>
        </a:xfrm>
        <a:prstGeom prst="rect">
          <a:avLst/>
        </a:prstGeom>
      </xdr:spPr>
    </xdr:pic>
    <xdr:clientData/>
  </xdr:absoluteAnchor>
  <xdr:absoluteAnchor>
    <xdr:pos x="177419" y="292167071"/>
    <xdr:ext cx="953998" cy="2340013"/>
    <xdr:pic>
      <xdr:nvPicPr>
        <xdr:cNvPr id="400" name="image293.png">
          <a:extLst>
            <a:ext uri="{FF2B5EF4-FFF2-40B4-BE49-F238E27FC236}">
              <a16:creationId xmlns:a16="http://schemas.microsoft.com/office/drawing/2014/main" id="{85C7069B-081A-4DA0-87BE-170B729C1456}"/>
            </a:ext>
          </a:extLst>
        </xdr:cNvPr>
        <xdr:cNvPicPr>
          <a:picLocks noChangeAspect="1"/>
        </xdr:cNvPicPr>
      </xdr:nvPicPr>
      <xdr:blipFill>
        <a:blip xmlns:r="http://schemas.openxmlformats.org/officeDocument/2006/relationships" r:embed="rId131">
          <a:extLst>
            <a:ext uri="{28A0092B-C50C-407E-A947-70E740481C1C}">
              <a14:useLocalDpi xmlns:a14="http://schemas.microsoft.com/office/drawing/2010/main" val="0"/>
            </a:ext>
          </a:extLst>
        </a:blip>
        <a:stretch>
          <a:fillRect/>
        </a:stretch>
      </xdr:blipFill>
      <xdr:spPr>
        <a:xfrm>
          <a:off x="177419" y="292167071"/>
          <a:ext cx="953998" cy="2340013"/>
        </a:xfrm>
        <a:prstGeom prst="rect">
          <a:avLst/>
        </a:prstGeom>
      </xdr:spPr>
    </xdr:pic>
    <xdr:clientData/>
  </xdr:absoluteAnchor>
  <xdr:absoluteAnchor>
    <xdr:pos x="177406" y="296647989"/>
    <xdr:ext cx="953998" cy="1079995"/>
    <xdr:pic>
      <xdr:nvPicPr>
        <xdr:cNvPr id="401" name="image313.png">
          <a:extLst>
            <a:ext uri="{FF2B5EF4-FFF2-40B4-BE49-F238E27FC236}">
              <a16:creationId xmlns:a16="http://schemas.microsoft.com/office/drawing/2014/main" id="{77AF3A85-889A-4FA5-98B3-8A371FB30B72}"/>
            </a:ext>
          </a:extLst>
        </xdr:cNvPr>
        <xdr:cNvPicPr>
          <a:picLocks noChangeAspect="1"/>
        </xdr:cNvPicPr>
      </xdr:nvPicPr>
      <xdr:blipFill>
        <a:blip xmlns:r="http://schemas.openxmlformats.org/officeDocument/2006/relationships" r:embed="rId132">
          <a:extLst>
            <a:ext uri="{28A0092B-C50C-407E-A947-70E740481C1C}">
              <a14:useLocalDpi xmlns:a14="http://schemas.microsoft.com/office/drawing/2010/main" val="0"/>
            </a:ext>
          </a:extLst>
        </a:blip>
        <a:stretch>
          <a:fillRect/>
        </a:stretch>
      </xdr:blipFill>
      <xdr:spPr>
        <a:xfrm>
          <a:off x="177406" y="296647989"/>
          <a:ext cx="953998" cy="1079995"/>
        </a:xfrm>
        <a:prstGeom prst="rect">
          <a:avLst/>
        </a:prstGeom>
      </xdr:spPr>
    </xdr:pic>
    <xdr:clientData/>
  </xdr:absoluteAnchor>
  <xdr:absoluteAnchor>
    <xdr:pos x="177406" y="298231991"/>
    <xdr:ext cx="953998" cy="1079994"/>
    <xdr:pic>
      <xdr:nvPicPr>
        <xdr:cNvPr id="402" name="image314.png">
          <a:extLst>
            <a:ext uri="{FF2B5EF4-FFF2-40B4-BE49-F238E27FC236}">
              <a16:creationId xmlns:a16="http://schemas.microsoft.com/office/drawing/2014/main" id="{016B6BA4-616F-4C82-BEA3-486174E7D8F7}"/>
            </a:ext>
          </a:extLst>
        </xdr:cNvPr>
        <xdr:cNvPicPr>
          <a:picLocks noChangeAspect="1"/>
        </xdr:cNvPicPr>
      </xdr:nvPicPr>
      <xdr:blipFill>
        <a:blip xmlns:r="http://schemas.openxmlformats.org/officeDocument/2006/relationships" r:embed="rId133">
          <a:extLst>
            <a:ext uri="{28A0092B-C50C-407E-A947-70E740481C1C}">
              <a14:useLocalDpi xmlns:a14="http://schemas.microsoft.com/office/drawing/2010/main" val="0"/>
            </a:ext>
          </a:extLst>
        </a:blip>
        <a:stretch>
          <a:fillRect/>
        </a:stretch>
      </xdr:blipFill>
      <xdr:spPr>
        <a:xfrm>
          <a:off x="177406" y="298231991"/>
          <a:ext cx="953998" cy="1079994"/>
        </a:xfrm>
        <a:prstGeom prst="rect">
          <a:avLst/>
        </a:prstGeom>
      </xdr:spPr>
    </xdr:pic>
    <xdr:clientData/>
  </xdr:absoluteAnchor>
  <xdr:absoluteAnchor>
    <xdr:pos x="177406" y="299527986"/>
    <xdr:ext cx="953998" cy="648004"/>
    <xdr:pic>
      <xdr:nvPicPr>
        <xdr:cNvPr id="403" name="image299.png">
          <a:extLst>
            <a:ext uri="{FF2B5EF4-FFF2-40B4-BE49-F238E27FC236}">
              <a16:creationId xmlns:a16="http://schemas.microsoft.com/office/drawing/2014/main" id="{4236966F-6B8D-4CB9-998C-4CDB75AEC34C}"/>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177406" y="299527986"/>
          <a:ext cx="953998" cy="648004"/>
        </a:xfrm>
        <a:prstGeom prst="rect">
          <a:avLst/>
        </a:prstGeom>
      </xdr:spPr>
    </xdr:pic>
    <xdr:clientData/>
  </xdr:absoluteAnchor>
  <xdr:absoluteAnchor>
    <xdr:pos x="177406" y="301399971"/>
    <xdr:ext cx="953998" cy="648004"/>
    <xdr:pic>
      <xdr:nvPicPr>
        <xdr:cNvPr id="404" name="image301.png">
          <a:extLst>
            <a:ext uri="{FF2B5EF4-FFF2-40B4-BE49-F238E27FC236}">
              <a16:creationId xmlns:a16="http://schemas.microsoft.com/office/drawing/2014/main" id="{12CDD109-3411-484E-8364-9AA6B20B5DB8}"/>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Lst>
        </a:blip>
        <a:stretch>
          <a:fillRect/>
        </a:stretch>
      </xdr:blipFill>
      <xdr:spPr>
        <a:xfrm>
          <a:off x="177406" y="301399971"/>
          <a:ext cx="953998" cy="648004"/>
        </a:xfrm>
        <a:prstGeom prst="rect">
          <a:avLst/>
        </a:prstGeom>
      </xdr:spPr>
    </xdr:pic>
    <xdr:clientData/>
  </xdr:absoluteAnchor>
  <xdr:absoluteAnchor>
    <xdr:pos x="177406" y="306588566"/>
    <xdr:ext cx="953998" cy="2519997"/>
    <xdr:pic>
      <xdr:nvPicPr>
        <xdr:cNvPr id="405" name="image303.png">
          <a:extLst>
            <a:ext uri="{FF2B5EF4-FFF2-40B4-BE49-F238E27FC236}">
              <a16:creationId xmlns:a16="http://schemas.microsoft.com/office/drawing/2014/main" id="{9A2CB670-00CE-47D8-A2E2-CF35F98B86D7}"/>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177406" y="306588566"/>
          <a:ext cx="953998" cy="2519997"/>
        </a:xfrm>
        <a:prstGeom prst="rect">
          <a:avLst/>
        </a:prstGeom>
      </xdr:spPr>
    </xdr:pic>
    <xdr:clientData/>
  </xdr:absoluteAnchor>
  <xdr:absoluteAnchor>
    <xdr:pos x="177406" y="309318223"/>
    <xdr:ext cx="953998" cy="2519997"/>
    <xdr:pic>
      <xdr:nvPicPr>
        <xdr:cNvPr id="406" name="image303.png">
          <a:extLst>
            <a:ext uri="{FF2B5EF4-FFF2-40B4-BE49-F238E27FC236}">
              <a16:creationId xmlns:a16="http://schemas.microsoft.com/office/drawing/2014/main" id="{388B83BE-83AB-47E7-A1E4-ABE3DD7A7760}"/>
            </a:ext>
          </a:extLst>
        </xdr:cNvPr>
        <xdr:cNvPicPr>
          <a:picLocks noChangeAspect="1"/>
        </xdr:cNvPicPr>
      </xdr:nvPicPr>
      <xdr:blipFill>
        <a:blip xmlns:r="http://schemas.openxmlformats.org/officeDocument/2006/relationships" r:embed="rId125">
          <a:extLst>
            <a:ext uri="{28A0092B-C50C-407E-A947-70E740481C1C}">
              <a14:useLocalDpi xmlns:a14="http://schemas.microsoft.com/office/drawing/2010/main" val="0"/>
            </a:ext>
          </a:extLst>
        </a:blip>
        <a:stretch>
          <a:fillRect/>
        </a:stretch>
      </xdr:blipFill>
      <xdr:spPr>
        <a:xfrm>
          <a:off x="177406" y="309318223"/>
          <a:ext cx="953998" cy="2519997"/>
        </a:xfrm>
        <a:prstGeom prst="rect">
          <a:avLst/>
        </a:prstGeom>
      </xdr:spPr>
    </xdr:pic>
    <xdr:clientData/>
  </xdr:absoluteAnchor>
  <xdr:absoluteAnchor>
    <xdr:pos x="177829" y="312054577"/>
    <xdr:ext cx="953135" cy="523240"/>
    <xdr:grpSp>
      <xdr:nvGrpSpPr>
        <xdr:cNvPr id="407" name="Group 1192">
          <a:extLst>
            <a:ext uri="{FF2B5EF4-FFF2-40B4-BE49-F238E27FC236}">
              <a16:creationId xmlns:a16="http://schemas.microsoft.com/office/drawing/2014/main" id="{C890DDB0-068C-4A3E-B238-F4DDF9BEC2F1}"/>
            </a:ext>
          </a:extLst>
        </xdr:cNvPr>
        <xdr:cNvGrpSpPr/>
      </xdr:nvGrpSpPr>
      <xdr:grpSpPr>
        <a:xfrm>
          <a:off x="177829" y="312054577"/>
          <a:ext cx="953135" cy="523240"/>
          <a:chOff x="0" y="0"/>
          <a:chExt cx="953135" cy="523240"/>
        </a:xfrm>
      </xdr:grpSpPr>
      <xdr:sp macro="" textlink="">
        <xdr:nvSpPr>
          <xdr:cNvPr id="408" name="Shape 1193">
            <a:extLst>
              <a:ext uri="{FF2B5EF4-FFF2-40B4-BE49-F238E27FC236}">
                <a16:creationId xmlns:a16="http://schemas.microsoft.com/office/drawing/2014/main" id="{DF830409-0204-D3E8-EAD1-D1ED11D2C5C0}"/>
              </a:ext>
            </a:extLst>
          </xdr:cNvPr>
          <xdr:cNvSpPr/>
        </xdr:nvSpPr>
        <xdr:spPr>
          <a:xfrm>
            <a:off x="250431" y="22540"/>
            <a:ext cx="356235" cy="205740"/>
          </a:xfrm>
          <a:custGeom>
            <a:avLst/>
            <a:gdLst/>
            <a:ahLst/>
            <a:cxnLst/>
            <a:rect l="0" t="0" r="0" b="0"/>
            <a:pathLst>
              <a:path w="356235" h="205740">
                <a:moveTo>
                  <a:pt x="85001" y="80314"/>
                </a:moveTo>
                <a:lnTo>
                  <a:pt x="85001" y="89801"/>
                </a:lnTo>
              </a:path>
              <a:path w="356235" h="205740">
                <a:moveTo>
                  <a:pt x="0" y="205371"/>
                </a:moveTo>
                <a:lnTo>
                  <a:pt x="58089" y="176326"/>
                </a:lnTo>
              </a:path>
              <a:path w="356235" h="205740">
                <a:moveTo>
                  <a:pt x="209562" y="0"/>
                </a:moveTo>
                <a:lnTo>
                  <a:pt x="297256" y="43929"/>
                </a:lnTo>
              </a:path>
              <a:path w="356235" h="205740">
                <a:moveTo>
                  <a:pt x="317385" y="48056"/>
                </a:moveTo>
                <a:lnTo>
                  <a:pt x="356031" y="72301"/>
                </a:lnTo>
              </a:path>
            </a:pathLst>
          </a:custGeom>
          <a:ln w="3657">
            <a:solidFill>
              <a:srgbClr val="000000"/>
            </a:solidFill>
          </a:ln>
        </xdr:spPr>
      </xdr:sp>
      <xdr:pic>
        <xdr:nvPicPr>
          <xdr:cNvPr id="409" name="image304.png">
            <a:extLst>
              <a:ext uri="{FF2B5EF4-FFF2-40B4-BE49-F238E27FC236}">
                <a16:creationId xmlns:a16="http://schemas.microsoft.com/office/drawing/2014/main" id="{8BD30267-EB3B-345B-298E-7E95E564979D}"/>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0" y="171448"/>
            <a:ext cx="194170" cy="99568"/>
          </a:xfrm>
          <a:prstGeom prst="rect">
            <a:avLst/>
          </a:prstGeom>
        </xdr:spPr>
      </xdr:pic>
      <xdr:sp macro="" textlink="">
        <xdr:nvSpPr>
          <xdr:cNvPr id="410" name="Shape 1195">
            <a:extLst>
              <a:ext uri="{FF2B5EF4-FFF2-40B4-BE49-F238E27FC236}">
                <a16:creationId xmlns:a16="http://schemas.microsoft.com/office/drawing/2014/main" id="{4C7B6918-C159-0F45-794B-5D77F16948A2}"/>
              </a:ext>
            </a:extLst>
          </xdr:cNvPr>
          <xdr:cNvSpPr/>
        </xdr:nvSpPr>
        <xdr:spPr>
          <a:xfrm>
            <a:off x="3429" y="1828"/>
            <a:ext cx="948055" cy="520065"/>
          </a:xfrm>
          <a:custGeom>
            <a:avLst/>
            <a:gdLst/>
            <a:ahLst/>
            <a:cxnLst/>
            <a:rect l="0" t="0" r="0" b="0"/>
            <a:pathLst>
              <a:path w="948055" h="520065">
                <a:moveTo>
                  <a:pt x="366737" y="4824"/>
                </a:moveTo>
                <a:lnTo>
                  <a:pt x="391177" y="331"/>
                </a:lnTo>
                <a:lnTo>
                  <a:pt x="416564" y="0"/>
                </a:lnTo>
                <a:lnTo>
                  <a:pt x="440862" y="3690"/>
                </a:lnTo>
                <a:lnTo>
                  <a:pt x="462038" y="11263"/>
                </a:lnTo>
              </a:path>
              <a:path w="948055" h="520065">
                <a:moveTo>
                  <a:pt x="462025" y="11263"/>
                </a:moveTo>
                <a:lnTo>
                  <a:pt x="574153" y="67321"/>
                </a:lnTo>
              </a:path>
              <a:path w="948055" h="520065">
                <a:moveTo>
                  <a:pt x="892555" y="232840"/>
                </a:moveTo>
                <a:lnTo>
                  <a:pt x="650150" y="110513"/>
                </a:lnTo>
                <a:lnTo>
                  <a:pt x="643592" y="106665"/>
                </a:lnTo>
                <a:lnTo>
                  <a:pt x="638787" y="105444"/>
                </a:lnTo>
                <a:lnTo>
                  <a:pt x="633376" y="106908"/>
                </a:lnTo>
                <a:lnTo>
                  <a:pt x="625004" y="111110"/>
                </a:lnTo>
                <a:lnTo>
                  <a:pt x="872667" y="234923"/>
                </a:lnTo>
              </a:path>
              <a:path w="948055" h="520065">
                <a:moveTo>
                  <a:pt x="370572" y="14895"/>
                </a:moveTo>
                <a:lnTo>
                  <a:pt x="392616" y="10844"/>
                </a:lnTo>
                <a:lnTo>
                  <a:pt x="415519" y="10541"/>
                </a:lnTo>
                <a:lnTo>
                  <a:pt x="437443" y="13868"/>
                </a:lnTo>
                <a:lnTo>
                  <a:pt x="456551" y="20712"/>
                </a:lnTo>
              </a:path>
              <a:path w="948055" h="520065">
                <a:moveTo>
                  <a:pt x="71449" y="167473"/>
                </a:moveTo>
                <a:lnTo>
                  <a:pt x="92598" y="149986"/>
                </a:lnTo>
                <a:lnTo>
                  <a:pt x="115585" y="133111"/>
                </a:lnTo>
                <a:lnTo>
                  <a:pt x="140358" y="116883"/>
                </a:lnTo>
                <a:lnTo>
                  <a:pt x="166864" y="101331"/>
                </a:lnTo>
              </a:path>
              <a:path w="948055" h="520065">
                <a:moveTo>
                  <a:pt x="9422" y="195857"/>
                </a:moveTo>
                <a:lnTo>
                  <a:pt x="35412" y="173533"/>
                </a:lnTo>
                <a:lnTo>
                  <a:pt x="67437" y="147526"/>
                </a:lnTo>
                <a:lnTo>
                  <a:pt x="101389" y="122221"/>
                </a:lnTo>
                <a:lnTo>
                  <a:pt x="133158" y="102004"/>
                </a:lnTo>
              </a:path>
              <a:path w="948055" h="520065">
                <a:moveTo>
                  <a:pt x="133158" y="102004"/>
                </a:moveTo>
                <a:lnTo>
                  <a:pt x="225411" y="55878"/>
                </a:lnTo>
              </a:path>
              <a:path w="948055" h="520065">
                <a:moveTo>
                  <a:pt x="166864" y="101331"/>
                </a:moveTo>
                <a:lnTo>
                  <a:pt x="257428" y="56043"/>
                </a:lnTo>
              </a:path>
              <a:path w="948055" h="520065">
                <a:moveTo>
                  <a:pt x="225411" y="55878"/>
                </a:moveTo>
                <a:lnTo>
                  <a:pt x="258616" y="41684"/>
                </a:lnTo>
                <a:lnTo>
                  <a:pt x="293293" y="28422"/>
                </a:lnTo>
                <a:lnTo>
                  <a:pt x="329360" y="16125"/>
                </a:lnTo>
                <a:lnTo>
                  <a:pt x="366737" y="4824"/>
                </a:lnTo>
              </a:path>
              <a:path w="948055" h="520065">
                <a:moveTo>
                  <a:pt x="483221" y="105586"/>
                </a:moveTo>
                <a:lnTo>
                  <a:pt x="483209" y="96442"/>
                </a:lnTo>
              </a:path>
              <a:path w="948055" h="520065">
                <a:moveTo>
                  <a:pt x="424865" y="126414"/>
                </a:moveTo>
                <a:lnTo>
                  <a:pt x="425119" y="134631"/>
                </a:lnTo>
              </a:path>
              <a:path w="948055" h="520065">
                <a:moveTo>
                  <a:pt x="335863" y="101827"/>
                </a:moveTo>
                <a:lnTo>
                  <a:pt x="333717" y="100760"/>
                </a:lnTo>
                <a:lnTo>
                  <a:pt x="330262" y="100760"/>
                </a:lnTo>
                <a:lnTo>
                  <a:pt x="328129" y="101827"/>
                </a:lnTo>
              </a:path>
              <a:path w="948055" h="520065">
                <a:moveTo>
                  <a:pt x="328116" y="111313"/>
                </a:moveTo>
                <a:lnTo>
                  <a:pt x="330262" y="110247"/>
                </a:lnTo>
                <a:lnTo>
                  <a:pt x="333717" y="110247"/>
                </a:lnTo>
                <a:lnTo>
                  <a:pt x="335863" y="111313"/>
                </a:lnTo>
              </a:path>
              <a:path w="948055" h="520065">
                <a:moveTo>
                  <a:pt x="258406" y="136688"/>
                </a:moveTo>
                <a:lnTo>
                  <a:pt x="328116" y="101827"/>
                </a:lnTo>
              </a:path>
              <a:path w="948055" h="520065">
                <a:moveTo>
                  <a:pt x="328116" y="111313"/>
                </a:moveTo>
                <a:lnTo>
                  <a:pt x="264032" y="143356"/>
                </a:lnTo>
              </a:path>
              <a:path w="948055" h="520065">
                <a:moveTo>
                  <a:pt x="258406" y="136688"/>
                </a:moveTo>
                <a:lnTo>
                  <a:pt x="256285" y="137755"/>
                </a:lnTo>
                <a:lnTo>
                  <a:pt x="256285" y="139495"/>
                </a:lnTo>
                <a:lnTo>
                  <a:pt x="258406" y="140549"/>
                </a:lnTo>
              </a:path>
              <a:path w="948055" h="520065">
                <a:moveTo>
                  <a:pt x="326376" y="174534"/>
                </a:moveTo>
                <a:lnTo>
                  <a:pt x="258406" y="140549"/>
                </a:lnTo>
              </a:path>
              <a:path w="948055" h="520065">
                <a:moveTo>
                  <a:pt x="326376" y="184021"/>
                </a:moveTo>
                <a:lnTo>
                  <a:pt x="326376" y="174534"/>
                </a:lnTo>
              </a:path>
              <a:path w="948055" h="520065">
                <a:moveTo>
                  <a:pt x="248932" y="236535"/>
                </a:moveTo>
                <a:lnTo>
                  <a:pt x="244652" y="234402"/>
                </a:lnTo>
                <a:lnTo>
                  <a:pt x="241197" y="228407"/>
                </a:lnTo>
                <a:lnTo>
                  <a:pt x="241197" y="223175"/>
                </a:lnTo>
              </a:path>
              <a:path w="948055" h="520065">
                <a:moveTo>
                  <a:pt x="241185" y="220813"/>
                </a:moveTo>
                <a:lnTo>
                  <a:pt x="241185" y="223175"/>
                </a:lnTo>
              </a:path>
              <a:path w="948055" h="520065">
                <a:moveTo>
                  <a:pt x="299274" y="191768"/>
                </a:moveTo>
                <a:lnTo>
                  <a:pt x="241185" y="220800"/>
                </a:lnTo>
              </a:path>
              <a:path w="948055" h="520065">
                <a:moveTo>
                  <a:pt x="248932" y="236535"/>
                </a:moveTo>
                <a:lnTo>
                  <a:pt x="266356" y="245260"/>
                </a:lnTo>
              </a:path>
              <a:path w="948055" h="520065">
                <a:moveTo>
                  <a:pt x="266356" y="245260"/>
                </a:moveTo>
                <a:lnTo>
                  <a:pt x="266356" y="239241"/>
                </a:lnTo>
              </a:path>
              <a:path w="948055" h="520065">
                <a:moveTo>
                  <a:pt x="266356" y="239241"/>
                </a:moveTo>
                <a:lnTo>
                  <a:pt x="262368" y="231392"/>
                </a:lnTo>
              </a:path>
              <a:path w="948055" h="520065">
                <a:moveTo>
                  <a:pt x="262368" y="231392"/>
                </a:moveTo>
                <a:lnTo>
                  <a:pt x="258482" y="229436"/>
                </a:lnTo>
              </a:path>
              <a:path w="948055" h="520065">
                <a:moveTo>
                  <a:pt x="258482" y="229449"/>
                </a:moveTo>
                <a:lnTo>
                  <a:pt x="256679" y="233310"/>
                </a:lnTo>
              </a:path>
              <a:path w="948055" h="520065">
                <a:moveTo>
                  <a:pt x="256666" y="233310"/>
                </a:moveTo>
                <a:lnTo>
                  <a:pt x="248932" y="229423"/>
                </a:lnTo>
              </a:path>
              <a:path w="948055" h="520065">
                <a:moveTo>
                  <a:pt x="247001" y="226083"/>
                </a:moveTo>
                <a:lnTo>
                  <a:pt x="247001" y="227404"/>
                </a:lnTo>
                <a:lnTo>
                  <a:pt x="247865" y="228890"/>
                </a:lnTo>
                <a:lnTo>
                  <a:pt x="248944" y="229423"/>
                </a:lnTo>
              </a:path>
              <a:path w="948055" h="520065">
                <a:moveTo>
                  <a:pt x="247001" y="223721"/>
                </a:moveTo>
                <a:lnTo>
                  <a:pt x="247001" y="226083"/>
                </a:lnTo>
              </a:path>
              <a:path w="948055" h="520065">
                <a:moveTo>
                  <a:pt x="241185" y="220813"/>
                </a:moveTo>
                <a:lnTo>
                  <a:pt x="247001" y="223721"/>
                </a:lnTo>
              </a:path>
              <a:path w="948055" h="520065">
                <a:moveTo>
                  <a:pt x="307021" y="200379"/>
                </a:moveTo>
                <a:lnTo>
                  <a:pt x="305955" y="199858"/>
                </a:lnTo>
                <a:lnTo>
                  <a:pt x="305066" y="198359"/>
                </a:lnTo>
                <a:lnTo>
                  <a:pt x="305066" y="197038"/>
                </a:lnTo>
              </a:path>
              <a:path w="948055" h="520065">
                <a:moveTo>
                  <a:pt x="305091" y="195210"/>
                </a:moveTo>
                <a:lnTo>
                  <a:pt x="247001" y="224255"/>
                </a:lnTo>
              </a:path>
              <a:path w="948055" h="520065">
                <a:moveTo>
                  <a:pt x="256666" y="233310"/>
                </a:moveTo>
                <a:lnTo>
                  <a:pt x="261124" y="230922"/>
                </a:lnTo>
              </a:path>
              <a:path w="948055" h="520065">
                <a:moveTo>
                  <a:pt x="307021" y="200379"/>
                </a:moveTo>
                <a:lnTo>
                  <a:pt x="310527" y="202563"/>
                </a:lnTo>
              </a:path>
              <a:path w="948055" h="520065">
                <a:moveTo>
                  <a:pt x="316585" y="200404"/>
                </a:moveTo>
                <a:lnTo>
                  <a:pt x="320433" y="202360"/>
                </a:lnTo>
              </a:path>
              <a:path w="948055" h="520065">
                <a:moveTo>
                  <a:pt x="258482" y="229449"/>
                </a:moveTo>
                <a:lnTo>
                  <a:pt x="316585" y="200417"/>
                </a:lnTo>
              </a:path>
              <a:path w="948055" h="520065">
                <a:moveTo>
                  <a:pt x="263270" y="232306"/>
                </a:moveTo>
                <a:lnTo>
                  <a:pt x="321360" y="203261"/>
                </a:lnTo>
              </a:path>
              <a:path w="948055" h="520065">
                <a:moveTo>
                  <a:pt x="324446" y="210196"/>
                </a:moveTo>
                <a:lnTo>
                  <a:pt x="324446" y="216215"/>
                </a:lnTo>
              </a:path>
              <a:path w="948055" h="520065">
                <a:moveTo>
                  <a:pt x="266356" y="239241"/>
                </a:moveTo>
                <a:lnTo>
                  <a:pt x="324446" y="210196"/>
                </a:lnTo>
              </a:path>
              <a:path w="948055" h="520065">
                <a:moveTo>
                  <a:pt x="266356" y="245260"/>
                </a:moveTo>
                <a:lnTo>
                  <a:pt x="324446" y="216215"/>
                </a:lnTo>
              </a:path>
              <a:path w="948055" h="520065">
                <a:moveTo>
                  <a:pt x="320445" y="202334"/>
                </a:moveTo>
                <a:lnTo>
                  <a:pt x="324446" y="210196"/>
                </a:lnTo>
              </a:path>
              <a:path w="948055" h="520065">
                <a:moveTo>
                  <a:pt x="305091" y="197038"/>
                </a:moveTo>
                <a:lnTo>
                  <a:pt x="305091" y="194676"/>
                </a:lnTo>
              </a:path>
              <a:path w="948055" h="520065">
                <a:moveTo>
                  <a:pt x="305091" y="194676"/>
                </a:moveTo>
                <a:lnTo>
                  <a:pt x="326376" y="184021"/>
                </a:lnTo>
              </a:path>
              <a:path w="948055" h="520065">
                <a:moveTo>
                  <a:pt x="326376" y="174534"/>
                </a:moveTo>
                <a:lnTo>
                  <a:pt x="188911" y="243266"/>
                </a:lnTo>
              </a:path>
              <a:path w="948055" h="520065">
                <a:moveTo>
                  <a:pt x="142442" y="323416"/>
                </a:moveTo>
                <a:lnTo>
                  <a:pt x="146095" y="299438"/>
                </a:lnTo>
                <a:lnTo>
                  <a:pt x="156057" y="276369"/>
                </a:lnTo>
                <a:lnTo>
                  <a:pt x="170828" y="256786"/>
                </a:lnTo>
                <a:lnTo>
                  <a:pt x="188911" y="243266"/>
                </a:lnTo>
              </a:path>
              <a:path w="948055" h="520065">
                <a:moveTo>
                  <a:pt x="142442" y="337653"/>
                </a:moveTo>
                <a:lnTo>
                  <a:pt x="142442" y="323416"/>
                </a:lnTo>
              </a:path>
              <a:path w="948055" h="520065">
                <a:moveTo>
                  <a:pt x="142442" y="337653"/>
                </a:moveTo>
                <a:lnTo>
                  <a:pt x="150189" y="333779"/>
                </a:lnTo>
              </a:path>
              <a:path w="948055" h="520065">
                <a:moveTo>
                  <a:pt x="150189" y="319530"/>
                </a:moveTo>
                <a:lnTo>
                  <a:pt x="150189" y="333779"/>
                </a:lnTo>
              </a:path>
              <a:path w="948055" h="520065">
                <a:moveTo>
                  <a:pt x="188911" y="252753"/>
                </a:moveTo>
                <a:lnTo>
                  <a:pt x="173844" y="264018"/>
                </a:lnTo>
                <a:lnTo>
                  <a:pt x="161535" y="280339"/>
                </a:lnTo>
                <a:lnTo>
                  <a:pt x="153234" y="299568"/>
                </a:lnTo>
                <a:lnTo>
                  <a:pt x="150189" y="319555"/>
                </a:lnTo>
              </a:path>
              <a:path w="948055" h="520065">
                <a:moveTo>
                  <a:pt x="188911" y="252753"/>
                </a:moveTo>
                <a:lnTo>
                  <a:pt x="205180" y="244625"/>
                </a:lnTo>
              </a:path>
              <a:path w="948055" h="520065">
                <a:moveTo>
                  <a:pt x="205180" y="244625"/>
                </a:moveTo>
                <a:lnTo>
                  <a:pt x="205180" y="254112"/>
                </a:lnTo>
              </a:path>
              <a:path w="948055" h="520065">
                <a:moveTo>
                  <a:pt x="205180" y="254112"/>
                </a:moveTo>
                <a:lnTo>
                  <a:pt x="188911" y="262240"/>
                </a:lnTo>
              </a:path>
              <a:path w="948055" h="520065">
                <a:moveTo>
                  <a:pt x="188911" y="262240"/>
                </a:moveTo>
                <a:lnTo>
                  <a:pt x="176847" y="271253"/>
                </a:lnTo>
                <a:lnTo>
                  <a:pt x="166998" y="284306"/>
                </a:lnTo>
                <a:lnTo>
                  <a:pt x="160358" y="299684"/>
                </a:lnTo>
                <a:lnTo>
                  <a:pt x="157923" y="315669"/>
                </a:lnTo>
              </a:path>
              <a:path w="948055" h="520065">
                <a:moveTo>
                  <a:pt x="157936" y="315669"/>
                </a:moveTo>
                <a:lnTo>
                  <a:pt x="157936" y="329906"/>
                </a:lnTo>
              </a:path>
              <a:path w="948055" h="520065">
                <a:moveTo>
                  <a:pt x="165670" y="316545"/>
                </a:moveTo>
                <a:lnTo>
                  <a:pt x="165670" y="321778"/>
                </a:lnTo>
                <a:lnTo>
                  <a:pt x="162203" y="327772"/>
                </a:lnTo>
                <a:lnTo>
                  <a:pt x="157936" y="329906"/>
                </a:lnTo>
              </a:path>
              <a:path w="948055" h="520065">
                <a:moveTo>
                  <a:pt x="165670" y="316545"/>
                </a:moveTo>
                <a:lnTo>
                  <a:pt x="165670" y="311808"/>
                </a:lnTo>
              </a:path>
              <a:path w="948055" h="520065">
                <a:moveTo>
                  <a:pt x="165670" y="311808"/>
                </a:moveTo>
                <a:lnTo>
                  <a:pt x="167496" y="299813"/>
                </a:lnTo>
                <a:lnTo>
                  <a:pt x="172476" y="288270"/>
                </a:lnTo>
                <a:lnTo>
                  <a:pt x="179863" y="278474"/>
                </a:lnTo>
                <a:lnTo>
                  <a:pt x="188911" y="271714"/>
                </a:lnTo>
              </a:path>
              <a:path w="948055" h="520065">
                <a:moveTo>
                  <a:pt x="188911" y="271714"/>
                </a:moveTo>
                <a:lnTo>
                  <a:pt x="205180" y="263599"/>
                </a:lnTo>
              </a:path>
              <a:path w="948055" h="520065">
                <a:moveTo>
                  <a:pt x="212914" y="250239"/>
                </a:moveTo>
                <a:lnTo>
                  <a:pt x="212914" y="255471"/>
                </a:lnTo>
                <a:lnTo>
                  <a:pt x="209447" y="261466"/>
                </a:lnTo>
                <a:lnTo>
                  <a:pt x="205180" y="263586"/>
                </a:lnTo>
              </a:path>
              <a:path w="948055" h="520065">
                <a:moveTo>
                  <a:pt x="212914" y="250239"/>
                </a:moveTo>
                <a:lnTo>
                  <a:pt x="212914" y="240739"/>
                </a:lnTo>
              </a:path>
              <a:path w="948055" h="520065">
                <a:moveTo>
                  <a:pt x="204405" y="245324"/>
                </a:moveTo>
                <a:lnTo>
                  <a:pt x="247001" y="223721"/>
                </a:lnTo>
              </a:path>
              <a:path w="948055" h="520065">
                <a:moveTo>
                  <a:pt x="305091" y="194676"/>
                </a:moveTo>
                <a:lnTo>
                  <a:pt x="299274" y="191755"/>
                </a:lnTo>
              </a:path>
              <a:path w="948055" h="520065">
                <a:moveTo>
                  <a:pt x="403821" y="145299"/>
                </a:moveTo>
                <a:lnTo>
                  <a:pt x="335863" y="111313"/>
                </a:lnTo>
              </a:path>
              <a:path w="948055" h="520065">
                <a:moveTo>
                  <a:pt x="403821" y="135799"/>
                </a:moveTo>
                <a:lnTo>
                  <a:pt x="403821" y="145299"/>
                </a:lnTo>
              </a:path>
              <a:path w="948055" h="520065">
                <a:moveTo>
                  <a:pt x="335863" y="101827"/>
                </a:moveTo>
                <a:lnTo>
                  <a:pt x="403834" y="135799"/>
                </a:lnTo>
              </a:path>
              <a:path w="948055" h="520065">
                <a:moveTo>
                  <a:pt x="403821" y="145299"/>
                </a:moveTo>
                <a:lnTo>
                  <a:pt x="425119" y="134669"/>
                </a:lnTo>
              </a:path>
              <a:path w="948055" h="520065">
                <a:moveTo>
                  <a:pt x="518057" y="80427"/>
                </a:moveTo>
                <a:lnTo>
                  <a:pt x="525817" y="84313"/>
                </a:lnTo>
              </a:path>
              <a:path w="948055" h="520065">
                <a:moveTo>
                  <a:pt x="483221" y="105586"/>
                </a:moveTo>
                <a:lnTo>
                  <a:pt x="519785" y="87742"/>
                </a:lnTo>
              </a:path>
              <a:path w="948055" h="520065">
                <a:moveTo>
                  <a:pt x="525817" y="93787"/>
                </a:moveTo>
                <a:lnTo>
                  <a:pt x="521537" y="91654"/>
                </a:lnTo>
                <a:lnTo>
                  <a:pt x="518057" y="85685"/>
                </a:lnTo>
                <a:lnTo>
                  <a:pt x="518057" y="80427"/>
                </a:lnTo>
              </a:path>
              <a:path w="948055" h="520065">
                <a:moveTo>
                  <a:pt x="525817" y="93787"/>
                </a:moveTo>
                <a:lnTo>
                  <a:pt x="564527" y="113142"/>
                </a:lnTo>
              </a:path>
              <a:path w="948055" h="520065">
                <a:moveTo>
                  <a:pt x="564527" y="113142"/>
                </a:moveTo>
                <a:lnTo>
                  <a:pt x="564527" y="103655"/>
                </a:lnTo>
              </a:path>
              <a:path w="948055" h="520065">
                <a:moveTo>
                  <a:pt x="525817" y="84301"/>
                </a:moveTo>
                <a:lnTo>
                  <a:pt x="564527" y="103668"/>
                </a:lnTo>
              </a:path>
              <a:path w="948055" h="520065">
                <a:moveTo>
                  <a:pt x="580033" y="105395"/>
                </a:moveTo>
                <a:lnTo>
                  <a:pt x="564527" y="113142"/>
                </a:lnTo>
              </a:path>
              <a:path w="948055" h="520065">
                <a:moveTo>
                  <a:pt x="609904" y="118845"/>
                </a:moveTo>
                <a:lnTo>
                  <a:pt x="605967" y="109283"/>
                </a:lnTo>
                <a:lnTo>
                  <a:pt x="599288" y="103657"/>
                </a:lnTo>
                <a:lnTo>
                  <a:pt x="590449" y="102262"/>
                </a:lnTo>
                <a:lnTo>
                  <a:pt x="580033" y="105395"/>
                </a:lnTo>
              </a:path>
              <a:path w="948055" h="520065">
                <a:moveTo>
                  <a:pt x="564527" y="103668"/>
                </a:moveTo>
                <a:lnTo>
                  <a:pt x="580008" y="95921"/>
                </a:lnTo>
              </a:path>
              <a:path w="948055" h="520065">
                <a:moveTo>
                  <a:pt x="580033" y="95921"/>
                </a:moveTo>
                <a:lnTo>
                  <a:pt x="593491" y="91922"/>
                </a:lnTo>
                <a:lnTo>
                  <a:pt x="604778" y="93940"/>
                </a:lnTo>
                <a:lnTo>
                  <a:pt x="613100" y="101597"/>
                </a:lnTo>
                <a:lnTo>
                  <a:pt x="617663" y="114514"/>
                </a:lnTo>
              </a:path>
              <a:path w="948055" h="520065">
                <a:moveTo>
                  <a:pt x="157936" y="329906"/>
                </a:moveTo>
                <a:lnTo>
                  <a:pt x="150189" y="326032"/>
                </a:lnTo>
              </a:path>
              <a:path w="948055" h="520065">
                <a:moveTo>
                  <a:pt x="541311" y="67092"/>
                </a:moveTo>
                <a:lnTo>
                  <a:pt x="555289" y="62717"/>
                </a:lnTo>
                <a:lnTo>
                  <a:pt x="567562" y="63907"/>
                </a:lnTo>
                <a:lnTo>
                  <a:pt x="577473" y="70189"/>
                </a:lnTo>
                <a:lnTo>
                  <a:pt x="584364" y="81087"/>
                </a:lnTo>
              </a:path>
              <a:path w="948055" h="520065">
                <a:moveTo>
                  <a:pt x="541311" y="67092"/>
                </a:moveTo>
                <a:lnTo>
                  <a:pt x="403821" y="135799"/>
                </a:lnTo>
              </a:path>
              <a:path w="948055" h="520065">
                <a:moveTo>
                  <a:pt x="30327" y="281570"/>
                </a:moveTo>
                <a:lnTo>
                  <a:pt x="142429" y="337653"/>
                </a:lnTo>
              </a:path>
              <a:path w="948055" h="520065">
                <a:moveTo>
                  <a:pt x="9422" y="195857"/>
                </a:moveTo>
                <a:lnTo>
                  <a:pt x="0" y="217414"/>
                </a:lnTo>
                <a:lnTo>
                  <a:pt x="753" y="242054"/>
                </a:lnTo>
                <a:lnTo>
                  <a:pt x="11067" y="265027"/>
                </a:lnTo>
                <a:lnTo>
                  <a:pt x="30327" y="281582"/>
                </a:lnTo>
              </a:path>
              <a:path w="948055" h="520065">
                <a:moveTo>
                  <a:pt x="20687" y="187132"/>
                </a:moveTo>
                <a:lnTo>
                  <a:pt x="8539" y="205599"/>
                </a:lnTo>
                <a:lnTo>
                  <a:pt x="5525" y="228595"/>
                </a:lnTo>
                <a:lnTo>
                  <a:pt x="12495" y="250919"/>
                </a:lnTo>
                <a:lnTo>
                  <a:pt x="30301" y="267371"/>
                </a:lnTo>
              </a:path>
              <a:path w="948055" h="520065">
                <a:moveTo>
                  <a:pt x="30327" y="267358"/>
                </a:moveTo>
                <a:lnTo>
                  <a:pt x="33978" y="243378"/>
                </a:lnTo>
                <a:lnTo>
                  <a:pt x="43935" y="220308"/>
                </a:lnTo>
                <a:lnTo>
                  <a:pt x="58701" y="200729"/>
                </a:lnTo>
                <a:lnTo>
                  <a:pt x="76783" y="187221"/>
                </a:lnTo>
              </a:path>
              <a:path w="948055" h="520065">
                <a:moveTo>
                  <a:pt x="76783" y="187221"/>
                </a:moveTo>
                <a:lnTo>
                  <a:pt x="70519" y="182832"/>
                </a:lnTo>
                <a:lnTo>
                  <a:pt x="67463" y="177795"/>
                </a:lnTo>
                <a:lnTo>
                  <a:pt x="67734" y="172534"/>
                </a:lnTo>
                <a:lnTo>
                  <a:pt x="71449" y="167473"/>
                </a:lnTo>
              </a:path>
              <a:path w="948055" h="520065">
                <a:moveTo>
                  <a:pt x="30327" y="281570"/>
                </a:moveTo>
                <a:lnTo>
                  <a:pt x="30327" y="267358"/>
                </a:lnTo>
              </a:path>
              <a:path w="948055" h="520065">
                <a:moveTo>
                  <a:pt x="188911" y="243266"/>
                </a:moveTo>
                <a:lnTo>
                  <a:pt x="76796" y="187196"/>
                </a:lnTo>
              </a:path>
              <a:path w="948055" h="520065">
                <a:moveTo>
                  <a:pt x="429170" y="11009"/>
                </a:moveTo>
                <a:lnTo>
                  <a:pt x="435444" y="7872"/>
                </a:lnTo>
                <a:lnTo>
                  <a:pt x="441654" y="6526"/>
                </a:lnTo>
                <a:lnTo>
                  <a:pt x="447445" y="6767"/>
                </a:lnTo>
              </a:path>
              <a:path w="948055" h="520065">
                <a:moveTo>
                  <a:pt x="71449" y="167473"/>
                </a:moveTo>
                <a:lnTo>
                  <a:pt x="92598" y="149986"/>
                </a:lnTo>
                <a:lnTo>
                  <a:pt x="115585" y="133111"/>
                </a:lnTo>
                <a:lnTo>
                  <a:pt x="140358" y="116883"/>
                </a:lnTo>
                <a:lnTo>
                  <a:pt x="166864" y="101331"/>
                </a:lnTo>
              </a:path>
              <a:path w="948055" h="520065">
                <a:moveTo>
                  <a:pt x="166864" y="101331"/>
                </a:moveTo>
                <a:lnTo>
                  <a:pt x="257428" y="56043"/>
                </a:lnTo>
              </a:path>
              <a:path w="948055" h="520065">
                <a:moveTo>
                  <a:pt x="257415" y="56068"/>
                </a:moveTo>
                <a:lnTo>
                  <a:pt x="285533" y="43831"/>
                </a:lnTo>
                <a:lnTo>
                  <a:pt x="311422" y="33691"/>
                </a:lnTo>
                <a:lnTo>
                  <a:pt x="338597" y="24447"/>
                </a:lnTo>
                <a:lnTo>
                  <a:pt x="370572" y="14895"/>
                </a:lnTo>
              </a:path>
              <a:path w="948055" h="520065">
                <a:moveTo>
                  <a:pt x="233920" y="363586"/>
                </a:moveTo>
                <a:lnTo>
                  <a:pt x="195198" y="344219"/>
                </a:lnTo>
              </a:path>
              <a:path w="948055" h="520065">
                <a:moveTo>
                  <a:pt x="625029" y="111110"/>
                </a:moveTo>
                <a:lnTo>
                  <a:pt x="872692" y="234948"/>
                </a:lnTo>
              </a:path>
              <a:path w="948055" h="520065">
                <a:moveTo>
                  <a:pt x="527062" y="413739"/>
                </a:moveTo>
                <a:lnTo>
                  <a:pt x="524598" y="413015"/>
                </a:lnTo>
                <a:lnTo>
                  <a:pt x="522312" y="412138"/>
                </a:lnTo>
                <a:lnTo>
                  <a:pt x="520280" y="411122"/>
                </a:lnTo>
              </a:path>
              <a:path w="948055" h="520065">
                <a:moveTo>
                  <a:pt x="520280" y="411122"/>
                </a:moveTo>
                <a:lnTo>
                  <a:pt x="272643" y="287285"/>
                </a:lnTo>
              </a:path>
              <a:path w="948055" h="520065">
                <a:moveTo>
                  <a:pt x="586828" y="494511"/>
                </a:moveTo>
                <a:lnTo>
                  <a:pt x="559830" y="499475"/>
                </a:lnTo>
                <a:lnTo>
                  <a:pt x="531788" y="499843"/>
                </a:lnTo>
                <a:lnTo>
                  <a:pt x="504948" y="495770"/>
                </a:lnTo>
                <a:lnTo>
                  <a:pt x="481558" y="487411"/>
                </a:lnTo>
              </a:path>
              <a:path w="948055" h="520065">
                <a:moveTo>
                  <a:pt x="543178" y="500226"/>
                </a:moveTo>
                <a:lnTo>
                  <a:pt x="531776" y="499833"/>
                </a:lnTo>
                <a:lnTo>
                  <a:pt x="520621" y="498708"/>
                </a:lnTo>
                <a:lnTo>
                  <a:pt x="509854" y="496868"/>
                </a:lnTo>
                <a:lnTo>
                  <a:pt x="499617" y="494333"/>
                </a:lnTo>
              </a:path>
              <a:path w="948055" h="520065">
                <a:moveTo>
                  <a:pt x="941602" y="287742"/>
                </a:moveTo>
                <a:lnTo>
                  <a:pt x="943228" y="295758"/>
                </a:lnTo>
                <a:lnTo>
                  <a:pt x="941777" y="304850"/>
                </a:lnTo>
                <a:lnTo>
                  <a:pt x="936244" y="314726"/>
                </a:lnTo>
                <a:lnTo>
                  <a:pt x="925626" y="325093"/>
                </a:lnTo>
              </a:path>
              <a:path w="948055" h="520065">
                <a:moveTo>
                  <a:pt x="845438" y="383208"/>
                </a:moveTo>
                <a:lnTo>
                  <a:pt x="839769" y="386601"/>
                </a:lnTo>
                <a:lnTo>
                  <a:pt x="834022" y="389961"/>
                </a:lnTo>
                <a:lnTo>
                  <a:pt x="828202" y="393288"/>
                </a:lnTo>
                <a:lnTo>
                  <a:pt x="822311" y="396581"/>
                </a:lnTo>
              </a:path>
              <a:path w="948055" h="520065">
                <a:moveTo>
                  <a:pt x="782586" y="320825"/>
                </a:moveTo>
                <a:lnTo>
                  <a:pt x="692047" y="366088"/>
                </a:lnTo>
              </a:path>
              <a:path w="948055" h="520065">
                <a:moveTo>
                  <a:pt x="658837" y="380198"/>
                </a:moveTo>
                <a:lnTo>
                  <a:pt x="640000" y="387509"/>
                </a:lnTo>
                <a:lnTo>
                  <a:pt x="620721" y="394508"/>
                </a:lnTo>
                <a:lnTo>
                  <a:pt x="601008" y="401197"/>
                </a:lnTo>
                <a:lnTo>
                  <a:pt x="580872" y="407579"/>
                </a:lnTo>
              </a:path>
              <a:path w="948055" h="520065">
                <a:moveTo>
                  <a:pt x="729779" y="442860"/>
                </a:moveTo>
                <a:lnTo>
                  <a:pt x="716535" y="448707"/>
                </a:lnTo>
                <a:lnTo>
                  <a:pt x="703041" y="454415"/>
                </a:lnTo>
                <a:lnTo>
                  <a:pt x="689301" y="459978"/>
                </a:lnTo>
                <a:lnTo>
                  <a:pt x="675321" y="465389"/>
                </a:lnTo>
              </a:path>
              <a:path w="948055" h="520065">
                <a:moveTo>
                  <a:pt x="507097" y="267054"/>
                </a:moveTo>
                <a:lnTo>
                  <a:pt x="509256" y="268146"/>
                </a:lnTo>
                <a:lnTo>
                  <a:pt x="512711" y="268146"/>
                </a:lnTo>
                <a:lnTo>
                  <a:pt x="514870" y="267054"/>
                </a:lnTo>
              </a:path>
              <a:path w="948055" h="520065">
                <a:moveTo>
                  <a:pt x="584555" y="232217"/>
                </a:moveTo>
                <a:lnTo>
                  <a:pt x="514870" y="267054"/>
                </a:lnTo>
              </a:path>
              <a:path w="948055" h="520065">
                <a:moveTo>
                  <a:pt x="584555" y="232217"/>
                </a:moveTo>
                <a:lnTo>
                  <a:pt x="586701" y="231151"/>
                </a:lnTo>
                <a:lnTo>
                  <a:pt x="586701" y="229411"/>
                </a:lnTo>
                <a:lnTo>
                  <a:pt x="584555" y="228357"/>
                </a:lnTo>
              </a:path>
              <a:path w="948055" h="520065">
                <a:moveTo>
                  <a:pt x="487565" y="179843"/>
                </a:moveTo>
                <a:lnTo>
                  <a:pt x="584555" y="228344"/>
                </a:lnTo>
              </a:path>
              <a:path w="948055" h="520065">
                <a:moveTo>
                  <a:pt x="487565" y="189317"/>
                </a:moveTo>
                <a:lnTo>
                  <a:pt x="487565" y="179843"/>
                </a:lnTo>
              </a:path>
              <a:path w="948055" h="520065">
                <a:moveTo>
                  <a:pt x="577811" y="234465"/>
                </a:moveTo>
                <a:lnTo>
                  <a:pt x="487565" y="189317"/>
                </a:lnTo>
              </a:path>
              <a:path w="948055" h="520065">
                <a:moveTo>
                  <a:pt x="507097" y="267054"/>
                </a:moveTo>
                <a:lnTo>
                  <a:pt x="410107" y="218565"/>
                </a:lnTo>
              </a:path>
              <a:path w="948055" h="520065">
                <a:moveTo>
                  <a:pt x="226173" y="367447"/>
                </a:moveTo>
                <a:lnTo>
                  <a:pt x="226173" y="381658"/>
                </a:lnTo>
              </a:path>
              <a:path w="948055" h="520065">
                <a:moveTo>
                  <a:pt x="272643" y="287297"/>
                </a:moveTo>
                <a:lnTo>
                  <a:pt x="254554" y="300817"/>
                </a:lnTo>
                <a:lnTo>
                  <a:pt x="239783" y="320400"/>
                </a:lnTo>
                <a:lnTo>
                  <a:pt x="229825" y="343469"/>
                </a:lnTo>
                <a:lnTo>
                  <a:pt x="226173" y="367447"/>
                </a:lnTo>
              </a:path>
              <a:path w="948055" h="520065">
                <a:moveTo>
                  <a:pt x="272643" y="287297"/>
                </a:moveTo>
                <a:lnTo>
                  <a:pt x="410107" y="218565"/>
                </a:lnTo>
              </a:path>
              <a:path w="948055" h="520065">
                <a:moveTo>
                  <a:pt x="487565" y="179843"/>
                </a:moveTo>
                <a:lnTo>
                  <a:pt x="625004" y="111110"/>
                </a:lnTo>
              </a:path>
              <a:path w="948055" h="520065">
                <a:moveTo>
                  <a:pt x="574344" y="74864"/>
                </a:moveTo>
                <a:lnTo>
                  <a:pt x="568311" y="70203"/>
                </a:lnTo>
                <a:lnTo>
                  <a:pt x="561012" y="67995"/>
                </a:lnTo>
                <a:lnTo>
                  <a:pt x="552698" y="68419"/>
                </a:lnTo>
                <a:lnTo>
                  <a:pt x="543622" y="71651"/>
                </a:lnTo>
                <a:lnTo>
                  <a:pt x="522083" y="82713"/>
                </a:lnTo>
              </a:path>
              <a:path w="948055" h="520065">
                <a:moveTo>
                  <a:pt x="520280" y="411122"/>
                </a:moveTo>
                <a:lnTo>
                  <a:pt x="272643" y="287285"/>
                </a:lnTo>
              </a:path>
              <a:path w="948055" h="520065">
                <a:moveTo>
                  <a:pt x="559764" y="413789"/>
                </a:moveTo>
                <a:lnTo>
                  <a:pt x="549646" y="415657"/>
                </a:lnTo>
                <a:lnTo>
                  <a:pt x="539131" y="415794"/>
                </a:lnTo>
                <a:lnTo>
                  <a:pt x="529062" y="414263"/>
                </a:lnTo>
                <a:lnTo>
                  <a:pt x="520280" y="411122"/>
                </a:lnTo>
              </a:path>
              <a:path w="948055" h="520065">
                <a:moveTo>
                  <a:pt x="692047" y="366088"/>
                </a:moveTo>
                <a:lnTo>
                  <a:pt x="660952" y="379348"/>
                </a:lnTo>
                <a:lnTo>
                  <a:pt x="628487" y="391734"/>
                </a:lnTo>
                <a:lnTo>
                  <a:pt x="594732" y="403223"/>
                </a:lnTo>
                <a:lnTo>
                  <a:pt x="559764" y="413789"/>
                </a:lnTo>
              </a:path>
              <a:path w="948055" h="520065">
                <a:moveTo>
                  <a:pt x="782586" y="320825"/>
                </a:moveTo>
                <a:lnTo>
                  <a:pt x="692047" y="366088"/>
                </a:lnTo>
              </a:path>
              <a:path w="948055" h="520065">
                <a:moveTo>
                  <a:pt x="878013" y="254671"/>
                </a:moveTo>
                <a:lnTo>
                  <a:pt x="856872" y="272153"/>
                </a:lnTo>
                <a:lnTo>
                  <a:pt x="833887" y="289029"/>
                </a:lnTo>
                <a:lnTo>
                  <a:pt x="809112" y="305265"/>
                </a:lnTo>
                <a:lnTo>
                  <a:pt x="782598" y="320825"/>
                </a:lnTo>
              </a:path>
              <a:path w="948055" h="520065">
                <a:moveTo>
                  <a:pt x="872667" y="234923"/>
                </a:moveTo>
                <a:lnTo>
                  <a:pt x="878944" y="239314"/>
                </a:lnTo>
                <a:lnTo>
                  <a:pt x="882003" y="244354"/>
                </a:lnTo>
                <a:lnTo>
                  <a:pt x="881730" y="249615"/>
                </a:lnTo>
                <a:lnTo>
                  <a:pt x="878013" y="254671"/>
                </a:lnTo>
              </a:path>
              <a:path w="948055" h="520065">
                <a:moveTo>
                  <a:pt x="551585" y="141959"/>
                </a:moveTo>
                <a:lnTo>
                  <a:pt x="555433" y="143902"/>
                </a:lnTo>
              </a:path>
              <a:path w="948055" h="520065">
                <a:moveTo>
                  <a:pt x="489482" y="180859"/>
                </a:moveTo>
                <a:lnTo>
                  <a:pt x="506932" y="189571"/>
                </a:lnTo>
              </a:path>
              <a:path w="948055" h="520065">
                <a:moveTo>
                  <a:pt x="497356" y="172934"/>
                </a:moveTo>
                <a:lnTo>
                  <a:pt x="493496" y="171003"/>
                </a:lnTo>
              </a:path>
              <a:path w="948055" h="520065">
                <a:moveTo>
                  <a:pt x="551585" y="141959"/>
                </a:moveTo>
                <a:lnTo>
                  <a:pt x="493496" y="171003"/>
                </a:lnTo>
              </a:path>
              <a:path w="948055" h="520065">
                <a:moveTo>
                  <a:pt x="489482" y="174839"/>
                </a:moveTo>
                <a:lnTo>
                  <a:pt x="489482" y="180859"/>
                </a:lnTo>
              </a:path>
              <a:path w="948055" h="520065">
                <a:moveTo>
                  <a:pt x="493496" y="171003"/>
                </a:moveTo>
                <a:lnTo>
                  <a:pt x="489482" y="174839"/>
                </a:lnTo>
              </a:path>
              <a:path w="948055" h="520065">
                <a:moveTo>
                  <a:pt x="278662" y="284300"/>
                </a:moveTo>
                <a:lnTo>
                  <a:pt x="249414" y="269682"/>
                </a:lnTo>
              </a:path>
              <a:path w="948055" h="520065">
                <a:moveTo>
                  <a:pt x="481583" y="487411"/>
                </a:moveTo>
                <a:lnTo>
                  <a:pt x="233908" y="363586"/>
                </a:lnTo>
              </a:path>
              <a:path w="948055" h="520065">
                <a:moveTo>
                  <a:pt x="195198" y="344219"/>
                </a:moveTo>
                <a:lnTo>
                  <a:pt x="195198" y="358443"/>
                </a:lnTo>
              </a:path>
              <a:path w="948055" h="520065">
                <a:moveTo>
                  <a:pt x="226173" y="373924"/>
                </a:moveTo>
                <a:lnTo>
                  <a:pt x="195185" y="358443"/>
                </a:lnTo>
              </a:path>
              <a:path w="948055" h="520065">
                <a:moveTo>
                  <a:pt x="233920" y="363586"/>
                </a:moveTo>
                <a:lnTo>
                  <a:pt x="195198" y="344219"/>
                </a:lnTo>
              </a:path>
              <a:path w="948055" h="520065">
                <a:moveTo>
                  <a:pt x="140461" y="323226"/>
                </a:moveTo>
                <a:lnTo>
                  <a:pt x="30327" y="267358"/>
                </a:lnTo>
              </a:path>
              <a:path w="948055" h="520065">
                <a:moveTo>
                  <a:pt x="249414" y="269682"/>
                </a:moveTo>
                <a:lnTo>
                  <a:pt x="233920" y="277417"/>
                </a:lnTo>
              </a:path>
              <a:path w="948055" h="520065">
                <a:moveTo>
                  <a:pt x="233920" y="277417"/>
                </a:moveTo>
                <a:lnTo>
                  <a:pt x="218842" y="288681"/>
                </a:lnTo>
                <a:lnTo>
                  <a:pt x="206534" y="305003"/>
                </a:lnTo>
                <a:lnTo>
                  <a:pt x="198239" y="324231"/>
                </a:lnTo>
                <a:lnTo>
                  <a:pt x="195198" y="344219"/>
                </a:lnTo>
              </a:path>
              <a:path w="948055" h="520065">
                <a:moveTo>
                  <a:pt x="830274" y="414577"/>
                </a:moveTo>
                <a:lnTo>
                  <a:pt x="859431" y="397549"/>
                </a:lnTo>
                <a:lnTo>
                  <a:pt x="886665" y="379755"/>
                </a:lnTo>
                <a:lnTo>
                  <a:pt x="911924" y="361240"/>
                </a:lnTo>
                <a:lnTo>
                  <a:pt x="935151" y="342047"/>
                </a:lnTo>
              </a:path>
              <a:path w="948055" h="520065">
                <a:moveTo>
                  <a:pt x="737323" y="461059"/>
                </a:moveTo>
                <a:lnTo>
                  <a:pt x="830274" y="414577"/>
                </a:lnTo>
              </a:path>
              <a:path w="948055" h="520065">
                <a:moveTo>
                  <a:pt x="592225" y="513510"/>
                </a:moveTo>
                <a:lnTo>
                  <a:pt x="630609" y="501894"/>
                </a:lnTo>
                <a:lnTo>
                  <a:pt x="667641" y="489261"/>
                </a:lnTo>
                <a:lnTo>
                  <a:pt x="703239" y="475639"/>
                </a:lnTo>
                <a:lnTo>
                  <a:pt x="737323" y="461059"/>
                </a:lnTo>
              </a:path>
              <a:path w="948055" h="520065">
                <a:moveTo>
                  <a:pt x="473836" y="505496"/>
                </a:moveTo>
                <a:lnTo>
                  <a:pt x="500135" y="514905"/>
                </a:lnTo>
                <a:lnTo>
                  <a:pt x="530327" y="519490"/>
                </a:lnTo>
                <a:lnTo>
                  <a:pt x="561874" y="519082"/>
                </a:lnTo>
                <a:lnTo>
                  <a:pt x="592238" y="513510"/>
                </a:lnTo>
              </a:path>
              <a:path w="948055" h="520065">
                <a:moveTo>
                  <a:pt x="226173" y="381658"/>
                </a:moveTo>
                <a:lnTo>
                  <a:pt x="473849" y="505509"/>
                </a:lnTo>
              </a:path>
              <a:path w="948055" h="520065">
                <a:moveTo>
                  <a:pt x="878013" y="254671"/>
                </a:moveTo>
                <a:lnTo>
                  <a:pt x="898344" y="267092"/>
                </a:lnTo>
                <a:lnTo>
                  <a:pt x="915569" y="283992"/>
                </a:lnTo>
                <a:lnTo>
                  <a:pt x="928300" y="304517"/>
                </a:lnTo>
                <a:lnTo>
                  <a:pt x="935151" y="327810"/>
                </a:lnTo>
              </a:path>
              <a:path w="948055" h="520065">
                <a:moveTo>
                  <a:pt x="935151" y="327810"/>
                </a:moveTo>
                <a:lnTo>
                  <a:pt x="935151" y="342047"/>
                </a:lnTo>
              </a:path>
              <a:path w="948055" h="520065">
                <a:moveTo>
                  <a:pt x="520280" y="411122"/>
                </a:moveTo>
                <a:lnTo>
                  <a:pt x="502211" y="424642"/>
                </a:lnTo>
                <a:lnTo>
                  <a:pt x="487447" y="444225"/>
                </a:lnTo>
                <a:lnTo>
                  <a:pt x="477489" y="467294"/>
                </a:lnTo>
                <a:lnTo>
                  <a:pt x="473836" y="491272"/>
                </a:lnTo>
              </a:path>
              <a:path w="948055" h="520065">
                <a:moveTo>
                  <a:pt x="592225" y="499260"/>
                </a:moveTo>
                <a:lnTo>
                  <a:pt x="589677" y="474868"/>
                </a:lnTo>
                <a:lnTo>
                  <a:pt x="582724" y="450657"/>
                </a:lnTo>
                <a:lnTo>
                  <a:pt x="572407" y="429380"/>
                </a:lnTo>
                <a:lnTo>
                  <a:pt x="559764" y="413789"/>
                </a:lnTo>
              </a:path>
              <a:path w="948055" h="520065">
                <a:moveTo>
                  <a:pt x="592225" y="513510"/>
                </a:moveTo>
                <a:lnTo>
                  <a:pt x="592225" y="499260"/>
                </a:lnTo>
              </a:path>
              <a:path w="948055" h="520065">
                <a:moveTo>
                  <a:pt x="473836" y="491272"/>
                </a:moveTo>
                <a:lnTo>
                  <a:pt x="473836" y="505496"/>
                </a:lnTo>
              </a:path>
              <a:path w="948055" h="520065">
                <a:moveTo>
                  <a:pt x="586828" y="494511"/>
                </a:moveTo>
                <a:lnTo>
                  <a:pt x="559830" y="499475"/>
                </a:lnTo>
                <a:lnTo>
                  <a:pt x="531788" y="499843"/>
                </a:lnTo>
                <a:lnTo>
                  <a:pt x="504948" y="495770"/>
                </a:lnTo>
                <a:lnTo>
                  <a:pt x="481558" y="487411"/>
                </a:lnTo>
              </a:path>
              <a:path w="948055" h="520065">
                <a:moveTo>
                  <a:pt x="925626" y="325118"/>
                </a:moveTo>
                <a:lnTo>
                  <a:pt x="902746" y="344019"/>
                </a:lnTo>
                <a:lnTo>
                  <a:pt x="877866" y="362254"/>
                </a:lnTo>
                <a:lnTo>
                  <a:pt x="851040" y="379787"/>
                </a:lnTo>
                <a:lnTo>
                  <a:pt x="822324" y="396581"/>
                </a:lnTo>
              </a:path>
              <a:path w="948055" h="520065">
                <a:moveTo>
                  <a:pt x="822324" y="396581"/>
                </a:moveTo>
                <a:lnTo>
                  <a:pt x="729779" y="442860"/>
                </a:lnTo>
              </a:path>
              <a:path w="948055" h="520065">
                <a:moveTo>
                  <a:pt x="729779" y="442860"/>
                </a:moveTo>
                <a:lnTo>
                  <a:pt x="696195" y="457225"/>
                </a:lnTo>
                <a:lnTo>
                  <a:pt x="661123" y="470642"/>
                </a:lnTo>
                <a:lnTo>
                  <a:pt x="624641" y="483081"/>
                </a:lnTo>
                <a:lnTo>
                  <a:pt x="586828" y="494511"/>
                </a:lnTo>
              </a:path>
              <a:path w="948055" h="520065">
                <a:moveTo>
                  <a:pt x="474293" y="101014"/>
                </a:moveTo>
                <a:lnTo>
                  <a:pt x="483221" y="105624"/>
                </a:lnTo>
              </a:path>
              <a:path w="948055" h="520065">
                <a:moveTo>
                  <a:pt x="425589" y="128916"/>
                </a:moveTo>
                <a:lnTo>
                  <a:pt x="482281" y="100099"/>
                </a:lnTo>
              </a:path>
              <a:path w="948055" h="520065">
                <a:moveTo>
                  <a:pt x="892555" y="232840"/>
                </a:moveTo>
                <a:lnTo>
                  <a:pt x="930455" y="267900"/>
                </a:lnTo>
                <a:lnTo>
                  <a:pt x="947457" y="308989"/>
                </a:lnTo>
                <a:lnTo>
                  <a:pt x="947688" y="319882"/>
                </a:lnTo>
                <a:lnTo>
                  <a:pt x="945790" y="327990"/>
                </a:lnTo>
                <a:lnTo>
                  <a:pt x="941697" y="335176"/>
                </a:lnTo>
                <a:lnTo>
                  <a:pt x="935151" y="342047"/>
                </a:lnTo>
              </a:path>
              <a:path w="948055" h="520065">
                <a:moveTo>
                  <a:pt x="866012" y="231481"/>
                </a:moveTo>
                <a:lnTo>
                  <a:pt x="873543" y="224839"/>
                </a:lnTo>
                <a:lnTo>
                  <a:pt x="877493" y="225105"/>
                </a:lnTo>
              </a:path>
            </a:pathLst>
          </a:custGeom>
          <a:ln w="3657">
            <a:solidFill>
              <a:srgbClr val="000000"/>
            </a:solidFill>
          </a:ln>
        </xdr:spPr>
      </xdr:sp>
    </xdr:grpSp>
    <xdr:clientData/>
  </xdr:absoluteAnchor>
  <xdr:absoluteAnchor>
    <xdr:pos x="222862" y="312920285"/>
    <xdr:ext cx="601980" cy="381000"/>
    <xdr:sp macro="" textlink="">
      <xdr:nvSpPr>
        <xdr:cNvPr id="411" name="Shape 1196">
          <a:extLst>
            <a:ext uri="{FF2B5EF4-FFF2-40B4-BE49-F238E27FC236}">
              <a16:creationId xmlns:a16="http://schemas.microsoft.com/office/drawing/2014/main" id="{94B13A47-8220-4499-A25A-3AF0EB92D3AA}"/>
            </a:ext>
          </a:extLst>
        </xdr:cNvPr>
        <xdr:cNvSpPr/>
      </xdr:nvSpPr>
      <xdr:spPr>
        <a:xfrm>
          <a:off x="222862" y="312920285"/>
          <a:ext cx="601980" cy="381000"/>
        </a:xfrm>
        <a:custGeom>
          <a:avLst/>
          <a:gdLst/>
          <a:ahLst/>
          <a:cxnLst/>
          <a:rect l="0" t="0" r="0" b="0"/>
          <a:pathLst>
            <a:path w="601980" h="381000">
              <a:moveTo>
                <a:pt x="3390" y="133324"/>
              </a:moveTo>
              <a:lnTo>
                <a:pt x="508" y="144271"/>
              </a:lnTo>
              <a:lnTo>
                <a:pt x="203" y="146151"/>
              </a:lnTo>
              <a:lnTo>
                <a:pt x="0" y="148018"/>
              </a:lnTo>
              <a:lnTo>
                <a:pt x="25" y="149910"/>
              </a:lnTo>
              <a:lnTo>
                <a:pt x="25" y="150304"/>
              </a:lnTo>
              <a:lnTo>
                <a:pt x="50" y="150710"/>
              </a:lnTo>
              <a:lnTo>
                <a:pt x="50" y="151117"/>
              </a:lnTo>
            </a:path>
            <a:path w="601980" h="381000">
              <a:moveTo>
                <a:pt x="0" y="151117"/>
              </a:moveTo>
              <a:lnTo>
                <a:pt x="0" y="168782"/>
              </a:lnTo>
            </a:path>
            <a:path w="601980" h="381000">
              <a:moveTo>
                <a:pt x="222643" y="838"/>
              </a:moveTo>
              <a:lnTo>
                <a:pt x="220281" y="1181"/>
              </a:lnTo>
              <a:lnTo>
                <a:pt x="217932" y="1498"/>
              </a:lnTo>
              <a:lnTo>
                <a:pt x="215569" y="1841"/>
              </a:lnTo>
              <a:lnTo>
                <a:pt x="176606" y="9410"/>
              </a:lnTo>
              <a:lnTo>
                <a:pt x="172389" y="10426"/>
              </a:lnTo>
              <a:lnTo>
                <a:pt x="151714" y="16306"/>
              </a:lnTo>
              <a:lnTo>
                <a:pt x="147624" y="17589"/>
              </a:lnTo>
              <a:lnTo>
                <a:pt x="143624" y="18922"/>
              </a:lnTo>
              <a:lnTo>
                <a:pt x="139649" y="20319"/>
              </a:lnTo>
              <a:lnTo>
                <a:pt x="135661" y="21704"/>
              </a:lnTo>
              <a:lnTo>
                <a:pt x="131737" y="23190"/>
              </a:lnTo>
              <a:lnTo>
                <a:pt x="127876" y="24714"/>
              </a:lnTo>
              <a:lnTo>
                <a:pt x="123990" y="26238"/>
              </a:lnTo>
              <a:lnTo>
                <a:pt x="105333" y="34556"/>
              </a:lnTo>
              <a:lnTo>
                <a:pt x="101688" y="36309"/>
              </a:lnTo>
              <a:lnTo>
                <a:pt x="98120" y="38138"/>
              </a:lnTo>
              <a:lnTo>
                <a:pt x="94615" y="40004"/>
              </a:lnTo>
              <a:lnTo>
                <a:pt x="91109" y="41871"/>
              </a:lnTo>
              <a:lnTo>
                <a:pt x="64998" y="58394"/>
              </a:lnTo>
              <a:lnTo>
                <a:pt x="61937" y="60604"/>
              </a:lnTo>
              <a:lnTo>
                <a:pt x="47650" y="72275"/>
              </a:lnTo>
              <a:lnTo>
                <a:pt x="44932" y="74663"/>
              </a:lnTo>
              <a:lnTo>
                <a:pt x="42303" y="77114"/>
              </a:lnTo>
              <a:lnTo>
                <a:pt x="39776" y="79628"/>
              </a:lnTo>
              <a:lnTo>
                <a:pt x="37236" y="82105"/>
              </a:lnTo>
              <a:lnTo>
                <a:pt x="34798" y="84658"/>
              </a:lnTo>
              <a:lnTo>
                <a:pt x="32473" y="87261"/>
              </a:lnTo>
              <a:lnTo>
                <a:pt x="30149" y="89827"/>
              </a:lnTo>
              <a:lnTo>
                <a:pt x="14287" y="111493"/>
              </a:lnTo>
              <a:lnTo>
                <a:pt x="12598" y="114261"/>
              </a:lnTo>
              <a:lnTo>
                <a:pt x="10998" y="117081"/>
              </a:lnTo>
              <a:lnTo>
                <a:pt x="9512" y="119951"/>
              </a:lnTo>
              <a:lnTo>
                <a:pt x="8013" y="122745"/>
              </a:lnTo>
              <a:lnTo>
                <a:pt x="6654" y="125590"/>
              </a:lnTo>
              <a:lnTo>
                <a:pt x="5397" y="128498"/>
              </a:lnTo>
              <a:lnTo>
                <a:pt x="4699" y="130086"/>
              </a:lnTo>
              <a:lnTo>
                <a:pt x="4051" y="131698"/>
              </a:lnTo>
              <a:lnTo>
                <a:pt x="3390" y="133324"/>
              </a:lnTo>
            </a:path>
            <a:path w="601980" h="381000">
              <a:moveTo>
                <a:pt x="387819" y="73875"/>
              </a:moveTo>
              <a:lnTo>
                <a:pt x="278815" y="10947"/>
              </a:lnTo>
            </a:path>
            <a:path w="601980" h="381000">
              <a:moveTo>
                <a:pt x="344957" y="95884"/>
              </a:moveTo>
              <a:lnTo>
                <a:pt x="360565" y="104914"/>
              </a:lnTo>
            </a:path>
            <a:path w="601980" h="381000">
              <a:moveTo>
                <a:pt x="377012" y="92621"/>
              </a:moveTo>
              <a:lnTo>
                <a:pt x="366382" y="86486"/>
              </a:lnTo>
            </a:path>
            <a:path w="601980" h="381000">
              <a:moveTo>
                <a:pt x="341134" y="98107"/>
              </a:moveTo>
              <a:lnTo>
                <a:pt x="374573" y="117436"/>
              </a:lnTo>
            </a:path>
            <a:path w="601980" h="381000">
              <a:moveTo>
                <a:pt x="278815" y="10960"/>
              </a:moveTo>
              <a:lnTo>
                <a:pt x="277583" y="10274"/>
              </a:lnTo>
              <a:lnTo>
                <a:pt x="276352" y="9588"/>
              </a:lnTo>
              <a:lnTo>
                <a:pt x="275120" y="8966"/>
              </a:lnTo>
              <a:lnTo>
                <a:pt x="242976" y="342"/>
              </a:lnTo>
              <a:lnTo>
                <a:pt x="240703" y="152"/>
              </a:lnTo>
              <a:lnTo>
                <a:pt x="238442" y="50"/>
              </a:lnTo>
              <a:lnTo>
                <a:pt x="236156" y="12"/>
              </a:lnTo>
              <a:lnTo>
                <a:pt x="233857" y="0"/>
              </a:lnTo>
              <a:lnTo>
                <a:pt x="231584" y="50"/>
              </a:lnTo>
              <a:lnTo>
                <a:pt x="229298" y="215"/>
              </a:lnTo>
              <a:lnTo>
                <a:pt x="227076" y="355"/>
              </a:lnTo>
              <a:lnTo>
                <a:pt x="224878" y="596"/>
              </a:lnTo>
              <a:lnTo>
                <a:pt x="222656" y="838"/>
              </a:lnTo>
            </a:path>
            <a:path w="601980" h="381000">
              <a:moveTo>
                <a:pt x="601865" y="226923"/>
              </a:moveTo>
              <a:lnTo>
                <a:pt x="601840" y="225475"/>
              </a:lnTo>
              <a:lnTo>
                <a:pt x="601827" y="224002"/>
              </a:lnTo>
              <a:lnTo>
                <a:pt x="601700" y="222542"/>
              </a:lnTo>
              <a:lnTo>
                <a:pt x="601586" y="220713"/>
              </a:lnTo>
              <a:lnTo>
                <a:pt x="601294" y="218884"/>
              </a:lnTo>
              <a:lnTo>
                <a:pt x="600887" y="217093"/>
              </a:lnTo>
              <a:lnTo>
                <a:pt x="600519" y="215315"/>
              </a:lnTo>
              <a:lnTo>
                <a:pt x="595007" y="201929"/>
              </a:lnTo>
              <a:lnTo>
                <a:pt x="594080" y="200329"/>
              </a:lnTo>
              <a:lnTo>
                <a:pt x="574929" y="181927"/>
              </a:lnTo>
              <a:lnTo>
                <a:pt x="574408" y="181609"/>
              </a:lnTo>
              <a:lnTo>
                <a:pt x="573849" y="181279"/>
              </a:lnTo>
              <a:lnTo>
                <a:pt x="573328" y="180974"/>
              </a:lnTo>
            </a:path>
            <a:path w="601980" h="381000">
              <a:moveTo>
                <a:pt x="601916" y="244589"/>
              </a:moveTo>
              <a:lnTo>
                <a:pt x="601916" y="226923"/>
              </a:lnTo>
            </a:path>
            <a:path w="601980" h="381000">
              <a:moveTo>
                <a:pt x="573328" y="180974"/>
              </a:moveTo>
              <a:lnTo>
                <a:pt x="464312" y="118033"/>
              </a:lnTo>
            </a:path>
            <a:path w="601980" h="381000">
              <a:moveTo>
                <a:pt x="371373" y="190271"/>
              </a:moveTo>
              <a:lnTo>
                <a:pt x="381901" y="184213"/>
              </a:lnTo>
            </a:path>
            <a:path w="601980" h="381000">
              <a:moveTo>
                <a:pt x="446036" y="119964"/>
              </a:moveTo>
              <a:lnTo>
                <a:pt x="418122" y="103860"/>
              </a:lnTo>
            </a:path>
            <a:path w="601980" h="381000">
              <a:moveTo>
                <a:pt x="178587" y="280263"/>
              </a:moveTo>
              <a:lnTo>
                <a:pt x="186220" y="275869"/>
              </a:lnTo>
            </a:path>
            <a:path w="601980" h="381000">
              <a:moveTo>
                <a:pt x="178587" y="280263"/>
              </a:moveTo>
              <a:lnTo>
                <a:pt x="178587" y="262597"/>
              </a:lnTo>
            </a:path>
            <a:path w="601980" h="381000">
              <a:moveTo>
                <a:pt x="196430" y="231686"/>
              </a:moveTo>
              <a:lnTo>
                <a:pt x="189235" y="237605"/>
              </a:lnTo>
              <a:lnTo>
                <a:pt x="183727" y="244962"/>
              </a:lnTo>
              <a:lnTo>
                <a:pt x="180111" y="253412"/>
              </a:lnTo>
              <a:lnTo>
                <a:pt x="178587" y="262610"/>
              </a:lnTo>
            </a:path>
            <a:path w="601980" h="381000">
              <a:moveTo>
                <a:pt x="196430" y="231686"/>
              </a:moveTo>
              <a:lnTo>
                <a:pt x="201523" y="228752"/>
              </a:lnTo>
            </a:path>
            <a:path w="601980" h="381000">
              <a:moveTo>
                <a:pt x="201523" y="228752"/>
              </a:moveTo>
              <a:lnTo>
                <a:pt x="201523" y="237566"/>
              </a:lnTo>
            </a:path>
            <a:path w="601980" h="381000">
              <a:moveTo>
                <a:pt x="201523" y="237578"/>
              </a:moveTo>
              <a:lnTo>
                <a:pt x="196430" y="240537"/>
              </a:lnTo>
            </a:path>
            <a:path w="601980" h="381000">
              <a:moveTo>
                <a:pt x="196430" y="240512"/>
              </a:moveTo>
              <a:lnTo>
                <a:pt x="190360" y="244398"/>
              </a:lnTo>
              <a:lnTo>
                <a:pt x="186550" y="251002"/>
              </a:lnTo>
              <a:lnTo>
                <a:pt x="186220" y="258203"/>
              </a:lnTo>
            </a:path>
            <a:path w="601980" h="381000">
              <a:moveTo>
                <a:pt x="186220" y="275856"/>
              </a:moveTo>
              <a:lnTo>
                <a:pt x="186220" y="258165"/>
              </a:lnTo>
            </a:path>
            <a:path w="601980" h="381000">
              <a:moveTo>
                <a:pt x="155625" y="208127"/>
              </a:moveTo>
              <a:lnTo>
                <a:pt x="148442" y="214048"/>
              </a:lnTo>
              <a:lnTo>
                <a:pt x="142936" y="221408"/>
              </a:lnTo>
              <a:lnTo>
                <a:pt x="139314" y="229858"/>
              </a:lnTo>
              <a:lnTo>
                <a:pt x="137782" y="239052"/>
              </a:lnTo>
            </a:path>
            <a:path w="601980" h="381000">
              <a:moveTo>
                <a:pt x="178587" y="280263"/>
              </a:moveTo>
              <a:lnTo>
                <a:pt x="137782" y="256730"/>
              </a:lnTo>
            </a:path>
            <a:path w="601980" h="381000">
              <a:moveTo>
                <a:pt x="137782" y="256730"/>
              </a:moveTo>
              <a:lnTo>
                <a:pt x="137782" y="239052"/>
              </a:lnTo>
            </a:path>
            <a:path w="601980" h="381000">
              <a:moveTo>
                <a:pt x="201523" y="228752"/>
              </a:moveTo>
              <a:lnTo>
                <a:pt x="160743" y="205206"/>
              </a:lnTo>
            </a:path>
            <a:path w="601980" h="381000">
              <a:moveTo>
                <a:pt x="155625" y="208127"/>
              </a:moveTo>
              <a:lnTo>
                <a:pt x="160743" y="205206"/>
              </a:lnTo>
            </a:path>
            <a:path w="601980" h="381000">
              <a:moveTo>
                <a:pt x="155625" y="199301"/>
              </a:moveTo>
              <a:lnTo>
                <a:pt x="145344" y="207754"/>
              </a:lnTo>
              <a:lnTo>
                <a:pt x="137477" y="218268"/>
              </a:lnTo>
              <a:lnTo>
                <a:pt x="132315" y="230344"/>
              </a:lnTo>
              <a:lnTo>
                <a:pt x="130149" y="243484"/>
              </a:lnTo>
            </a:path>
            <a:path w="601980" h="381000">
              <a:moveTo>
                <a:pt x="168376" y="209626"/>
              </a:moveTo>
              <a:lnTo>
                <a:pt x="168376" y="206667"/>
              </a:lnTo>
            </a:path>
            <a:path w="601980" h="381000">
              <a:moveTo>
                <a:pt x="130149" y="243471"/>
              </a:moveTo>
              <a:lnTo>
                <a:pt x="130149" y="261137"/>
              </a:lnTo>
            </a:path>
            <a:path w="601980" h="381000">
              <a:moveTo>
                <a:pt x="155625" y="199301"/>
              </a:moveTo>
              <a:lnTo>
                <a:pt x="235953" y="152946"/>
              </a:lnTo>
            </a:path>
            <a:path w="601980" h="381000">
              <a:moveTo>
                <a:pt x="235953" y="176491"/>
              </a:moveTo>
              <a:lnTo>
                <a:pt x="235953" y="152958"/>
              </a:lnTo>
            </a:path>
            <a:path w="601980" h="381000">
              <a:moveTo>
                <a:pt x="235953" y="176491"/>
              </a:moveTo>
              <a:lnTo>
                <a:pt x="216814" y="187528"/>
              </a:lnTo>
            </a:path>
            <a:path w="601980" h="381000">
              <a:moveTo>
                <a:pt x="168376" y="206667"/>
              </a:moveTo>
              <a:lnTo>
                <a:pt x="209181" y="183108"/>
              </a:lnTo>
            </a:path>
            <a:path w="601980" h="381000">
              <a:moveTo>
                <a:pt x="130149" y="261137"/>
              </a:moveTo>
              <a:lnTo>
                <a:pt x="137782" y="256730"/>
              </a:lnTo>
            </a:path>
            <a:path w="601980" h="381000">
              <a:moveTo>
                <a:pt x="188760" y="212572"/>
              </a:moveTo>
              <a:lnTo>
                <a:pt x="229565" y="189014"/>
              </a:lnTo>
            </a:path>
            <a:path w="601980" h="381000">
              <a:moveTo>
                <a:pt x="229565" y="189014"/>
              </a:moveTo>
              <a:lnTo>
                <a:pt x="234683" y="197827"/>
              </a:lnTo>
            </a:path>
            <a:path w="601980" h="381000">
              <a:moveTo>
                <a:pt x="193865" y="221386"/>
              </a:moveTo>
              <a:lnTo>
                <a:pt x="234683" y="197827"/>
              </a:lnTo>
            </a:path>
            <a:path w="601980" h="381000">
              <a:moveTo>
                <a:pt x="188760" y="212572"/>
              </a:moveTo>
              <a:lnTo>
                <a:pt x="193878" y="221386"/>
              </a:lnTo>
            </a:path>
            <a:path w="601980" h="381000">
              <a:moveTo>
                <a:pt x="183680" y="209626"/>
              </a:moveTo>
              <a:lnTo>
                <a:pt x="181140" y="214033"/>
              </a:lnTo>
            </a:path>
            <a:path w="601980" h="381000">
              <a:moveTo>
                <a:pt x="188760" y="212572"/>
              </a:moveTo>
              <a:lnTo>
                <a:pt x="183667" y="209626"/>
              </a:lnTo>
            </a:path>
            <a:path w="601980" h="381000">
              <a:moveTo>
                <a:pt x="193865" y="224320"/>
              </a:moveTo>
              <a:lnTo>
                <a:pt x="193865" y="221386"/>
              </a:lnTo>
            </a:path>
            <a:path w="601980" h="381000">
              <a:moveTo>
                <a:pt x="181140" y="214033"/>
              </a:moveTo>
              <a:lnTo>
                <a:pt x="168376" y="206667"/>
              </a:lnTo>
            </a:path>
            <a:path w="601980" h="381000">
              <a:moveTo>
                <a:pt x="21120" y="198196"/>
              </a:moveTo>
              <a:lnTo>
                <a:pt x="130149" y="261137"/>
              </a:lnTo>
            </a:path>
            <a:path w="601980" h="381000">
              <a:moveTo>
                <a:pt x="198983" y="227279"/>
              </a:moveTo>
              <a:lnTo>
                <a:pt x="234683" y="206667"/>
              </a:lnTo>
            </a:path>
            <a:path w="601980" h="381000">
              <a:moveTo>
                <a:pt x="234683" y="197827"/>
              </a:moveTo>
              <a:lnTo>
                <a:pt x="234683" y="206667"/>
              </a:lnTo>
            </a:path>
            <a:path w="601980" h="381000">
              <a:moveTo>
                <a:pt x="229565" y="189014"/>
              </a:moveTo>
              <a:lnTo>
                <a:pt x="224459" y="186067"/>
              </a:lnTo>
            </a:path>
            <a:path w="601980" h="381000">
              <a:moveTo>
                <a:pt x="183680" y="209626"/>
              </a:moveTo>
              <a:lnTo>
                <a:pt x="224472" y="186067"/>
              </a:lnTo>
            </a:path>
            <a:path w="601980" h="381000">
              <a:moveTo>
                <a:pt x="132676" y="93319"/>
              </a:moveTo>
              <a:lnTo>
                <a:pt x="235940" y="152958"/>
              </a:lnTo>
            </a:path>
            <a:path w="601980" h="381000">
              <a:moveTo>
                <a:pt x="289483" y="122046"/>
              </a:moveTo>
              <a:lnTo>
                <a:pt x="369785" y="75679"/>
              </a:lnTo>
            </a:path>
            <a:path w="601980" h="381000">
              <a:moveTo>
                <a:pt x="289483" y="122046"/>
              </a:moveTo>
              <a:lnTo>
                <a:pt x="186220" y="62420"/>
              </a:lnTo>
            </a:path>
            <a:path w="601980" h="381000">
              <a:moveTo>
                <a:pt x="186220" y="62433"/>
              </a:moveTo>
              <a:lnTo>
                <a:pt x="132676" y="93319"/>
              </a:lnTo>
            </a:path>
            <a:path w="601980" h="381000">
              <a:moveTo>
                <a:pt x="219367" y="189014"/>
              </a:moveTo>
              <a:lnTo>
                <a:pt x="209181" y="183108"/>
              </a:lnTo>
            </a:path>
            <a:path w="601980" h="381000">
              <a:moveTo>
                <a:pt x="0" y="168770"/>
              </a:moveTo>
              <a:lnTo>
                <a:pt x="2171" y="178054"/>
              </a:lnTo>
              <a:lnTo>
                <a:pt x="6607" y="186321"/>
              </a:lnTo>
              <a:lnTo>
                <a:pt x="13019" y="193169"/>
              </a:lnTo>
              <a:lnTo>
                <a:pt x="21120" y="198196"/>
              </a:lnTo>
            </a:path>
            <a:path w="601980" h="381000">
              <a:moveTo>
                <a:pt x="395300" y="90385"/>
              </a:moveTo>
              <a:lnTo>
                <a:pt x="396608" y="81775"/>
              </a:lnTo>
              <a:lnTo>
                <a:pt x="390715" y="73698"/>
              </a:lnTo>
              <a:lnTo>
                <a:pt x="382079" y="72389"/>
              </a:lnTo>
              <a:lnTo>
                <a:pt x="377698" y="71704"/>
              </a:lnTo>
              <a:lnTo>
                <a:pt x="373253" y="72910"/>
              </a:lnTo>
              <a:lnTo>
                <a:pt x="369785" y="75679"/>
              </a:lnTo>
            </a:path>
            <a:path w="601980" h="381000">
              <a:moveTo>
                <a:pt x="395300" y="90385"/>
              </a:moveTo>
              <a:lnTo>
                <a:pt x="395300" y="108076"/>
              </a:lnTo>
            </a:path>
            <a:path w="601980" h="381000">
              <a:moveTo>
                <a:pt x="387654" y="94818"/>
              </a:moveTo>
              <a:lnTo>
                <a:pt x="387654" y="112483"/>
              </a:lnTo>
            </a:path>
            <a:path w="601980" h="381000">
              <a:moveTo>
                <a:pt x="387654" y="94818"/>
              </a:moveTo>
              <a:lnTo>
                <a:pt x="388556" y="88772"/>
              </a:lnTo>
              <a:lnTo>
                <a:pt x="384416" y="83121"/>
              </a:lnTo>
              <a:lnTo>
                <a:pt x="378383" y="82194"/>
              </a:lnTo>
              <a:lnTo>
                <a:pt x="375335" y="81737"/>
              </a:lnTo>
              <a:lnTo>
                <a:pt x="372211" y="82562"/>
              </a:lnTo>
              <a:lnTo>
                <a:pt x="369798" y="84505"/>
              </a:lnTo>
            </a:path>
            <a:path w="601980" h="381000">
              <a:moveTo>
                <a:pt x="365975" y="86702"/>
              </a:moveTo>
              <a:lnTo>
                <a:pt x="369785" y="84505"/>
              </a:lnTo>
            </a:path>
            <a:path w="601980" h="381000">
              <a:moveTo>
                <a:pt x="365975" y="95554"/>
              </a:moveTo>
              <a:lnTo>
                <a:pt x="365975" y="86715"/>
              </a:lnTo>
            </a:path>
            <a:path w="601980" h="381000">
              <a:moveTo>
                <a:pt x="369633" y="93421"/>
              </a:moveTo>
              <a:lnTo>
                <a:pt x="365975" y="95542"/>
              </a:lnTo>
            </a:path>
            <a:path w="601980" h="381000">
              <a:moveTo>
                <a:pt x="380009" y="99225"/>
              </a:moveTo>
              <a:lnTo>
                <a:pt x="380542" y="95770"/>
              </a:lnTo>
              <a:lnTo>
                <a:pt x="378180" y="92544"/>
              </a:lnTo>
              <a:lnTo>
                <a:pt x="374738" y="91986"/>
              </a:lnTo>
              <a:lnTo>
                <a:pt x="372910" y="91706"/>
              </a:lnTo>
              <a:lnTo>
                <a:pt x="371030" y="92214"/>
              </a:lnTo>
              <a:lnTo>
                <a:pt x="369633" y="93446"/>
              </a:lnTo>
            </a:path>
            <a:path w="601980" h="381000">
              <a:moveTo>
                <a:pt x="380009" y="116903"/>
              </a:moveTo>
              <a:lnTo>
                <a:pt x="380009" y="99225"/>
              </a:lnTo>
            </a:path>
            <a:path w="601980" h="381000">
              <a:moveTo>
                <a:pt x="372351" y="112471"/>
              </a:moveTo>
              <a:lnTo>
                <a:pt x="371919" y="115049"/>
              </a:lnTo>
              <a:lnTo>
                <a:pt x="373672" y="117462"/>
              </a:lnTo>
              <a:lnTo>
                <a:pt x="376250" y="117906"/>
              </a:lnTo>
              <a:lnTo>
                <a:pt x="377596" y="118109"/>
              </a:lnTo>
              <a:lnTo>
                <a:pt x="378955" y="117741"/>
              </a:lnTo>
              <a:lnTo>
                <a:pt x="380009" y="116878"/>
              </a:lnTo>
            </a:path>
            <a:path w="601980" h="381000">
              <a:moveTo>
                <a:pt x="372351" y="112471"/>
              </a:moveTo>
              <a:lnTo>
                <a:pt x="372351" y="103657"/>
              </a:lnTo>
            </a:path>
            <a:path w="601980" h="381000">
              <a:moveTo>
                <a:pt x="372351" y="103631"/>
              </a:moveTo>
              <a:lnTo>
                <a:pt x="370725" y="101828"/>
              </a:lnTo>
              <a:lnTo>
                <a:pt x="370205" y="101955"/>
              </a:lnTo>
              <a:lnTo>
                <a:pt x="369697" y="102209"/>
              </a:lnTo>
            </a:path>
            <a:path w="601980" h="381000">
              <a:moveTo>
                <a:pt x="369697" y="102209"/>
              </a:moveTo>
              <a:lnTo>
                <a:pt x="365975" y="104381"/>
              </a:lnTo>
            </a:path>
            <a:path w="601980" h="381000">
              <a:moveTo>
                <a:pt x="358330" y="99974"/>
              </a:moveTo>
              <a:lnTo>
                <a:pt x="357911" y="102527"/>
              </a:lnTo>
              <a:lnTo>
                <a:pt x="359676" y="104965"/>
              </a:lnTo>
              <a:lnTo>
                <a:pt x="362242" y="105371"/>
              </a:lnTo>
              <a:lnTo>
                <a:pt x="363562" y="105600"/>
              </a:lnTo>
              <a:lnTo>
                <a:pt x="364921" y="105219"/>
              </a:lnTo>
              <a:lnTo>
                <a:pt x="365975" y="104355"/>
              </a:lnTo>
            </a:path>
            <a:path w="601980" h="381000">
              <a:moveTo>
                <a:pt x="358330" y="99974"/>
              </a:moveTo>
              <a:lnTo>
                <a:pt x="358330" y="88176"/>
              </a:lnTo>
            </a:path>
            <a:path w="601980" h="381000">
              <a:moveTo>
                <a:pt x="358330" y="88188"/>
              </a:moveTo>
              <a:lnTo>
                <a:pt x="289509" y="127927"/>
              </a:lnTo>
            </a:path>
            <a:path w="601980" h="381000">
              <a:moveTo>
                <a:pt x="289483" y="127927"/>
              </a:moveTo>
              <a:lnTo>
                <a:pt x="289483" y="122046"/>
              </a:lnTo>
            </a:path>
            <a:path w="601980" h="381000">
              <a:moveTo>
                <a:pt x="387654" y="112483"/>
              </a:moveTo>
              <a:lnTo>
                <a:pt x="395300" y="108076"/>
              </a:lnTo>
            </a:path>
            <a:path w="601980" h="381000">
              <a:moveTo>
                <a:pt x="276745" y="123507"/>
              </a:moveTo>
              <a:lnTo>
                <a:pt x="276745" y="129400"/>
              </a:lnTo>
            </a:path>
            <a:path w="601980" h="381000">
              <a:moveTo>
                <a:pt x="186220" y="71246"/>
              </a:moveTo>
              <a:lnTo>
                <a:pt x="186220" y="62433"/>
              </a:lnTo>
            </a:path>
            <a:path w="601980" h="381000">
              <a:moveTo>
                <a:pt x="289483" y="127927"/>
              </a:moveTo>
              <a:lnTo>
                <a:pt x="281838" y="132333"/>
              </a:lnTo>
            </a:path>
            <a:path w="601980" h="381000">
              <a:moveTo>
                <a:pt x="276745" y="129400"/>
              </a:moveTo>
              <a:lnTo>
                <a:pt x="281838" y="132359"/>
              </a:lnTo>
            </a:path>
            <a:path w="601980" h="381000">
              <a:moveTo>
                <a:pt x="186220" y="71246"/>
              </a:moveTo>
              <a:lnTo>
                <a:pt x="276745" y="123507"/>
              </a:lnTo>
            </a:path>
            <a:path w="601980" h="381000">
              <a:moveTo>
                <a:pt x="358330" y="88188"/>
              </a:moveTo>
              <a:lnTo>
                <a:pt x="350685" y="92608"/>
              </a:lnTo>
            </a:path>
            <a:path w="601980" h="381000">
              <a:moveTo>
                <a:pt x="350685" y="92608"/>
              </a:moveTo>
              <a:lnTo>
                <a:pt x="281838" y="132359"/>
              </a:lnTo>
            </a:path>
            <a:path w="601980" h="381000">
              <a:moveTo>
                <a:pt x="140335" y="97751"/>
              </a:moveTo>
              <a:lnTo>
                <a:pt x="186220" y="71246"/>
              </a:lnTo>
            </a:path>
            <a:path w="601980" h="381000">
              <a:moveTo>
                <a:pt x="380009" y="108038"/>
              </a:moveTo>
              <a:lnTo>
                <a:pt x="387654" y="112471"/>
              </a:lnTo>
            </a:path>
            <a:path w="601980" h="381000">
              <a:moveTo>
                <a:pt x="382549" y="379387"/>
              </a:moveTo>
              <a:lnTo>
                <a:pt x="424802" y="371843"/>
              </a:lnTo>
              <a:lnTo>
                <a:pt x="464540" y="360679"/>
              </a:lnTo>
              <a:lnTo>
                <a:pt x="500875" y="346125"/>
              </a:lnTo>
              <a:lnTo>
                <a:pt x="542544" y="322084"/>
              </a:lnTo>
              <a:lnTo>
                <a:pt x="574852" y="293662"/>
              </a:lnTo>
              <a:lnTo>
                <a:pt x="596493" y="262039"/>
              </a:lnTo>
              <a:lnTo>
                <a:pt x="600138" y="253784"/>
              </a:lnTo>
            </a:path>
            <a:path w="601980" h="381000">
              <a:moveTo>
                <a:pt x="469226" y="225818"/>
              </a:moveTo>
              <a:lnTo>
                <a:pt x="365975" y="166179"/>
              </a:lnTo>
            </a:path>
            <a:path w="601980" h="381000">
              <a:moveTo>
                <a:pt x="446290" y="119837"/>
              </a:moveTo>
              <a:lnTo>
                <a:pt x="365975" y="166192"/>
              </a:lnTo>
            </a:path>
            <a:path w="601980" h="381000">
              <a:moveTo>
                <a:pt x="312432" y="197091"/>
              </a:moveTo>
              <a:lnTo>
                <a:pt x="232117" y="243471"/>
              </a:lnTo>
            </a:path>
            <a:path w="601980" h="381000">
              <a:moveTo>
                <a:pt x="312432" y="197091"/>
              </a:moveTo>
              <a:lnTo>
                <a:pt x="415671" y="256730"/>
              </a:lnTo>
            </a:path>
            <a:path w="601980" h="381000">
              <a:moveTo>
                <a:pt x="415709" y="256717"/>
              </a:moveTo>
              <a:lnTo>
                <a:pt x="469239" y="225818"/>
              </a:lnTo>
            </a:path>
            <a:path w="601980" h="381000">
              <a:moveTo>
                <a:pt x="315633" y="368223"/>
              </a:moveTo>
              <a:lnTo>
                <a:pt x="331548" y="374963"/>
              </a:lnTo>
              <a:lnTo>
                <a:pt x="348219" y="379106"/>
              </a:lnTo>
              <a:lnTo>
                <a:pt x="365326" y="380598"/>
              </a:lnTo>
              <a:lnTo>
                <a:pt x="382549" y="379387"/>
              </a:lnTo>
            </a:path>
            <a:path w="601980" h="381000">
              <a:moveTo>
                <a:pt x="232117" y="243471"/>
              </a:moveTo>
              <a:lnTo>
                <a:pt x="221836" y="251918"/>
              </a:lnTo>
              <a:lnTo>
                <a:pt x="213966" y="262428"/>
              </a:lnTo>
              <a:lnTo>
                <a:pt x="208797" y="274502"/>
              </a:lnTo>
              <a:lnTo>
                <a:pt x="206616" y="287642"/>
              </a:lnTo>
            </a:path>
            <a:path w="601980" h="381000">
              <a:moveTo>
                <a:pt x="206616" y="287616"/>
              </a:moveTo>
              <a:lnTo>
                <a:pt x="206616" y="305295"/>
              </a:lnTo>
            </a:path>
            <a:path w="601980" h="381000">
              <a:moveTo>
                <a:pt x="206616" y="305295"/>
              </a:moveTo>
              <a:lnTo>
                <a:pt x="315633" y="368249"/>
              </a:lnTo>
            </a:path>
            <a:path w="601980" h="381000">
              <a:moveTo>
                <a:pt x="373621" y="179438"/>
              </a:moveTo>
              <a:lnTo>
                <a:pt x="373621" y="185343"/>
              </a:lnTo>
            </a:path>
            <a:path w="601980" h="381000">
              <a:moveTo>
                <a:pt x="365975" y="189750"/>
              </a:moveTo>
              <a:lnTo>
                <a:pt x="367995" y="191388"/>
              </a:lnTo>
              <a:lnTo>
                <a:pt x="370954" y="191096"/>
              </a:lnTo>
              <a:lnTo>
                <a:pt x="372618" y="189064"/>
              </a:lnTo>
              <a:lnTo>
                <a:pt x="373468" y="188023"/>
              </a:lnTo>
              <a:lnTo>
                <a:pt x="373837" y="186664"/>
              </a:lnTo>
              <a:lnTo>
                <a:pt x="373621" y="185343"/>
              </a:lnTo>
            </a:path>
            <a:path w="601980" h="381000">
              <a:moveTo>
                <a:pt x="365975" y="189750"/>
              </a:moveTo>
              <a:lnTo>
                <a:pt x="365975" y="166192"/>
              </a:lnTo>
            </a:path>
            <a:path w="601980" h="381000">
              <a:moveTo>
                <a:pt x="373621" y="179438"/>
              </a:moveTo>
              <a:lnTo>
                <a:pt x="461581" y="230225"/>
              </a:lnTo>
            </a:path>
            <a:path w="601980" h="381000">
              <a:moveTo>
                <a:pt x="600138" y="253796"/>
              </a:moveTo>
              <a:lnTo>
                <a:pt x="601306" y="250875"/>
              </a:lnTo>
              <a:lnTo>
                <a:pt x="601916" y="247726"/>
              </a:lnTo>
              <a:lnTo>
                <a:pt x="601916" y="244589"/>
              </a:lnTo>
            </a:path>
            <a:path w="601980" h="381000">
              <a:moveTo>
                <a:pt x="464312" y="118033"/>
              </a:moveTo>
              <a:lnTo>
                <a:pt x="458419" y="115354"/>
              </a:lnTo>
              <a:lnTo>
                <a:pt x="451523" y="116039"/>
              </a:lnTo>
              <a:lnTo>
                <a:pt x="446278" y="119837"/>
              </a:lnTo>
            </a:path>
            <a:path w="601980" h="381000">
              <a:moveTo>
                <a:pt x="367245" y="159575"/>
              </a:moveTo>
              <a:lnTo>
                <a:pt x="372338" y="162521"/>
              </a:lnTo>
            </a:path>
            <a:path w="601980" h="381000">
              <a:moveTo>
                <a:pt x="367245" y="150723"/>
              </a:moveTo>
              <a:lnTo>
                <a:pt x="367245" y="159562"/>
              </a:lnTo>
            </a:path>
            <a:path w="601980" h="381000">
              <a:moveTo>
                <a:pt x="372351" y="147789"/>
              </a:moveTo>
              <a:lnTo>
                <a:pt x="367245" y="150723"/>
              </a:lnTo>
            </a:path>
            <a:path w="601980" h="381000">
              <a:moveTo>
                <a:pt x="372351" y="147789"/>
              </a:moveTo>
              <a:lnTo>
                <a:pt x="377456" y="150723"/>
              </a:lnTo>
            </a:path>
            <a:path w="601980" h="381000">
              <a:moveTo>
                <a:pt x="377456" y="150723"/>
              </a:moveTo>
              <a:lnTo>
                <a:pt x="379984" y="158102"/>
              </a:lnTo>
            </a:path>
            <a:path w="601980" h="381000">
              <a:moveTo>
                <a:pt x="418236" y="127190"/>
              </a:moveTo>
              <a:lnTo>
                <a:pt x="420776" y="134531"/>
              </a:lnTo>
            </a:path>
            <a:path w="601980" h="381000">
              <a:moveTo>
                <a:pt x="418236" y="127190"/>
              </a:moveTo>
              <a:lnTo>
                <a:pt x="377456" y="150723"/>
              </a:lnTo>
            </a:path>
            <a:path w="601980" h="381000">
              <a:moveTo>
                <a:pt x="413143" y="124244"/>
              </a:moveTo>
              <a:lnTo>
                <a:pt x="372351" y="147789"/>
              </a:lnTo>
            </a:path>
            <a:path w="601980" h="381000">
              <a:moveTo>
                <a:pt x="413143" y="124244"/>
              </a:moveTo>
              <a:lnTo>
                <a:pt x="418236" y="127190"/>
              </a:lnTo>
            </a:path>
            <a:path w="601980" h="381000">
              <a:moveTo>
                <a:pt x="400392" y="108038"/>
              </a:moveTo>
              <a:lnTo>
                <a:pt x="433539" y="127190"/>
              </a:lnTo>
            </a:path>
            <a:path w="601980" h="381000">
              <a:moveTo>
                <a:pt x="405485" y="105117"/>
              </a:moveTo>
              <a:lnTo>
                <a:pt x="400380" y="108038"/>
              </a:lnTo>
            </a:path>
            <a:path w="601980" h="381000">
              <a:moveTo>
                <a:pt x="400392" y="116878"/>
              </a:moveTo>
              <a:lnTo>
                <a:pt x="413156" y="124244"/>
              </a:lnTo>
            </a:path>
            <a:path w="601980" h="381000">
              <a:moveTo>
                <a:pt x="418236" y="127190"/>
              </a:moveTo>
              <a:lnTo>
                <a:pt x="425894" y="131597"/>
              </a:lnTo>
            </a:path>
            <a:path w="601980" h="381000">
              <a:moveTo>
                <a:pt x="400392" y="108038"/>
              </a:moveTo>
              <a:lnTo>
                <a:pt x="400392" y="116878"/>
              </a:lnTo>
            </a:path>
            <a:path w="601980" h="381000">
              <a:moveTo>
                <a:pt x="418122" y="103860"/>
              </a:moveTo>
              <a:lnTo>
                <a:pt x="413969" y="101993"/>
              </a:lnTo>
              <a:lnTo>
                <a:pt x="409181" y="102476"/>
              </a:lnTo>
              <a:lnTo>
                <a:pt x="405485" y="105117"/>
              </a:lnTo>
            </a:path>
            <a:path w="601980" h="381000">
              <a:moveTo>
                <a:pt x="348119" y="94056"/>
              </a:moveTo>
              <a:lnTo>
                <a:pt x="358330" y="99974"/>
              </a:lnTo>
            </a:path>
            <a:path w="601980" h="381000">
              <a:moveTo>
                <a:pt x="365975" y="91312"/>
              </a:moveTo>
              <a:lnTo>
                <a:pt x="369633" y="93421"/>
              </a:lnTo>
            </a:path>
            <a:path w="601980" h="381000">
              <a:moveTo>
                <a:pt x="369785" y="102184"/>
              </a:moveTo>
              <a:lnTo>
                <a:pt x="372351" y="103657"/>
              </a:lnTo>
            </a:path>
            <a:path w="601980" h="381000">
              <a:moveTo>
                <a:pt x="344297" y="96278"/>
              </a:moveTo>
              <a:lnTo>
                <a:pt x="372338" y="112483"/>
              </a:lnTo>
            </a:path>
            <a:path w="601980" h="381000">
              <a:moveTo>
                <a:pt x="600138" y="236118"/>
              </a:moveTo>
              <a:lnTo>
                <a:pt x="600138" y="253796"/>
              </a:lnTo>
            </a:path>
            <a:path w="601980" h="381000">
              <a:moveTo>
                <a:pt x="600138" y="236118"/>
              </a:moveTo>
              <a:lnTo>
                <a:pt x="601306" y="233210"/>
              </a:lnTo>
              <a:lnTo>
                <a:pt x="601916" y="230073"/>
              </a:lnTo>
              <a:lnTo>
                <a:pt x="601916" y="226923"/>
              </a:lnTo>
            </a:path>
            <a:path w="601980" h="381000">
              <a:moveTo>
                <a:pt x="373621" y="185331"/>
              </a:moveTo>
              <a:lnTo>
                <a:pt x="378739" y="182397"/>
              </a:lnTo>
            </a:path>
            <a:path w="601980" h="381000">
              <a:moveTo>
                <a:pt x="130149" y="243471"/>
              </a:moveTo>
              <a:lnTo>
                <a:pt x="21120" y="180530"/>
              </a:lnTo>
            </a:path>
            <a:path w="601980" h="381000">
              <a:moveTo>
                <a:pt x="46621" y="136397"/>
              </a:moveTo>
              <a:lnTo>
                <a:pt x="36339" y="144833"/>
              </a:lnTo>
              <a:lnTo>
                <a:pt x="28470" y="155332"/>
              </a:lnTo>
              <a:lnTo>
                <a:pt x="23300" y="167400"/>
              </a:lnTo>
              <a:lnTo>
                <a:pt x="21120" y="180543"/>
              </a:lnTo>
            </a:path>
            <a:path w="601980" h="381000">
              <a:moveTo>
                <a:pt x="46621" y="136397"/>
              </a:moveTo>
              <a:lnTo>
                <a:pt x="155625" y="199326"/>
              </a:lnTo>
            </a:path>
            <a:path w="601980" h="381000">
              <a:moveTo>
                <a:pt x="21120" y="180543"/>
              </a:moveTo>
              <a:lnTo>
                <a:pt x="21120" y="198221"/>
              </a:lnTo>
            </a:path>
            <a:path w="601980" h="381000">
              <a:moveTo>
                <a:pt x="36969" y="117068"/>
              </a:moveTo>
              <a:lnTo>
                <a:pt x="34721" y="125031"/>
              </a:lnTo>
              <a:lnTo>
                <a:pt x="38912" y="133375"/>
              </a:lnTo>
              <a:lnTo>
                <a:pt x="46609" y="136372"/>
              </a:lnTo>
            </a:path>
            <a:path w="601980" h="381000">
              <a:moveTo>
                <a:pt x="227317" y="7162"/>
              </a:moveTo>
              <a:lnTo>
                <a:pt x="188645" y="14147"/>
              </a:lnTo>
              <a:lnTo>
                <a:pt x="141033" y="28841"/>
              </a:lnTo>
              <a:lnTo>
                <a:pt x="99923" y="49034"/>
              </a:lnTo>
              <a:lnTo>
                <a:pt x="67195" y="73812"/>
              </a:lnTo>
              <a:lnTo>
                <a:pt x="40284" y="109486"/>
              </a:lnTo>
              <a:lnTo>
                <a:pt x="36969" y="117068"/>
              </a:lnTo>
            </a:path>
            <a:path w="601980" h="381000">
              <a:moveTo>
                <a:pt x="260794" y="12750"/>
              </a:moveTo>
              <a:lnTo>
                <a:pt x="252836" y="9375"/>
              </a:lnTo>
              <a:lnTo>
                <a:pt x="244498" y="7304"/>
              </a:lnTo>
              <a:lnTo>
                <a:pt x="235939" y="6558"/>
              </a:lnTo>
              <a:lnTo>
                <a:pt x="227317" y="7162"/>
              </a:lnTo>
            </a:path>
            <a:path w="601980" h="381000">
              <a:moveTo>
                <a:pt x="369785" y="75679"/>
              </a:moveTo>
              <a:lnTo>
                <a:pt x="260781" y="12750"/>
              </a:lnTo>
            </a:path>
            <a:path w="601980" h="381000">
              <a:moveTo>
                <a:pt x="0" y="151117"/>
              </a:moveTo>
              <a:lnTo>
                <a:pt x="2171" y="160396"/>
              </a:lnTo>
              <a:lnTo>
                <a:pt x="6607" y="168663"/>
              </a:lnTo>
              <a:lnTo>
                <a:pt x="13019" y="175514"/>
              </a:lnTo>
              <a:lnTo>
                <a:pt x="21120" y="180543"/>
              </a:lnTo>
            </a:path>
            <a:path w="601980" h="381000">
              <a:moveTo>
                <a:pt x="278815" y="10960"/>
              </a:moveTo>
              <a:lnTo>
                <a:pt x="272923" y="8267"/>
              </a:lnTo>
              <a:lnTo>
                <a:pt x="266026" y="8953"/>
              </a:lnTo>
              <a:lnTo>
                <a:pt x="260781" y="12763"/>
              </a:lnTo>
            </a:path>
            <a:path w="601980" h="381000">
              <a:moveTo>
                <a:pt x="600138" y="236118"/>
              </a:moveTo>
              <a:lnTo>
                <a:pt x="574852" y="276009"/>
              </a:lnTo>
              <a:lnTo>
                <a:pt x="542544" y="304431"/>
              </a:lnTo>
              <a:lnTo>
                <a:pt x="500875" y="328472"/>
              </a:lnTo>
              <a:lnTo>
                <a:pt x="464540" y="343001"/>
              </a:lnTo>
              <a:lnTo>
                <a:pt x="424802" y="354190"/>
              </a:lnTo>
              <a:lnTo>
                <a:pt x="396875" y="359613"/>
              </a:lnTo>
              <a:lnTo>
                <a:pt x="382549" y="361721"/>
              </a:lnTo>
            </a:path>
            <a:path w="601980" h="381000">
              <a:moveTo>
                <a:pt x="382549" y="361721"/>
              </a:moveTo>
              <a:lnTo>
                <a:pt x="382080" y="349072"/>
              </a:lnTo>
              <a:lnTo>
                <a:pt x="380588" y="336524"/>
              </a:lnTo>
              <a:lnTo>
                <a:pt x="378089" y="324138"/>
              </a:lnTo>
              <a:lnTo>
                <a:pt x="374599" y="311975"/>
              </a:lnTo>
            </a:path>
            <a:path w="601980" h="381000">
              <a:moveTo>
                <a:pt x="374599" y="311975"/>
              </a:moveTo>
              <a:lnTo>
                <a:pt x="413270" y="304990"/>
              </a:lnTo>
              <a:lnTo>
                <a:pt x="460895" y="290309"/>
              </a:lnTo>
              <a:lnTo>
                <a:pt x="501980" y="270103"/>
              </a:lnTo>
              <a:lnTo>
                <a:pt x="534720" y="245325"/>
              </a:lnTo>
              <a:lnTo>
                <a:pt x="561619" y="209651"/>
              </a:lnTo>
              <a:lnTo>
                <a:pt x="564946" y="202069"/>
              </a:lnTo>
            </a:path>
            <a:path w="601980" h="381000">
              <a:moveTo>
                <a:pt x="315633" y="350545"/>
              </a:moveTo>
              <a:lnTo>
                <a:pt x="331548" y="357302"/>
              </a:lnTo>
              <a:lnTo>
                <a:pt x="348219" y="361448"/>
              </a:lnTo>
              <a:lnTo>
                <a:pt x="365326" y="362936"/>
              </a:lnTo>
              <a:lnTo>
                <a:pt x="382549" y="361721"/>
              </a:lnTo>
            </a:path>
            <a:path w="601980" h="381000">
              <a:moveTo>
                <a:pt x="341134" y="306374"/>
              </a:moveTo>
              <a:lnTo>
                <a:pt x="330847" y="314839"/>
              </a:lnTo>
              <a:lnTo>
                <a:pt x="322978" y="325350"/>
              </a:lnTo>
              <a:lnTo>
                <a:pt x="317812" y="337416"/>
              </a:lnTo>
              <a:lnTo>
                <a:pt x="315633" y="350545"/>
              </a:lnTo>
            </a:path>
            <a:path w="601980" h="381000">
              <a:moveTo>
                <a:pt x="341134" y="306374"/>
              </a:moveTo>
              <a:lnTo>
                <a:pt x="349090" y="309744"/>
              </a:lnTo>
              <a:lnTo>
                <a:pt x="357424" y="311818"/>
              </a:lnTo>
              <a:lnTo>
                <a:pt x="365978" y="312570"/>
              </a:lnTo>
              <a:lnTo>
                <a:pt x="374599" y="311975"/>
              </a:lnTo>
            </a:path>
            <a:path w="601980" h="381000">
              <a:moveTo>
                <a:pt x="232117" y="243471"/>
              </a:moveTo>
              <a:lnTo>
                <a:pt x="341134" y="306400"/>
              </a:lnTo>
            </a:path>
            <a:path w="601980" h="381000">
              <a:moveTo>
                <a:pt x="315633" y="350545"/>
              </a:moveTo>
              <a:lnTo>
                <a:pt x="315633" y="368249"/>
              </a:lnTo>
            </a:path>
            <a:path w="601980" h="381000">
              <a:moveTo>
                <a:pt x="315633" y="350545"/>
              </a:moveTo>
              <a:lnTo>
                <a:pt x="206616" y="287616"/>
              </a:lnTo>
            </a:path>
            <a:path w="601980" h="381000">
              <a:moveTo>
                <a:pt x="555307" y="182740"/>
              </a:moveTo>
              <a:lnTo>
                <a:pt x="446278" y="119837"/>
              </a:lnTo>
            </a:path>
            <a:path w="601980" h="381000">
              <a:moveTo>
                <a:pt x="564972" y="202069"/>
              </a:moveTo>
              <a:lnTo>
                <a:pt x="567182" y="194106"/>
              </a:lnTo>
              <a:lnTo>
                <a:pt x="563003" y="185762"/>
              </a:lnTo>
              <a:lnTo>
                <a:pt x="555307" y="182765"/>
              </a:lnTo>
            </a:path>
            <a:path w="601980" h="381000">
              <a:moveTo>
                <a:pt x="573366" y="180987"/>
              </a:moveTo>
              <a:lnTo>
                <a:pt x="567461" y="178269"/>
              </a:lnTo>
              <a:lnTo>
                <a:pt x="560565" y="178955"/>
              </a:lnTo>
              <a:lnTo>
                <a:pt x="555307" y="182740"/>
              </a:lnTo>
            </a:path>
            <a:path w="601980" h="381000">
              <a:moveTo>
                <a:pt x="600138" y="236118"/>
              </a:moveTo>
              <a:lnTo>
                <a:pt x="596331" y="223293"/>
              </a:lnTo>
              <a:lnTo>
                <a:pt x="588633" y="212798"/>
              </a:lnTo>
              <a:lnTo>
                <a:pt x="577891" y="205450"/>
              </a:lnTo>
              <a:lnTo>
                <a:pt x="564946" y="202069"/>
              </a:lnTo>
            </a:path>
            <a:path w="601980" h="381000">
              <a:moveTo>
                <a:pt x="405485" y="105117"/>
              </a:moveTo>
              <a:lnTo>
                <a:pt x="438619" y="124244"/>
              </a:lnTo>
            </a:path>
            <a:path w="601980" h="381000">
              <a:moveTo>
                <a:pt x="369785" y="84505"/>
              </a:moveTo>
              <a:lnTo>
                <a:pt x="387654" y="94818"/>
              </a:lnTo>
            </a:path>
            <a:path w="601980" h="381000">
              <a:moveTo>
                <a:pt x="196430" y="231686"/>
              </a:moveTo>
              <a:lnTo>
                <a:pt x="155625" y="208127"/>
              </a:lnTo>
            </a:path>
            <a:path w="601980" h="381000">
              <a:moveTo>
                <a:pt x="178587" y="262610"/>
              </a:moveTo>
              <a:lnTo>
                <a:pt x="137782" y="239052"/>
              </a:lnTo>
            </a:path>
            <a:path w="601980" h="381000">
              <a:moveTo>
                <a:pt x="36969" y="117068"/>
              </a:moveTo>
              <a:lnTo>
                <a:pt x="26850" y="116649"/>
              </a:lnTo>
              <a:lnTo>
                <a:pt x="17389" y="119460"/>
              </a:lnTo>
              <a:lnTo>
                <a:pt x="9323" y="125146"/>
              </a:lnTo>
              <a:lnTo>
                <a:pt x="3390" y="133349"/>
              </a:lnTo>
            </a:path>
            <a:path w="601980" h="381000">
              <a:moveTo>
                <a:pt x="222643" y="838"/>
              </a:moveTo>
              <a:lnTo>
                <a:pt x="223012" y="850"/>
              </a:lnTo>
              <a:lnTo>
                <a:pt x="224002" y="1371"/>
              </a:lnTo>
              <a:lnTo>
                <a:pt x="225069" y="2641"/>
              </a:lnTo>
              <a:lnTo>
                <a:pt x="226199" y="4559"/>
              </a:lnTo>
              <a:lnTo>
                <a:pt x="227317" y="7150"/>
              </a:lnTo>
            </a:path>
            <a:path w="601980" h="381000">
              <a:moveTo>
                <a:pt x="382549" y="361721"/>
              </a:moveTo>
              <a:lnTo>
                <a:pt x="382549" y="379387"/>
              </a:lnTo>
            </a:path>
          </a:pathLst>
        </a:custGeom>
        <a:ln w="4191">
          <a:solidFill>
            <a:srgbClr val="000000"/>
          </a:solidFill>
        </a:ln>
      </xdr:spPr>
    </xdr:sp>
    <xdr:clientData/>
  </xdr:absoluteAnchor>
  <xdr:absoluteAnchor>
    <xdr:pos x="4087882" y="324788807"/>
    <xdr:ext cx="0" cy="521970"/>
    <xdr:sp macro="" textlink="">
      <xdr:nvSpPr>
        <xdr:cNvPr id="412" name="Shape 1258">
          <a:extLst>
            <a:ext uri="{FF2B5EF4-FFF2-40B4-BE49-F238E27FC236}">
              <a16:creationId xmlns:a16="http://schemas.microsoft.com/office/drawing/2014/main" id="{E96ECEB3-B10F-4207-BC20-44C9C371ED25}"/>
            </a:ext>
          </a:extLst>
        </xdr:cNvPr>
        <xdr:cNvSpPr/>
      </xdr:nvSpPr>
      <xdr:spPr>
        <a:xfrm>
          <a:off x="4087882" y="324788807"/>
          <a:ext cx="0" cy="521970"/>
        </a:xfrm>
        <a:custGeom>
          <a:avLst/>
          <a:gdLst/>
          <a:ahLst/>
          <a:cxnLst/>
          <a:rect l="0" t="0" r="0" b="0"/>
          <a:pathLst>
            <a:path h="521970">
              <a:moveTo>
                <a:pt x="0" y="521957"/>
              </a:moveTo>
              <a:lnTo>
                <a:pt x="0" y="0"/>
              </a:lnTo>
            </a:path>
          </a:pathLst>
        </a:custGeom>
        <a:ln w="4381">
          <a:solidFill>
            <a:srgbClr val="000000"/>
          </a:solidFill>
        </a:ln>
      </xdr:spPr>
    </xdr:sp>
    <xdr:clientData/>
  </xdr:absoluteAnchor>
  <xdr:absoluteAnchor>
    <xdr:pos x="3944664" y="324772461"/>
    <xdr:ext cx="0" cy="843280"/>
    <xdr:sp macro="" textlink="">
      <xdr:nvSpPr>
        <xdr:cNvPr id="413" name="Shape 1259">
          <a:extLst>
            <a:ext uri="{FF2B5EF4-FFF2-40B4-BE49-F238E27FC236}">
              <a16:creationId xmlns:a16="http://schemas.microsoft.com/office/drawing/2014/main" id="{2B8B75DA-418F-4041-92E4-A665CCDD7773}"/>
            </a:ext>
          </a:extLst>
        </xdr:cNvPr>
        <xdr:cNvSpPr/>
      </xdr:nvSpPr>
      <xdr:spPr>
        <a:xfrm>
          <a:off x="3944664" y="324772461"/>
          <a:ext cx="0" cy="843280"/>
        </a:xfrm>
        <a:custGeom>
          <a:avLst/>
          <a:gdLst/>
          <a:ahLst/>
          <a:cxnLst/>
          <a:rect l="0" t="0" r="0" b="0"/>
          <a:pathLst>
            <a:path h="843280">
              <a:moveTo>
                <a:pt x="0" y="843025"/>
              </a:moveTo>
              <a:lnTo>
                <a:pt x="0" y="0"/>
              </a:lnTo>
            </a:path>
          </a:pathLst>
        </a:custGeom>
        <a:ln w="4381">
          <a:solidFill>
            <a:srgbClr val="000000"/>
          </a:solidFill>
        </a:ln>
      </xdr:spPr>
    </xdr:sp>
    <xdr:clientData/>
  </xdr:absoluteAnchor>
  <xdr:absoluteAnchor>
    <xdr:pos x="5206502" y="324575834"/>
    <xdr:ext cx="0" cy="1066800"/>
    <xdr:sp macro="" textlink="">
      <xdr:nvSpPr>
        <xdr:cNvPr id="414" name="Shape 1260">
          <a:extLst>
            <a:ext uri="{FF2B5EF4-FFF2-40B4-BE49-F238E27FC236}">
              <a16:creationId xmlns:a16="http://schemas.microsoft.com/office/drawing/2014/main" id="{F113C273-7989-4F08-A6EE-94510ACAB9EB}"/>
            </a:ext>
          </a:extLst>
        </xdr:cNvPr>
        <xdr:cNvSpPr/>
      </xdr:nvSpPr>
      <xdr:spPr>
        <a:xfrm>
          <a:off x="5206502" y="324575834"/>
          <a:ext cx="0" cy="1066800"/>
        </a:xfrm>
        <a:custGeom>
          <a:avLst/>
          <a:gdLst/>
          <a:ahLst/>
          <a:cxnLst/>
          <a:rect l="0" t="0" r="0" b="0"/>
          <a:pathLst>
            <a:path h="1066800">
              <a:moveTo>
                <a:pt x="0" y="1066736"/>
              </a:moveTo>
              <a:lnTo>
                <a:pt x="0" y="0"/>
              </a:lnTo>
            </a:path>
          </a:pathLst>
        </a:custGeom>
        <a:ln w="7302">
          <a:solidFill>
            <a:srgbClr val="000000"/>
          </a:solidFill>
        </a:ln>
      </xdr:spPr>
    </xdr:sp>
    <xdr:clientData/>
  </xdr:absoluteAnchor>
  <xdr:oneCellAnchor>
    <xdr:from>
      <xdr:col>6</xdr:col>
      <xdr:colOff>0</xdr:colOff>
      <xdr:row>116</xdr:row>
      <xdr:rowOff>162693</xdr:rowOff>
    </xdr:from>
    <xdr:ext cx="0" cy="139700"/>
    <xdr:sp macro="" textlink="">
      <xdr:nvSpPr>
        <xdr:cNvPr id="415" name="Shape 599">
          <a:extLst>
            <a:ext uri="{FF2B5EF4-FFF2-40B4-BE49-F238E27FC236}">
              <a16:creationId xmlns:a16="http://schemas.microsoft.com/office/drawing/2014/main" id="{A1D9DF0B-2B6A-4796-A2FC-46406A84FEBA}"/>
            </a:ext>
          </a:extLst>
        </xdr:cNvPr>
        <xdr:cNvSpPr/>
      </xdr:nvSpPr>
      <xdr:spPr>
        <a:xfrm>
          <a:off x="3124200" y="30693493"/>
          <a:ext cx="0" cy="139700"/>
        </a:xfrm>
        <a:custGeom>
          <a:avLst/>
          <a:gdLst/>
          <a:ahLst/>
          <a:cxnLst/>
          <a:rect l="0" t="0" r="0" b="0"/>
          <a:pathLst>
            <a:path h="139700">
              <a:moveTo>
                <a:pt x="0" y="139103"/>
              </a:moveTo>
              <a:lnTo>
                <a:pt x="0" y="0"/>
              </a:lnTo>
            </a:path>
          </a:pathLst>
        </a:custGeom>
        <a:ln w="3175">
          <a:solidFill>
            <a:srgbClr val="000000"/>
          </a:solidFill>
        </a:ln>
      </xdr:spPr>
    </xdr:sp>
    <xdr:clientData/>
  </xdr:oneCellAnchor>
  <xdr:oneCellAnchor>
    <xdr:from>
      <xdr:col>6</xdr:col>
      <xdr:colOff>0</xdr:colOff>
      <xdr:row>116</xdr:row>
      <xdr:rowOff>162693</xdr:rowOff>
    </xdr:from>
    <xdr:ext cx="0" cy="139700"/>
    <xdr:sp macro="" textlink="">
      <xdr:nvSpPr>
        <xdr:cNvPr id="416" name="Shape 599">
          <a:extLst>
            <a:ext uri="{FF2B5EF4-FFF2-40B4-BE49-F238E27FC236}">
              <a16:creationId xmlns:a16="http://schemas.microsoft.com/office/drawing/2014/main" id="{D1CD61C8-3C44-440A-B686-777D07B1AE20}"/>
            </a:ext>
          </a:extLst>
        </xdr:cNvPr>
        <xdr:cNvSpPr/>
      </xdr:nvSpPr>
      <xdr:spPr>
        <a:xfrm>
          <a:off x="3124200" y="30693493"/>
          <a:ext cx="0" cy="139700"/>
        </a:xfrm>
        <a:custGeom>
          <a:avLst/>
          <a:gdLst/>
          <a:ahLst/>
          <a:cxnLst/>
          <a:rect l="0" t="0" r="0" b="0"/>
          <a:pathLst>
            <a:path h="139700">
              <a:moveTo>
                <a:pt x="0" y="139103"/>
              </a:moveTo>
              <a:lnTo>
                <a:pt x="0" y="0"/>
              </a:lnTo>
            </a:path>
          </a:pathLst>
        </a:custGeom>
        <a:ln w="3175">
          <a:solidFill>
            <a:srgbClr val="000000"/>
          </a:solidFill>
        </a:ln>
      </xdr:spPr>
    </xdr:sp>
    <xdr:clientData/>
  </xdr:oneCellAnchor>
  <xdr:oneCellAnchor>
    <xdr:from>
      <xdr:col>5</xdr:col>
      <xdr:colOff>0</xdr:colOff>
      <xdr:row>116</xdr:row>
      <xdr:rowOff>162693</xdr:rowOff>
    </xdr:from>
    <xdr:ext cx="0" cy="139700"/>
    <xdr:sp macro="" textlink="">
      <xdr:nvSpPr>
        <xdr:cNvPr id="417" name="Shape 599">
          <a:extLst>
            <a:ext uri="{FF2B5EF4-FFF2-40B4-BE49-F238E27FC236}">
              <a16:creationId xmlns:a16="http://schemas.microsoft.com/office/drawing/2014/main" id="{E20CAAA9-FA15-4F19-BFD2-4D4EFF48C44D}"/>
            </a:ext>
          </a:extLst>
        </xdr:cNvPr>
        <xdr:cNvSpPr/>
      </xdr:nvSpPr>
      <xdr:spPr>
        <a:xfrm>
          <a:off x="2603500" y="30693493"/>
          <a:ext cx="0" cy="139700"/>
        </a:xfrm>
        <a:custGeom>
          <a:avLst/>
          <a:gdLst/>
          <a:ahLst/>
          <a:cxnLst/>
          <a:rect l="0" t="0" r="0" b="0"/>
          <a:pathLst>
            <a:path h="139700">
              <a:moveTo>
                <a:pt x="0" y="139103"/>
              </a:moveTo>
              <a:lnTo>
                <a:pt x="0" y="0"/>
              </a:lnTo>
            </a:path>
          </a:pathLst>
        </a:custGeom>
        <a:ln w="3175">
          <a:solidFill>
            <a:srgbClr val="000000"/>
          </a:solidFill>
        </a:ln>
      </xdr:spPr>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4</xdr:col>
      <xdr:colOff>101762</xdr:colOff>
      <xdr:row>21</xdr:row>
      <xdr:rowOff>44591</xdr:rowOff>
    </xdr:to>
    <xdr:pic>
      <xdr:nvPicPr>
        <xdr:cNvPr id="2" name="Grafik 1">
          <a:extLst>
            <a:ext uri="{FF2B5EF4-FFF2-40B4-BE49-F238E27FC236}">
              <a16:creationId xmlns:a16="http://schemas.microsoft.com/office/drawing/2014/main" id="{BE2E9008-D31D-4130-4E18-1C0957696928}"/>
            </a:ext>
          </a:extLst>
        </xdr:cNvPr>
        <xdr:cNvPicPr>
          <a:picLocks noChangeAspect="1"/>
        </xdr:cNvPicPr>
      </xdr:nvPicPr>
      <xdr:blipFill>
        <a:blip xmlns:r="http://schemas.openxmlformats.org/officeDocument/2006/relationships" r:embed="rId1"/>
        <a:stretch>
          <a:fillRect/>
        </a:stretch>
      </xdr:blipFill>
      <xdr:spPr>
        <a:xfrm>
          <a:off x="0" y="635000"/>
          <a:ext cx="3149762" cy="2743341"/>
        </a:xfrm>
        <a:prstGeom prst="rect">
          <a:avLst/>
        </a:prstGeom>
      </xdr:spPr>
    </xdr:pic>
    <xdr:clientData/>
  </xdr:twoCellAnchor>
  <xdr:twoCellAnchor editAs="oneCell">
    <xdr:from>
      <xdr:col>5</xdr:col>
      <xdr:colOff>0</xdr:colOff>
      <xdr:row>4</xdr:row>
      <xdr:rowOff>0</xdr:rowOff>
    </xdr:from>
    <xdr:to>
      <xdr:col>11</xdr:col>
      <xdr:colOff>676716</xdr:colOff>
      <xdr:row>11</xdr:row>
      <xdr:rowOff>67236</xdr:rowOff>
    </xdr:to>
    <xdr:pic>
      <xdr:nvPicPr>
        <xdr:cNvPr id="3" name="Grafik 2">
          <a:extLst>
            <a:ext uri="{FF2B5EF4-FFF2-40B4-BE49-F238E27FC236}">
              <a16:creationId xmlns:a16="http://schemas.microsoft.com/office/drawing/2014/main" id="{2422E41C-CF02-EB87-F7FB-E309AAB3556C}"/>
            </a:ext>
          </a:extLst>
        </xdr:cNvPr>
        <xdr:cNvPicPr>
          <a:picLocks noChangeAspect="1"/>
        </xdr:cNvPicPr>
      </xdr:nvPicPr>
      <xdr:blipFill>
        <a:blip xmlns:r="http://schemas.openxmlformats.org/officeDocument/2006/relationships" r:embed="rId2"/>
        <a:stretch>
          <a:fillRect/>
        </a:stretch>
      </xdr:blipFill>
      <xdr:spPr>
        <a:xfrm>
          <a:off x="3810000" y="627529"/>
          <a:ext cx="5248716" cy="1165412"/>
        </a:xfrm>
        <a:prstGeom prst="rect">
          <a:avLst/>
        </a:prstGeom>
      </xdr:spPr>
    </xdr:pic>
    <xdr:clientData/>
  </xdr:twoCellAnchor>
  <xdr:twoCellAnchor editAs="oneCell">
    <xdr:from>
      <xdr:col>13</xdr:col>
      <xdr:colOff>0</xdr:colOff>
      <xdr:row>4</xdr:row>
      <xdr:rowOff>1</xdr:rowOff>
    </xdr:from>
    <xdr:to>
      <xdr:col>16</xdr:col>
      <xdr:colOff>241471</xdr:colOff>
      <xdr:row>20</xdr:row>
      <xdr:rowOff>102131</xdr:rowOff>
    </xdr:to>
    <xdr:pic>
      <xdr:nvPicPr>
        <xdr:cNvPr id="4" name="Grafik 3" descr="Tesi 2">
          <a:extLst>
            <a:ext uri="{FF2B5EF4-FFF2-40B4-BE49-F238E27FC236}">
              <a16:creationId xmlns:a16="http://schemas.microsoft.com/office/drawing/2014/main" id="{9757DFD3-F48E-EFE1-CB78-F12BCFA5710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906000" y="642472"/>
          <a:ext cx="2520000" cy="2612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227266</xdr:colOff>
      <xdr:row>0</xdr:row>
      <xdr:rowOff>2520000</xdr:rowOff>
    </xdr:to>
    <xdr:pic>
      <xdr:nvPicPr>
        <xdr:cNvPr id="3" name="Grafik 2">
          <a:extLst>
            <a:ext uri="{FF2B5EF4-FFF2-40B4-BE49-F238E27FC236}">
              <a16:creationId xmlns:a16="http://schemas.microsoft.com/office/drawing/2014/main" id="{AC82C2B5-914E-40D6-B64A-F31615617237}"/>
            </a:ext>
          </a:extLst>
        </xdr:cNvPr>
        <xdr:cNvPicPr>
          <a:picLocks noChangeAspect="1"/>
        </xdr:cNvPicPr>
      </xdr:nvPicPr>
      <xdr:blipFill>
        <a:blip xmlns:r="http://schemas.openxmlformats.org/officeDocument/2006/relationships" r:embed="rId1"/>
        <a:stretch>
          <a:fillRect/>
        </a:stretch>
      </xdr:blipFill>
      <xdr:spPr>
        <a:xfrm>
          <a:off x="0" y="0"/>
          <a:ext cx="4202366" cy="2520000"/>
        </a:xfrm>
        <a:prstGeom prst="rect">
          <a:avLst/>
        </a:prstGeom>
      </xdr:spPr>
    </xdr:pic>
    <xdr:clientData/>
  </xdr:twoCellAnchor>
  <xdr:twoCellAnchor editAs="oneCell">
    <xdr:from>
      <xdr:col>0</xdr:col>
      <xdr:colOff>0</xdr:colOff>
      <xdr:row>33</xdr:row>
      <xdr:rowOff>0</xdr:rowOff>
    </xdr:from>
    <xdr:to>
      <xdr:col>13</xdr:col>
      <xdr:colOff>387608</xdr:colOff>
      <xdr:row>33</xdr:row>
      <xdr:rowOff>3105310</xdr:rowOff>
    </xdr:to>
    <xdr:pic>
      <xdr:nvPicPr>
        <xdr:cNvPr id="4" name="Grafik 3">
          <a:extLst>
            <a:ext uri="{FF2B5EF4-FFF2-40B4-BE49-F238E27FC236}">
              <a16:creationId xmlns:a16="http://schemas.microsoft.com/office/drawing/2014/main" id="{832A8EF1-9F8B-ED03-0B53-DDF803485A80}"/>
            </a:ext>
          </a:extLst>
        </xdr:cNvPr>
        <xdr:cNvPicPr>
          <a:picLocks noChangeAspect="1"/>
        </xdr:cNvPicPr>
      </xdr:nvPicPr>
      <xdr:blipFill>
        <a:blip xmlns:r="http://schemas.openxmlformats.org/officeDocument/2006/relationships" r:embed="rId2"/>
        <a:stretch>
          <a:fillRect/>
        </a:stretch>
      </xdr:blipFill>
      <xdr:spPr>
        <a:xfrm>
          <a:off x="0" y="7461250"/>
          <a:ext cx="5016758" cy="3105310"/>
        </a:xfrm>
        <a:prstGeom prst="rect">
          <a:avLst/>
        </a:prstGeom>
      </xdr:spPr>
    </xdr:pic>
    <xdr:clientData/>
  </xdr:twoCellAnchor>
  <xdr:twoCellAnchor editAs="oneCell">
    <xdr:from>
      <xdr:col>0</xdr:col>
      <xdr:colOff>0</xdr:colOff>
      <xdr:row>66</xdr:row>
      <xdr:rowOff>0</xdr:rowOff>
    </xdr:from>
    <xdr:to>
      <xdr:col>10</xdr:col>
      <xdr:colOff>158946</xdr:colOff>
      <xdr:row>66</xdr:row>
      <xdr:rowOff>2387723</xdr:rowOff>
    </xdr:to>
    <xdr:pic>
      <xdr:nvPicPr>
        <xdr:cNvPr id="11" name="Grafik 10">
          <a:extLst>
            <a:ext uri="{FF2B5EF4-FFF2-40B4-BE49-F238E27FC236}">
              <a16:creationId xmlns:a16="http://schemas.microsoft.com/office/drawing/2014/main" id="{8736567B-B5F1-2AF9-81F6-769CE828FCA2}"/>
            </a:ext>
          </a:extLst>
        </xdr:cNvPr>
        <xdr:cNvPicPr>
          <a:picLocks noChangeAspect="1"/>
        </xdr:cNvPicPr>
      </xdr:nvPicPr>
      <xdr:blipFill>
        <a:blip xmlns:r="http://schemas.openxmlformats.org/officeDocument/2006/relationships" r:embed="rId3"/>
        <a:stretch>
          <a:fillRect/>
        </a:stretch>
      </xdr:blipFill>
      <xdr:spPr>
        <a:xfrm>
          <a:off x="0" y="15995650"/>
          <a:ext cx="3810196" cy="2387723"/>
        </a:xfrm>
        <a:prstGeom prst="rect">
          <a:avLst/>
        </a:prstGeom>
      </xdr:spPr>
    </xdr:pic>
    <xdr:clientData/>
  </xdr:twoCellAnchor>
  <xdr:twoCellAnchor editAs="oneCell">
    <xdr:from>
      <xdr:col>0</xdr:col>
      <xdr:colOff>0</xdr:colOff>
      <xdr:row>98</xdr:row>
      <xdr:rowOff>0</xdr:rowOff>
    </xdr:from>
    <xdr:to>
      <xdr:col>10</xdr:col>
      <xdr:colOff>184347</xdr:colOff>
      <xdr:row>98</xdr:row>
      <xdr:rowOff>2330570</xdr:rowOff>
    </xdr:to>
    <xdr:pic>
      <xdr:nvPicPr>
        <xdr:cNvPr id="12" name="Grafik 11">
          <a:extLst>
            <a:ext uri="{FF2B5EF4-FFF2-40B4-BE49-F238E27FC236}">
              <a16:creationId xmlns:a16="http://schemas.microsoft.com/office/drawing/2014/main" id="{68934A54-B93B-A7C0-36C6-81B0202F9D3A}"/>
            </a:ext>
          </a:extLst>
        </xdr:cNvPr>
        <xdr:cNvPicPr>
          <a:picLocks noChangeAspect="1"/>
        </xdr:cNvPicPr>
      </xdr:nvPicPr>
      <xdr:blipFill>
        <a:blip xmlns:r="http://schemas.openxmlformats.org/officeDocument/2006/relationships" r:embed="rId4"/>
        <a:stretch>
          <a:fillRect/>
        </a:stretch>
      </xdr:blipFill>
      <xdr:spPr>
        <a:xfrm>
          <a:off x="0" y="23444200"/>
          <a:ext cx="3835597" cy="2330570"/>
        </a:xfrm>
        <a:prstGeom prst="rect">
          <a:avLst/>
        </a:prstGeom>
      </xdr:spPr>
    </xdr:pic>
    <xdr:clientData/>
  </xdr:twoCellAnchor>
  <xdr:twoCellAnchor editAs="oneCell">
    <xdr:from>
      <xdr:col>0</xdr:col>
      <xdr:colOff>0</xdr:colOff>
      <xdr:row>131</xdr:row>
      <xdr:rowOff>0</xdr:rowOff>
    </xdr:from>
    <xdr:to>
      <xdr:col>10</xdr:col>
      <xdr:colOff>197048</xdr:colOff>
      <xdr:row>131</xdr:row>
      <xdr:rowOff>2368672</xdr:rowOff>
    </xdr:to>
    <xdr:pic>
      <xdr:nvPicPr>
        <xdr:cNvPr id="13" name="Grafik 12">
          <a:extLst>
            <a:ext uri="{FF2B5EF4-FFF2-40B4-BE49-F238E27FC236}">
              <a16:creationId xmlns:a16="http://schemas.microsoft.com/office/drawing/2014/main" id="{F5C4A908-47B1-34F9-B646-5754BDE2763C}"/>
            </a:ext>
          </a:extLst>
        </xdr:cNvPr>
        <xdr:cNvPicPr>
          <a:picLocks noChangeAspect="1"/>
        </xdr:cNvPicPr>
      </xdr:nvPicPr>
      <xdr:blipFill>
        <a:blip xmlns:r="http://schemas.openxmlformats.org/officeDocument/2006/relationships" r:embed="rId5"/>
        <a:stretch>
          <a:fillRect/>
        </a:stretch>
      </xdr:blipFill>
      <xdr:spPr>
        <a:xfrm>
          <a:off x="0" y="30943550"/>
          <a:ext cx="3848298" cy="236867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0</xdr:colOff>
      <xdr:row>14</xdr:row>
      <xdr:rowOff>138830</xdr:rowOff>
    </xdr:from>
    <xdr:ext cx="216535" cy="216535"/>
    <xdr:grpSp>
      <xdr:nvGrpSpPr>
        <xdr:cNvPr id="2" name="Group 11">
          <a:extLst>
            <a:ext uri="{FF2B5EF4-FFF2-40B4-BE49-F238E27FC236}">
              <a16:creationId xmlns:a16="http://schemas.microsoft.com/office/drawing/2014/main" id="{07FF4658-8650-4EE9-98A1-660BB214FCA8}"/>
            </a:ext>
          </a:extLst>
        </xdr:cNvPr>
        <xdr:cNvGrpSpPr/>
      </xdr:nvGrpSpPr>
      <xdr:grpSpPr>
        <a:xfrm>
          <a:off x="0" y="2601723"/>
          <a:ext cx="216535" cy="216535"/>
          <a:chOff x="0" y="0"/>
          <a:chExt cx="216535" cy="216535"/>
        </a:xfrm>
      </xdr:grpSpPr>
      <xdr:sp macro="" textlink="">
        <xdr:nvSpPr>
          <xdr:cNvPr id="3" name="Shape 12">
            <a:extLst>
              <a:ext uri="{FF2B5EF4-FFF2-40B4-BE49-F238E27FC236}">
                <a16:creationId xmlns:a16="http://schemas.microsoft.com/office/drawing/2014/main" id="{C698E2DF-A420-58AB-7093-CA5566E167E8}"/>
              </a:ext>
            </a:extLst>
          </xdr:cNvPr>
          <xdr:cNvSpPr/>
        </xdr:nvSpPr>
        <xdr:spPr>
          <a:xfrm>
            <a:off x="8058" y="8045"/>
            <a:ext cx="208279" cy="208279"/>
          </a:xfrm>
          <a:custGeom>
            <a:avLst/>
            <a:gdLst/>
            <a:ahLst/>
            <a:cxnLst/>
            <a:rect l="0" t="0" r="0" b="0"/>
            <a:pathLst>
              <a:path w="208279" h="208279">
                <a:moveTo>
                  <a:pt x="207949" y="0"/>
                </a:moveTo>
                <a:lnTo>
                  <a:pt x="0" y="0"/>
                </a:lnTo>
                <a:lnTo>
                  <a:pt x="0" y="207949"/>
                </a:lnTo>
                <a:lnTo>
                  <a:pt x="207949" y="207949"/>
                </a:lnTo>
                <a:lnTo>
                  <a:pt x="207949" y="0"/>
                </a:lnTo>
                <a:close/>
              </a:path>
            </a:pathLst>
          </a:custGeom>
          <a:solidFill>
            <a:srgbClr val="575756"/>
          </a:solidFill>
        </xdr:spPr>
      </xdr:sp>
      <xdr:sp macro="" textlink="">
        <xdr:nvSpPr>
          <xdr:cNvPr id="4" name="Shape 13">
            <a:extLst>
              <a:ext uri="{FF2B5EF4-FFF2-40B4-BE49-F238E27FC236}">
                <a16:creationId xmlns:a16="http://schemas.microsoft.com/office/drawing/2014/main" id="{327EC907-344D-9B01-D06F-02B9847A7F1D}"/>
              </a:ext>
            </a:extLst>
          </xdr:cNvPr>
          <xdr:cNvSpPr/>
        </xdr:nvSpPr>
        <xdr:spPr>
          <a:xfrm>
            <a:off x="641" y="641"/>
            <a:ext cx="208279" cy="208279"/>
          </a:xfrm>
          <a:custGeom>
            <a:avLst/>
            <a:gdLst/>
            <a:ahLst/>
            <a:cxnLst/>
            <a:rect l="0" t="0" r="0" b="0"/>
            <a:pathLst>
              <a:path w="208279" h="208279">
                <a:moveTo>
                  <a:pt x="207721" y="0"/>
                </a:moveTo>
                <a:lnTo>
                  <a:pt x="0" y="0"/>
                </a:lnTo>
                <a:lnTo>
                  <a:pt x="0" y="207721"/>
                </a:lnTo>
                <a:lnTo>
                  <a:pt x="207721" y="207721"/>
                </a:lnTo>
                <a:lnTo>
                  <a:pt x="207721" y="0"/>
                </a:lnTo>
                <a:close/>
              </a:path>
            </a:pathLst>
          </a:custGeom>
          <a:solidFill>
            <a:srgbClr val="E2F3FD"/>
          </a:solidFill>
        </xdr:spPr>
      </xdr:sp>
      <xdr:sp macro="" textlink="">
        <xdr:nvSpPr>
          <xdr:cNvPr id="5" name="Shape 14">
            <a:extLst>
              <a:ext uri="{FF2B5EF4-FFF2-40B4-BE49-F238E27FC236}">
                <a16:creationId xmlns:a16="http://schemas.microsoft.com/office/drawing/2014/main" id="{10F20D19-EA4B-8D92-02D3-3E4E2EFC92F7}"/>
              </a:ext>
            </a:extLst>
          </xdr:cNvPr>
          <xdr:cNvSpPr/>
        </xdr:nvSpPr>
        <xdr:spPr>
          <a:xfrm>
            <a:off x="641" y="641"/>
            <a:ext cx="208279" cy="208279"/>
          </a:xfrm>
          <a:custGeom>
            <a:avLst/>
            <a:gdLst/>
            <a:ahLst/>
            <a:cxnLst/>
            <a:rect l="0" t="0" r="0" b="0"/>
            <a:pathLst>
              <a:path w="208279" h="208279">
                <a:moveTo>
                  <a:pt x="0" y="207721"/>
                </a:moveTo>
                <a:lnTo>
                  <a:pt x="207721" y="207721"/>
                </a:lnTo>
                <a:lnTo>
                  <a:pt x="207721" y="0"/>
                </a:lnTo>
                <a:lnTo>
                  <a:pt x="0" y="0"/>
                </a:lnTo>
                <a:lnTo>
                  <a:pt x="0" y="207721"/>
                </a:lnTo>
                <a:close/>
              </a:path>
            </a:pathLst>
          </a:custGeom>
          <a:ln w="3175">
            <a:solidFill>
              <a:srgbClr val="575756"/>
            </a:solidFill>
          </a:ln>
        </xdr:spPr>
      </xdr:sp>
    </xdr:grpSp>
    <xdr:clientData/>
  </xdr:oneCellAnchor>
  <xdr:oneCellAnchor>
    <xdr:from>
      <xdr:col>1</xdr:col>
      <xdr:colOff>427564</xdr:colOff>
      <xdr:row>14</xdr:row>
      <xdr:rowOff>138830</xdr:rowOff>
    </xdr:from>
    <xdr:ext cx="216535" cy="216535"/>
    <xdr:grpSp>
      <xdr:nvGrpSpPr>
        <xdr:cNvPr id="6" name="Group 15">
          <a:extLst>
            <a:ext uri="{FF2B5EF4-FFF2-40B4-BE49-F238E27FC236}">
              <a16:creationId xmlns:a16="http://schemas.microsoft.com/office/drawing/2014/main" id="{41404E34-4B0E-469C-8484-BC3C3BA02E38}"/>
            </a:ext>
          </a:extLst>
        </xdr:cNvPr>
        <xdr:cNvGrpSpPr/>
      </xdr:nvGrpSpPr>
      <xdr:grpSpPr>
        <a:xfrm>
          <a:off x="1774671" y="2601723"/>
          <a:ext cx="216535" cy="216535"/>
          <a:chOff x="0" y="0"/>
          <a:chExt cx="216535" cy="216535"/>
        </a:xfrm>
      </xdr:grpSpPr>
      <xdr:sp macro="" textlink="">
        <xdr:nvSpPr>
          <xdr:cNvPr id="7" name="Shape 16">
            <a:extLst>
              <a:ext uri="{FF2B5EF4-FFF2-40B4-BE49-F238E27FC236}">
                <a16:creationId xmlns:a16="http://schemas.microsoft.com/office/drawing/2014/main" id="{D30C7921-E2A4-EF13-3687-54028756AA61}"/>
              </a:ext>
            </a:extLst>
          </xdr:cNvPr>
          <xdr:cNvSpPr/>
        </xdr:nvSpPr>
        <xdr:spPr>
          <a:xfrm>
            <a:off x="8045" y="8045"/>
            <a:ext cx="208279" cy="208279"/>
          </a:xfrm>
          <a:custGeom>
            <a:avLst/>
            <a:gdLst/>
            <a:ahLst/>
            <a:cxnLst/>
            <a:rect l="0" t="0" r="0" b="0"/>
            <a:pathLst>
              <a:path w="208279" h="208279">
                <a:moveTo>
                  <a:pt x="207949" y="0"/>
                </a:moveTo>
                <a:lnTo>
                  <a:pt x="0" y="0"/>
                </a:lnTo>
                <a:lnTo>
                  <a:pt x="0" y="207949"/>
                </a:lnTo>
                <a:lnTo>
                  <a:pt x="207949" y="207949"/>
                </a:lnTo>
                <a:lnTo>
                  <a:pt x="207949" y="0"/>
                </a:lnTo>
                <a:close/>
              </a:path>
            </a:pathLst>
          </a:custGeom>
          <a:solidFill>
            <a:srgbClr val="575756"/>
          </a:solidFill>
        </xdr:spPr>
      </xdr:sp>
      <xdr:sp macro="" textlink="">
        <xdr:nvSpPr>
          <xdr:cNvPr id="8" name="Shape 17">
            <a:extLst>
              <a:ext uri="{FF2B5EF4-FFF2-40B4-BE49-F238E27FC236}">
                <a16:creationId xmlns:a16="http://schemas.microsoft.com/office/drawing/2014/main" id="{0787B527-EB26-B44C-1ADE-405F46AC40B2}"/>
              </a:ext>
            </a:extLst>
          </xdr:cNvPr>
          <xdr:cNvSpPr/>
        </xdr:nvSpPr>
        <xdr:spPr>
          <a:xfrm>
            <a:off x="641" y="641"/>
            <a:ext cx="208279" cy="208279"/>
          </a:xfrm>
          <a:custGeom>
            <a:avLst/>
            <a:gdLst/>
            <a:ahLst/>
            <a:cxnLst/>
            <a:rect l="0" t="0" r="0" b="0"/>
            <a:pathLst>
              <a:path w="208279" h="208279">
                <a:moveTo>
                  <a:pt x="207721" y="0"/>
                </a:moveTo>
                <a:lnTo>
                  <a:pt x="0" y="0"/>
                </a:lnTo>
                <a:lnTo>
                  <a:pt x="0" y="207721"/>
                </a:lnTo>
                <a:lnTo>
                  <a:pt x="207721" y="207721"/>
                </a:lnTo>
                <a:lnTo>
                  <a:pt x="207721" y="0"/>
                </a:lnTo>
                <a:close/>
              </a:path>
            </a:pathLst>
          </a:custGeom>
          <a:solidFill>
            <a:srgbClr val="FFE9AF"/>
          </a:solidFill>
        </xdr:spPr>
      </xdr:sp>
      <xdr:sp macro="" textlink="">
        <xdr:nvSpPr>
          <xdr:cNvPr id="9" name="Shape 18">
            <a:extLst>
              <a:ext uri="{FF2B5EF4-FFF2-40B4-BE49-F238E27FC236}">
                <a16:creationId xmlns:a16="http://schemas.microsoft.com/office/drawing/2014/main" id="{9B9E853F-2151-622C-5E38-651DEE09603E}"/>
              </a:ext>
            </a:extLst>
          </xdr:cNvPr>
          <xdr:cNvSpPr/>
        </xdr:nvSpPr>
        <xdr:spPr>
          <a:xfrm>
            <a:off x="641" y="641"/>
            <a:ext cx="208279" cy="208279"/>
          </a:xfrm>
          <a:custGeom>
            <a:avLst/>
            <a:gdLst/>
            <a:ahLst/>
            <a:cxnLst/>
            <a:rect l="0" t="0" r="0" b="0"/>
            <a:pathLst>
              <a:path w="208279" h="208279">
                <a:moveTo>
                  <a:pt x="0" y="207721"/>
                </a:moveTo>
                <a:lnTo>
                  <a:pt x="207721" y="207721"/>
                </a:lnTo>
                <a:lnTo>
                  <a:pt x="207721" y="0"/>
                </a:lnTo>
                <a:lnTo>
                  <a:pt x="0" y="0"/>
                </a:lnTo>
                <a:lnTo>
                  <a:pt x="0" y="207721"/>
                </a:lnTo>
                <a:close/>
              </a:path>
            </a:pathLst>
          </a:custGeom>
          <a:ln w="3175">
            <a:solidFill>
              <a:srgbClr val="575756"/>
            </a:solidFill>
          </a:ln>
        </xdr:spPr>
      </xdr:sp>
    </xdr:grpSp>
    <xdr:clientData/>
  </xdr:oneCellAnchor>
  <xdr:oneCellAnchor>
    <xdr:from>
      <xdr:col>6</xdr:col>
      <xdr:colOff>68129</xdr:colOff>
      <xdr:row>14</xdr:row>
      <xdr:rowOff>138830</xdr:rowOff>
    </xdr:from>
    <xdr:ext cx="216535" cy="216535"/>
    <xdr:grpSp>
      <xdr:nvGrpSpPr>
        <xdr:cNvPr id="10" name="Group 19">
          <a:extLst>
            <a:ext uri="{FF2B5EF4-FFF2-40B4-BE49-F238E27FC236}">
              <a16:creationId xmlns:a16="http://schemas.microsoft.com/office/drawing/2014/main" id="{62766A63-3BC8-4110-98DC-32F53073ACD2}"/>
            </a:ext>
          </a:extLst>
        </xdr:cNvPr>
        <xdr:cNvGrpSpPr/>
      </xdr:nvGrpSpPr>
      <xdr:grpSpPr>
        <a:xfrm>
          <a:off x="3592379" y="2601723"/>
          <a:ext cx="216535" cy="216535"/>
          <a:chOff x="0" y="0"/>
          <a:chExt cx="216535" cy="216535"/>
        </a:xfrm>
      </xdr:grpSpPr>
      <xdr:sp macro="" textlink="">
        <xdr:nvSpPr>
          <xdr:cNvPr id="11" name="Shape 20">
            <a:extLst>
              <a:ext uri="{FF2B5EF4-FFF2-40B4-BE49-F238E27FC236}">
                <a16:creationId xmlns:a16="http://schemas.microsoft.com/office/drawing/2014/main" id="{114F951E-95DA-1D34-A8CC-88BF6D53E142}"/>
              </a:ext>
            </a:extLst>
          </xdr:cNvPr>
          <xdr:cNvSpPr/>
        </xdr:nvSpPr>
        <xdr:spPr>
          <a:xfrm>
            <a:off x="8058" y="8045"/>
            <a:ext cx="208279" cy="208279"/>
          </a:xfrm>
          <a:custGeom>
            <a:avLst/>
            <a:gdLst/>
            <a:ahLst/>
            <a:cxnLst/>
            <a:rect l="0" t="0" r="0" b="0"/>
            <a:pathLst>
              <a:path w="208279" h="208279">
                <a:moveTo>
                  <a:pt x="207949" y="0"/>
                </a:moveTo>
                <a:lnTo>
                  <a:pt x="0" y="0"/>
                </a:lnTo>
                <a:lnTo>
                  <a:pt x="0" y="207949"/>
                </a:lnTo>
                <a:lnTo>
                  <a:pt x="207949" y="207949"/>
                </a:lnTo>
                <a:lnTo>
                  <a:pt x="207949" y="0"/>
                </a:lnTo>
                <a:close/>
              </a:path>
            </a:pathLst>
          </a:custGeom>
          <a:solidFill>
            <a:srgbClr val="575756"/>
          </a:solidFill>
        </xdr:spPr>
      </xdr:sp>
      <xdr:sp macro="" textlink="">
        <xdr:nvSpPr>
          <xdr:cNvPr id="12" name="Shape 21">
            <a:extLst>
              <a:ext uri="{FF2B5EF4-FFF2-40B4-BE49-F238E27FC236}">
                <a16:creationId xmlns:a16="http://schemas.microsoft.com/office/drawing/2014/main" id="{E4972F58-8A1F-5426-80CB-0A6F0FB5B9A5}"/>
              </a:ext>
            </a:extLst>
          </xdr:cNvPr>
          <xdr:cNvSpPr/>
        </xdr:nvSpPr>
        <xdr:spPr>
          <a:xfrm>
            <a:off x="641" y="641"/>
            <a:ext cx="208279" cy="208279"/>
          </a:xfrm>
          <a:custGeom>
            <a:avLst/>
            <a:gdLst/>
            <a:ahLst/>
            <a:cxnLst/>
            <a:rect l="0" t="0" r="0" b="0"/>
            <a:pathLst>
              <a:path w="208279" h="208279">
                <a:moveTo>
                  <a:pt x="207721" y="0"/>
                </a:moveTo>
                <a:lnTo>
                  <a:pt x="0" y="0"/>
                </a:lnTo>
                <a:lnTo>
                  <a:pt x="0" y="207721"/>
                </a:lnTo>
                <a:lnTo>
                  <a:pt x="207721" y="207721"/>
                </a:lnTo>
                <a:lnTo>
                  <a:pt x="207721" y="0"/>
                </a:lnTo>
                <a:close/>
              </a:path>
            </a:pathLst>
          </a:custGeom>
          <a:solidFill>
            <a:srgbClr val="D6E292"/>
          </a:solidFill>
        </xdr:spPr>
      </xdr:sp>
      <xdr:sp macro="" textlink="">
        <xdr:nvSpPr>
          <xdr:cNvPr id="13" name="Shape 22">
            <a:extLst>
              <a:ext uri="{FF2B5EF4-FFF2-40B4-BE49-F238E27FC236}">
                <a16:creationId xmlns:a16="http://schemas.microsoft.com/office/drawing/2014/main" id="{33729F09-9BE1-A5C7-1C2D-505DF91F764B}"/>
              </a:ext>
            </a:extLst>
          </xdr:cNvPr>
          <xdr:cNvSpPr/>
        </xdr:nvSpPr>
        <xdr:spPr>
          <a:xfrm>
            <a:off x="641" y="641"/>
            <a:ext cx="208279" cy="208279"/>
          </a:xfrm>
          <a:custGeom>
            <a:avLst/>
            <a:gdLst/>
            <a:ahLst/>
            <a:cxnLst/>
            <a:rect l="0" t="0" r="0" b="0"/>
            <a:pathLst>
              <a:path w="208279" h="208279">
                <a:moveTo>
                  <a:pt x="0" y="207721"/>
                </a:moveTo>
                <a:lnTo>
                  <a:pt x="207721" y="207721"/>
                </a:lnTo>
                <a:lnTo>
                  <a:pt x="207721" y="0"/>
                </a:lnTo>
                <a:lnTo>
                  <a:pt x="0" y="0"/>
                </a:lnTo>
                <a:lnTo>
                  <a:pt x="0" y="207721"/>
                </a:lnTo>
                <a:close/>
              </a:path>
            </a:pathLst>
          </a:custGeom>
          <a:ln w="3175">
            <a:solidFill>
              <a:srgbClr val="575756"/>
            </a:solidFill>
          </a:ln>
        </xdr:spPr>
      </xdr:sp>
    </xdr:grpSp>
    <xdr:clientData/>
  </xdr:oneCellAnchor>
</xdr:wsDr>
</file>

<file path=xl/persons/person.xml><?xml version="1.0" encoding="utf-8"?>
<personList xmlns="http://schemas.microsoft.com/office/spreadsheetml/2018/threadedcomments" xmlns:x="http://schemas.openxmlformats.org/spreadsheetml/2006/main">
  <person displayName="Domingo Irigoyen Silvia HSLU T&amp;A" id="{313EA766-CAFF-4843-8B2E-BA6AFA5AEA18}" userId="S::silvia.domingo@hslu.ch::a998e400-0eba-4747-b1f7-8a3c033cf390"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6" dT="2025-11-18T08:40:12.95" personId="{313EA766-CAFF-4843-8B2E-BA6AFA5AEA18}" id="{0CDC0D82-9328-44D9-8DEC-37AD79A3D00F}">
    <text xml:space="preserve">Ev. wären zwei Formeln je nach Grösse (&lt;1000 und ≥1000) präziser. </text>
  </threadedComment>
</ThreadedComments>
</file>

<file path=xl/threadedComments/threadedComment2.xml><?xml version="1.0" encoding="utf-8"?>
<ThreadedComments xmlns="http://schemas.microsoft.com/office/spreadsheetml/2018/threadedcomments" xmlns:x="http://schemas.openxmlformats.org/spreadsheetml/2006/main">
  <threadedComment ref="E30" dT="2025-11-12T01:29:32.47" personId="{313EA766-CAFF-4843-8B2E-BA6AFA5AEA18}" id="{B8F1024E-5610-4D59-9557-E47F6A7EBA21}">
    <text>Tiefe 145 mm</text>
  </threadedComment>
  <threadedComment ref="E31" dT="2025-11-12T01:25:30.85" personId="{313EA766-CAFF-4843-8B2E-BA6AFA5AEA18}" id="{68B3F8B4-B597-4C51-8D85-C800AE818C50}">
    <text>Mittelwerz von 3-Glieder (Tiefe 136 mm) und 4-Glieder (Tiefe 173 mm)</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heizsparer.de/heizung/heizkorper/die-wichtigsten-heizkoerper-typen-im-ueberblick" TargetMode="External"/></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hyperlink" Target="https://edge.sitecorecloud.io/bdrthermea1-platform-production-864a/media/Project/BaxiES/BaxiES/Documentation/Professional-products/Radiadores/Acero/2-y-3-columnas/A00B07C36F28BROCH2es02pdf.pdf" TargetMode="External"/><Relationship Id="rId5" Type="http://schemas.microsoft.com/office/2017/10/relationships/threadedComment" Target="../threadedComments/threadedComment2.xml"/><Relationship Id="rId4" Type="http://schemas.openxmlformats.org/officeDocument/2006/relationships/comments" Target="../comments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A639-2A4E-4381-BCE1-BBB6BFB13EB2}">
  <dimension ref="A1"/>
  <sheetViews>
    <sheetView workbookViewId="0">
      <selection activeCell="D23" sqref="D23"/>
    </sheetView>
  </sheetViews>
  <sheetFormatPr baseColWidth="10" defaultRowHeight="12.75" x14ac:dyDescent="0.2"/>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95262-82F3-4D3E-9CFE-363E81AD1E17}">
  <sheetPr codeName="Sheet3">
    <tabColor rgb="FFFF0000"/>
  </sheetPr>
  <dimension ref="A1:H35"/>
  <sheetViews>
    <sheetView tabSelected="1" workbookViewId="0">
      <selection activeCell="E3" sqref="E3"/>
    </sheetView>
  </sheetViews>
  <sheetFormatPr baseColWidth="10" defaultColWidth="8.85546875" defaultRowHeight="12.75" x14ac:dyDescent="0.2"/>
  <cols>
    <col min="1" max="1" width="23.5703125" bestFit="1" customWidth="1"/>
    <col min="2" max="2" width="17.140625" customWidth="1"/>
  </cols>
  <sheetData>
    <row r="1" spans="1:8" x14ac:dyDescent="0.2">
      <c r="A1" s="1" t="s">
        <v>697</v>
      </c>
    </row>
    <row r="2" spans="1:8" x14ac:dyDescent="0.2">
      <c r="A2" s="343" t="s">
        <v>17</v>
      </c>
      <c r="B2" s="345">
        <v>500</v>
      </c>
      <c r="E2" s="344" t="s">
        <v>710</v>
      </c>
    </row>
    <row r="3" spans="1:8" x14ac:dyDescent="0.2">
      <c r="A3" s="347" t="s">
        <v>18</v>
      </c>
      <c r="B3" s="348">
        <v>136</v>
      </c>
      <c r="D3" s="2"/>
      <c r="E3" s="349" t="s">
        <v>711</v>
      </c>
      <c r="F3" s="2"/>
    </row>
    <row r="4" spans="1:8" x14ac:dyDescent="0.2">
      <c r="A4" s="347" t="s">
        <v>19</v>
      </c>
      <c r="B4" s="348">
        <v>1170</v>
      </c>
      <c r="D4" s="2"/>
      <c r="F4" s="2"/>
    </row>
    <row r="5" spans="1:8" x14ac:dyDescent="0.2">
      <c r="A5" s="343" t="s">
        <v>20</v>
      </c>
      <c r="B5" s="344">
        <v>26</v>
      </c>
      <c r="C5" t="b">
        <f>IF(AND((0.85*B4/45)&lt;B5,B5&lt;(1.15*B4/45)),TRUE,"Anzahl der Glieder und Länge des Heizkörpers sind nicht kompatibel mit Berechnungsmodell")</f>
        <v>1</v>
      </c>
      <c r="D5" s="13"/>
      <c r="E5">
        <f>ROUND(B4/45,0)</f>
        <v>26</v>
      </c>
    </row>
    <row r="6" spans="1:8" x14ac:dyDescent="0.2">
      <c r="A6" s="343" t="s">
        <v>671</v>
      </c>
      <c r="B6" s="344">
        <v>4</v>
      </c>
      <c r="C6" t="b">
        <f>IF(AND(B3&lt;=70,B6=2),TRUE,IF(AND(70&lt;B3,B3&lt;=110,B6=3),TRUE,IF(AND(110&lt;B3,B3&lt;=150,B6=4),TRUE,IF(AND(150&lt;B3,B3&lt;=200,B6=5),TRUE,IF(AND(200&lt;B3,B3&lt;=250,B6=6),TRUE,"Die Anzahl von Säulen ist nicht mit der Radiatortiefe konsistent")))))</f>
        <v>1</v>
      </c>
      <c r="D6" s="2"/>
      <c r="E6">
        <f>IF(B3&lt;=70,2,IF(AND(B3&gt;70,B3&lt;=110),3,IF(AND(B3&gt;110,B3&lt;=150),4,IF(AND(B3&gt;150,B3&lt;=200),5,IF(AND(B3&gt;200,B3&lt;=250),6)))))</f>
        <v>4</v>
      </c>
    </row>
    <row r="7" spans="1:8" x14ac:dyDescent="0.2">
      <c r="F7" s="285"/>
    </row>
    <row r="8" spans="1:8" x14ac:dyDescent="0.2">
      <c r="A8" s="343" t="s">
        <v>22</v>
      </c>
      <c r="B8" s="346">
        <v>55</v>
      </c>
      <c r="E8" s="285"/>
      <c r="F8" s="285"/>
    </row>
    <row r="9" spans="1:8" x14ac:dyDescent="0.2">
      <c r="A9" s="343" t="s">
        <v>23</v>
      </c>
      <c r="B9" s="346">
        <v>45</v>
      </c>
      <c r="E9" s="285"/>
      <c r="F9" s="285"/>
    </row>
    <row r="10" spans="1:8" x14ac:dyDescent="0.2">
      <c r="A10" s="343" t="s">
        <v>24</v>
      </c>
      <c r="B10" s="346">
        <v>22</v>
      </c>
      <c r="E10" s="285"/>
      <c r="F10" s="285"/>
    </row>
    <row r="11" spans="1:8" x14ac:dyDescent="0.2">
      <c r="E11" s="285"/>
      <c r="F11" s="285"/>
    </row>
    <row r="12" spans="1:8" x14ac:dyDescent="0.2">
      <c r="A12" s="1" t="s">
        <v>698</v>
      </c>
      <c r="E12" s="285"/>
    </row>
    <row r="13" spans="1:8" x14ac:dyDescent="0.2">
      <c r="A13" s="2" t="s">
        <v>16</v>
      </c>
      <c r="B13" s="12">
        <f>IF(B6=2,0.0701*B2+3.1231,IF(B6=3,0.0911*B2+7.6769,IF(B6=4,0.1145*B2+11.758,IF(B6=5,0.137*B2+16.647,IF(B6=6,0.1609*B2+20.129)))))</f>
        <v>69.007999999999996</v>
      </c>
      <c r="H13" s="2"/>
    </row>
    <row r="14" spans="1:8" x14ac:dyDescent="0.2">
      <c r="A14" s="2" t="s">
        <v>25</v>
      </c>
      <c r="B14" s="12">
        <f>B13*(((B8-B9)/(LN((B8-B10)/(B9-B10)))/'Exponent alle'!$N$28)^(IF(B6=2,-0.00000002*B2^2+0.00008*B2 + 1.2298,IF(B6=3,-0.00000001*B2^2+0.00006*B2 + 1.2636,IF(B6=4,-0.00000002*B2^2+0.00008*B2 + 1.2608,IF(B6=5,-0.00000002*B2^2+0.00007*B2 + 1.2826,IF(B6=6, -0.00000002*B2^2+0.00006*B2 + 1.2931)))))))</f>
        <v>32.241817447429938</v>
      </c>
      <c r="D14" s="29"/>
      <c r="E14" s="29"/>
    </row>
    <row r="15" spans="1:8" x14ac:dyDescent="0.2">
      <c r="A15" s="2" t="s">
        <v>27</v>
      </c>
      <c r="B15" s="15">
        <f>IF(B6=2,0.0016*B2+0.0569,IF(B6=3,0.0024*B2+0.0988,IF(B6=4,0.0032*B2+0.1482,IF(B6=5,0.004*B2+0.1919,IF(B6=6,0.0048*B2+0.2597)))))</f>
        <v>1.7482000000000002</v>
      </c>
    </row>
    <row r="17" spans="1:4" x14ac:dyDescent="0.2">
      <c r="A17" s="1" t="s">
        <v>21</v>
      </c>
      <c r="B17" s="16">
        <f>B5*B13</f>
        <v>1794.2079999999999</v>
      </c>
    </row>
    <row r="18" spans="1:4" x14ac:dyDescent="0.2">
      <c r="A18" s="1" t="s">
        <v>26</v>
      </c>
      <c r="B18" s="16">
        <f>B5*B14</f>
        <v>838.28725363317835</v>
      </c>
    </row>
    <row r="19" spans="1:4" x14ac:dyDescent="0.2">
      <c r="A19" s="1" t="s">
        <v>5</v>
      </c>
      <c r="B19" s="289">
        <f>IF(B5="",ROUND((B4-2.6)/4.6,0)*B15,IF(((0.75*B5)&gt;(B4-2.6)/4.6)&gt;(1.25*B5),B5*B15,"Anzahl der Glieder und Länge des Heizkörpers sind nicht kompatibel mit Berechnungsmodell"))</f>
        <v>45.453200000000002</v>
      </c>
    </row>
    <row r="21" spans="1:4" x14ac:dyDescent="0.2">
      <c r="B21" s="2"/>
      <c r="D21" s="1"/>
    </row>
    <row r="22" spans="1:4" x14ac:dyDescent="0.2">
      <c r="D22" s="2"/>
    </row>
    <row r="24" spans="1:4" x14ac:dyDescent="0.2">
      <c r="D24" s="2"/>
    </row>
    <row r="26" spans="1:4" x14ac:dyDescent="0.2">
      <c r="D26" s="2"/>
    </row>
    <row r="28" spans="1:4" x14ac:dyDescent="0.2">
      <c r="D28" s="2"/>
    </row>
    <row r="30" spans="1:4" x14ac:dyDescent="0.2">
      <c r="D30" s="2"/>
    </row>
    <row r="31" spans="1:4" x14ac:dyDescent="0.2">
      <c r="D31" s="2"/>
    </row>
    <row r="33" spans="4:4" x14ac:dyDescent="0.2">
      <c r="D33" s="2"/>
    </row>
    <row r="35" spans="4:4" x14ac:dyDescent="0.2">
      <c r="D35" s="2"/>
    </row>
  </sheetData>
  <phoneticPr fontId="1" type="noConversion"/>
  <conditionalFormatting sqref="B5">
    <cfRule type="expression" dxfId="67" priority="87">
      <formula>IF($P6:$P1004="horizontal",1,0)</formula>
    </cfRule>
    <cfRule type="expression" dxfId="66" priority="88">
      <formula>IF($P6:$P1004="vertikal",1,0)</formula>
    </cfRule>
    <cfRule type="expression" dxfId="65" priority="89">
      <formula>IF($N6="","",IF(B5="",1,0))</formula>
    </cfRule>
    <cfRule type="expression" dxfId="64" priority="92">
      <formula>IF(ISERROR(SEARCH("blau",B$4)),0,1)</formula>
    </cfRule>
    <cfRule type="expression" dxfId="63" priority="93">
      <formula>IF(ISERROR(SEARCH("gelb",B$4)),0,1)</formula>
    </cfRule>
    <cfRule type="expression" dxfId="62" priority="94">
      <formula>IF(ISERROR(SEARCH("grau",B$4)),0,1)</formula>
    </cfRule>
  </conditionalFormatting>
  <conditionalFormatting sqref="B5:B6">
    <cfRule type="expression" dxfId="61" priority="90">
      <formula>IF(ISERROR(SEARCH("dünn",B$4)),0,1)</formula>
    </cfRule>
    <cfRule type="expression" dxfId="60" priority="91">
      <formula>IF(ISERROR(SEARCH("dick",B$4)),0,1)</formula>
    </cfRule>
  </conditionalFormatting>
  <conditionalFormatting sqref="B6">
    <cfRule type="expression" dxfId="59" priority="95">
      <formula>IF($P4:$P1002="horizontal",1,0)</formula>
    </cfRule>
    <cfRule type="expression" dxfId="58" priority="96">
      <formula>IF($P4:$P1002="vertikal",1,0)</formula>
    </cfRule>
    <cfRule type="expression" dxfId="57" priority="97">
      <formula>IF($N4="","",IF(B6="",1,0))</formula>
    </cfRule>
    <cfRule type="expression" dxfId="56" priority="100">
      <formula>IF(ISERROR(SEARCH("blau",B$4)),0,1)</formula>
    </cfRule>
    <cfRule type="expression" dxfId="55" priority="101">
      <formula>IF(ISERROR(SEARCH("gelb",B$4)),0,1)</formula>
    </cfRule>
    <cfRule type="expression" dxfId="54" priority="102">
      <formula>IF(ISERROR(SEARCH("grau",B$4)),0,1)</formula>
    </cfRule>
  </conditionalFormatting>
  <conditionalFormatting sqref="C5">
    <cfRule type="expression" dxfId="53" priority="135">
      <formula>IF($P3:$P1001="horizontal",1,0)</formula>
    </cfRule>
    <cfRule type="expression" dxfId="52" priority="136">
      <formula>IF($P3:$P1001="vertikal",1,0)</formula>
    </cfRule>
    <cfRule type="expression" dxfId="51" priority="137">
      <formula>IF($N3="","",IF(C5="",1,0))</formula>
    </cfRule>
    <cfRule type="expression" dxfId="50" priority="140">
      <formula>IF(ISERROR(SEARCH("blau",B$4)),0,1)</formula>
    </cfRule>
    <cfRule type="expression" dxfId="49" priority="141">
      <formula>IF(ISERROR(SEARCH("gelb",B$4)),0,1)</formula>
    </cfRule>
    <cfRule type="expression" dxfId="48" priority="142">
      <formula>IF(ISERROR(SEARCH("grau",B$4)),0,1)</formula>
    </cfRule>
  </conditionalFormatting>
  <conditionalFormatting sqref="C5:C6">
    <cfRule type="containsText" dxfId="47" priority="1" operator="containsText" text="WAHR">
      <formula>NOT(ISERROR(SEARCH("WAHR",C5)))</formula>
    </cfRule>
    <cfRule type="expression" dxfId="46" priority="106">
      <formula>IF(ISERROR(SEARCH("dünn",B$4)),0,1)</formula>
    </cfRule>
    <cfRule type="expression" dxfId="45" priority="107">
      <formula>IF(ISERROR(SEARCH("dick",B$4)),0,1)</formula>
    </cfRule>
  </conditionalFormatting>
  <conditionalFormatting sqref="C6">
    <cfRule type="expression" dxfId="44" priority="103">
      <formula>IF($P5:$P1003="horizontal",1,0)</formula>
    </cfRule>
    <cfRule type="expression" dxfId="43" priority="104">
      <formula>IF($P5:$P1003="vertikal",1,0)</formula>
    </cfRule>
    <cfRule type="expression" dxfId="42" priority="105">
      <formula>IF($N5="","",IF(C6="",1,0))</formula>
    </cfRule>
    <cfRule type="expression" dxfId="41" priority="108">
      <formula>IF(ISERROR(SEARCH("blau",B$4)),0,1)</formula>
    </cfRule>
    <cfRule type="expression" dxfId="40" priority="109">
      <formula>IF(ISERROR(SEARCH("gelb",B$4)),0,1)</formula>
    </cfRule>
    <cfRule type="expression" dxfId="39" priority="110">
      <formula>IF(ISERROR(SEARCH("grau",B$4)),0,1)</formula>
    </cfRule>
  </conditionalFormatting>
  <pageMargins left="0.78740157499999996" right="0.78740157499999996" top="0.984251969" bottom="0.984251969" header="0.5" footer="0.5"/>
  <pageSetup paperSize="9"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17E65-B3E1-4328-81E6-E3D2E52F61EA}">
  <sheetPr codeName="Sheet4"/>
  <dimension ref="A1:H18"/>
  <sheetViews>
    <sheetView zoomScaleNormal="100" workbookViewId="0">
      <selection activeCell="J35" sqref="J35"/>
    </sheetView>
  </sheetViews>
  <sheetFormatPr baseColWidth="10" defaultColWidth="8.85546875" defaultRowHeight="12.75" x14ac:dyDescent="0.2"/>
  <cols>
    <col min="1" max="1" width="23.5703125" bestFit="1" customWidth="1"/>
    <col min="2" max="2" width="17.140625" customWidth="1"/>
  </cols>
  <sheetData>
    <row r="1" spans="1:8" x14ac:dyDescent="0.2">
      <c r="A1" s="2" t="s">
        <v>17</v>
      </c>
      <c r="B1" s="56">
        <v>500</v>
      </c>
    </row>
    <row r="2" spans="1:8" x14ac:dyDescent="0.2">
      <c r="A2" s="2" t="s">
        <v>19</v>
      </c>
      <c r="B2" s="56">
        <v>1000</v>
      </c>
      <c r="D2" s="2"/>
      <c r="F2" s="2"/>
    </row>
    <row r="3" spans="1:8" x14ac:dyDescent="0.2">
      <c r="A3" s="2" t="s">
        <v>18</v>
      </c>
      <c r="B3" s="56">
        <v>62</v>
      </c>
      <c r="D3" s="13"/>
    </row>
    <row r="4" spans="1:8" x14ac:dyDescent="0.2">
      <c r="A4" s="2" t="s">
        <v>34</v>
      </c>
      <c r="B4">
        <v>11</v>
      </c>
      <c r="D4" s="2"/>
    </row>
    <row r="6" spans="1:8" x14ac:dyDescent="0.2">
      <c r="A6" s="2" t="s">
        <v>22</v>
      </c>
      <c r="B6" s="14">
        <v>55</v>
      </c>
    </row>
    <row r="7" spans="1:8" x14ac:dyDescent="0.2">
      <c r="A7" s="2" t="s">
        <v>23</v>
      </c>
      <c r="B7" s="14">
        <v>45</v>
      </c>
    </row>
    <row r="8" spans="1:8" x14ac:dyDescent="0.2">
      <c r="A8" s="2" t="s">
        <v>24</v>
      </c>
      <c r="B8" s="14">
        <v>22</v>
      </c>
    </row>
    <row r="10" spans="1:8" x14ac:dyDescent="0.2">
      <c r="A10" s="1" t="s">
        <v>21</v>
      </c>
      <c r="B10" s="16">
        <f ca="1">IF(B4=11,'Basis Radiator'!Y52,IF(B4=20,'Basis Radiator'!AQ52,IF(B4=21,'Basis Radiator'!AV52,IF(B4=22,'Basis Radiator'!BV52,'Basis Radiator'!CN52))))</f>
        <v>7800</v>
      </c>
      <c r="H10" s="2"/>
    </row>
    <row r="11" spans="1:8" x14ac:dyDescent="0.2">
      <c r="A11" s="1" t="s">
        <v>35</v>
      </c>
      <c r="B11" s="16">
        <f ca="1">B10*(((B6-B7)/(LN((B6-B8)/(B7-B8)))/'Basis Radiator'!B62)^'Basis Radiator'!A53)</f>
        <v>3699.9400778469503</v>
      </c>
    </row>
    <row r="12" spans="1:8" x14ac:dyDescent="0.2">
      <c r="A12" s="2" t="s">
        <v>27</v>
      </c>
      <c r="B12" s="15">
        <f ca="1">IF(B4=11,'Basis Radiator'!Y54,IF(B4=20,'Basis Radiator'!AQ54,IF(B4=21,'Basis Radiator'!AV54,IF(B4=22,'Basis Radiator'!BV54,'Basis Radiator'!CN52))))</f>
        <v>0</v>
      </c>
    </row>
    <row r="14" spans="1:8" x14ac:dyDescent="0.2">
      <c r="A14" s="1"/>
      <c r="B14" s="16"/>
    </row>
    <row r="15" spans="1:8" x14ac:dyDescent="0.2">
      <c r="A15" s="1"/>
      <c r="B15" s="16"/>
    </row>
    <row r="16" spans="1:8" x14ac:dyDescent="0.2">
      <c r="A16" s="2"/>
      <c r="B16" s="15"/>
    </row>
    <row r="18" spans="2:2" x14ac:dyDescent="0.2">
      <c r="B18" s="2"/>
    </row>
  </sheetData>
  <conditionalFormatting sqref="B4">
    <cfRule type="expression" dxfId="38" priority="1">
      <formula>IF($P4:$P1001="horizontal",1,0)</formula>
    </cfRule>
    <cfRule type="expression" dxfId="37" priority="2">
      <formula>IF($P4:$P1001="vertikal",1,0)</formula>
    </cfRule>
    <cfRule type="expression" dxfId="36" priority="3">
      <formula>IF($N4="","",IF(B4="",1,0))</formula>
    </cfRule>
    <cfRule type="expression" dxfId="35" priority="4">
      <formula>IF(ISERROR(SEARCH("dünn",B$3)),0,1)</formula>
    </cfRule>
    <cfRule type="expression" dxfId="34" priority="5">
      <formula>IF(ISERROR(SEARCH("dick",B$3)),0,1)</formula>
    </cfRule>
    <cfRule type="expression" dxfId="33" priority="6">
      <formula>IF(ISERROR(SEARCH("blau",B$3)),0,1)</formula>
    </cfRule>
    <cfRule type="expression" dxfId="32" priority="7">
      <formula>IF(ISERROR(SEARCH("gelb",B$3)),0,1)</formula>
    </cfRule>
    <cfRule type="expression" dxfId="31" priority="8">
      <formula>IF(ISERROR(SEARCH("grau",B$3)),0,1)</formula>
    </cfRule>
  </conditionalFormatting>
  <pageMargins left="0.78740157499999996" right="0.78740157499999996" top="0.984251969" bottom="0.984251969" header="0.5" footer="0.5"/>
  <pageSetup paperSize="9" orientation="portrait" horizontalDpi="300" verticalDpi="300"/>
  <headerFooter alignWithMargin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FC3C077-D868-4368-95C9-F393F61DBF15}">
          <x14:formula1>
            <xm:f>'Basis Radiator'!$X$50:$X$54</xm:f>
          </x14:formula1>
          <xm:sqref>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0EF1-910B-46FC-8F0B-1E45A8738B23}">
  <dimension ref="A1:AX18"/>
  <sheetViews>
    <sheetView zoomScale="85" zoomScaleNormal="85" workbookViewId="0">
      <selection activeCell="G16" sqref="G16"/>
    </sheetView>
  </sheetViews>
  <sheetFormatPr baseColWidth="10" defaultRowHeight="12.75" x14ac:dyDescent="0.2"/>
  <cols>
    <col min="1" max="1" width="20.7109375" customWidth="1"/>
    <col min="3" max="6" width="4.7109375" customWidth="1"/>
    <col min="7" max="24" width="6.7109375" customWidth="1"/>
    <col min="26" max="26" width="20.7109375" customWidth="1"/>
    <col min="28" max="32" width="4.7109375" customWidth="1"/>
    <col min="33" max="51" width="6.7109375" customWidth="1"/>
  </cols>
  <sheetData>
    <row r="1" spans="1:50" ht="293.25" customHeight="1" x14ac:dyDescent="0.2"/>
    <row r="3" spans="1:50" x14ac:dyDescent="0.2">
      <c r="A3" s="1" t="s">
        <v>388</v>
      </c>
      <c r="Z3" s="1" t="s">
        <v>388</v>
      </c>
    </row>
    <row r="4" spans="1:50" x14ac:dyDescent="0.2">
      <c r="A4" s="1" t="s">
        <v>387</v>
      </c>
      <c r="B4" s="2" t="s">
        <v>397</v>
      </c>
      <c r="Z4" s="1" t="s">
        <v>387</v>
      </c>
      <c r="AA4" s="2" t="s">
        <v>398</v>
      </c>
    </row>
    <row r="6" spans="1:50" s="170" customFormat="1" ht="28.5" x14ac:dyDescent="0.2">
      <c r="A6" s="167" t="s">
        <v>391</v>
      </c>
      <c r="B6" s="168" t="s">
        <v>2</v>
      </c>
      <c r="C6" s="290" t="s">
        <v>392</v>
      </c>
      <c r="D6" s="292"/>
      <c r="E6" s="292"/>
      <c r="F6" s="292"/>
      <c r="G6" s="290" t="s">
        <v>393</v>
      </c>
      <c r="H6" s="292"/>
      <c r="I6" s="292"/>
      <c r="J6" s="292"/>
      <c r="K6" s="290" t="s">
        <v>394</v>
      </c>
      <c r="L6" s="292"/>
      <c r="M6" s="292"/>
      <c r="N6" s="290" t="s">
        <v>395</v>
      </c>
      <c r="O6" s="290"/>
      <c r="P6" s="291"/>
      <c r="Q6" s="291"/>
      <c r="R6" s="291"/>
      <c r="S6" s="291" t="s">
        <v>427</v>
      </c>
      <c r="T6" s="291"/>
      <c r="U6" s="291"/>
      <c r="V6" s="171"/>
      <c r="W6" s="171"/>
      <c r="X6" s="169"/>
      <c r="Z6" s="167" t="s">
        <v>391</v>
      </c>
      <c r="AA6" s="168" t="s">
        <v>2</v>
      </c>
      <c r="AB6" s="290" t="s">
        <v>392</v>
      </c>
      <c r="AC6" s="290"/>
      <c r="AD6" s="292"/>
      <c r="AE6" s="292"/>
      <c r="AF6" s="292"/>
      <c r="AG6" s="290" t="s">
        <v>393</v>
      </c>
      <c r="AH6" s="290"/>
      <c r="AI6" s="292"/>
      <c r="AJ6" s="292"/>
      <c r="AK6" s="292"/>
      <c r="AL6" s="290" t="s">
        <v>394</v>
      </c>
      <c r="AM6" s="292"/>
      <c r="AN6" s="292"/>
      <c r="AO6" s="290" t="s">
        <v>395</v>
      </c>
      <c r="AP6" s="290"/>
      <c r="AQ6" s="291"/>
      <c r="AR6" s="291"/>
      <c r="AS6" s="291"/>
      <c r="AT6" s="290" t="s">
        <v>396</v>
      </c>
      <c r="AU6" s="290"/>
      <c r="AV6" s="291"/>
      <c r="AW6" s="291"/>
      <c r="AX6" s="291"/>
    </row>
    <row r="7" spans="1:50" s="170" customFormat="1" x14ac:dyDescent="0.2">
      <c r="A7" s="167"/>
      <c r="B7" s="168"/>
      <c r="C7" s="172"/>
      <c r="D7" s="169"/>
      <c r="E7" s="169"/>
      <c r="F7" s="169"/>
      <c r="G7" s="172">
        <v>110</v>
      </c>
      <c r="H7" s="169">
        <v>160</v>
      </c>
      <c r="I7" s="169">
        <v>220</v>
      </c>
      <c r="J7" s="169">
        <v>250</v>
      </c>
      <c r="K7" s="170">
        <v>110</v>
      </c>
      <c r="L7" s="170">
        <v>160</v>
      </c>
      <c r="M7" s="170">
        <v>220</v>
      </c>
      <c r="N7" s="172">
        <v>70</v>
      </c>
      <c r="O7" s="172">
        <v>110</v>
      </c>
      <c r="P7" s="171">
        <v>160</v>
      </c>
      <c r="Q7" s="171">
        <v>220</v>
      </c>
      <c r="R7" s="171">
        <v>250</v>
      </c>
      <c r="S7" s="172">
        <v>110</v>
      </c>
      <c r="T7" s="171">
        <v>160</v>
      </c>
      <c r="U7" s="171">
        <v>220</v>
      </c>
      <c r="V7" s="171"/>
      <c r="W7" s="171"/>
      <c r="Z7" s="167"/>
      <c r="AA7" s="168"/>
      <c r="AB7" s="172"/>
      <c r="AC7" s="172"/>
      <c r="AD7" s="169"/>
      <c r="AE7" s="169"/>
      <c r="AF7" s="169"/>
      <c r="AG7" s="172">
        <v>70</v>
      </c>
      <c r="AH7" s="172">
        <v>110</v>
      </c>
      <c r="AI7" s="169">
        <v>160</v>
      </c>
      <c r="AJ7" s="169">
        <v>220</v>
      </c>
      <c r="AK7" s="169">
        <v>250</v>
      </c>
      <c r="AL7" s="170">
        <v>110</v>
      </c>
      <c r="AM7" s="170">
        <v>160</v>
      </c>
      <c r="AN7" s="170">
        <v>220</v>
      </c>
      <c r="AO7" s="172">
        <v>70</v>
      </c>
      <c r="AP7" s="172">
        <v>110</v>
      </c>
      <c r="AQ7" s="171">
        <v>160</v>
      </c>
      <c r="AR7" s="171">
        <v>220</v>
      </c>
      <c r="AS7" s="171">
        <v>250</v>
      </c>
      <c r="AT7" s="172">
        <v>70</v>
      </c>
      <c r="AU7" s="172">
        <v>110</v>
      </c>
      <c r="AV7" s="171">
        <v>160</v>
      </c>
      <c r="AW7" s="171">
        <v>220</v>
      </c>
      <c r="AX7" s="171">
        <v>250</v>
      </c>
    </row>
    <row r="8" spans="1:50" x14ac:dyDescent="0.2">
      <c r="A8">
        <v>200</v>
      </c>
      <c r="B8">
        <v>300</v>
      </c>
      <c r="F8">
        <v>250</v>
      </c>
      <c r="J8">
        <v>0.16</v>
      </c>
      <c r="N8" s="2"/>
      <c r="O8" s="2"/>
      <c r="P8" s="2"/>
      <c r="Q8" s="2"/>
      <c r="R8" s="2">
        <v>77</v>
      </c>
      <c r="S8" s="2"/>
      <c r="T8" s="2"/>
      <c r="U8" s="2"/>
      <c r="V8" s="2"/>
      <c r="W8" s="2"/>
      <c r="Z8">
        <v>200</v>
      </c>
      <c r="AA8">
        <v>280</v>
      </c>
      <c r="AF8">
        <v>250</v>
      </c>
      <c r="AK8">
        <v>0.185</v>
      </c>
      <c r="AO8" s="2"/>
      <c r="AP8" s="2"/>
      <c r="AQ8" s="2"/>
      <c r="AR8" s="2"/>
      <c r="AS8" s="2">
        <v>92</v>
      </c>
      <c r="AT8" s="2"/>
      <c r="AU8" s="2"/>
      <c r="AV8" s="2"/>
      <c r="AW8" s="2"/>
      <c r="AX8" s="2">
        <v>134</v>
      </c>
    </row>
    <row r="9" spans="1:50" x14ac:dyDescent="0.2">
      <c r="A9">
        <v>350</v>
      </c>
      <c r="B9">
        <v>450</v>
      </c>
      <c r="D9">
        <v>160</v>
      </c>
      <c r="E9">
        <v>220</v>
      </c>
      <c r="H9">
        <v>1.55E-2</v>
      </c>
      <c r="I9">
        <v>0.21</v>
      </c>
      <c r="N9" s="2"/>
      <c r="O9" s="2"/>
      <c r="P9" s="2">
        <v>74</v>
      </c>
      <c r="Q9" s="2">
        <v>99</v>
      </c>
      <c r="R9" s="2"/>
      <c r="S9" s="2"/>
      <c r="T9" s="2"/>
      <c r="U9" s="2"/>
      <c r="V9" s="2"/>
      <c r="W9" s="2"/>
      <c r="Z9">
        <v>350</v>
      </c>
      <c r="AA9">
        <v>430</v>
      </c>
      <c r="AD9">
        <v>160</v>
      </c>
      <c r="AE9">
        <v>220</v>
      </c>
      <c r="AI9">
        <v>0.185</v>
      </c>
      <c r="AJ9">
        <v>0.255</v>
      </c>
      <c r="AO9" s="2"/>
      <c r="AP9" s="2"/>
      <c r="AQ9" s="2">
        <v>93</v>
      </c>
      <c r="AR9" s="2">
        <v>122</v>
      </c>
      <c r="AS9" s="2"/>
      <c r="AT9" s="2"/>
      <c r="AU9" s="2"/>
      <c r="AV9" s="2">
        <v>135</v>
      </c>
      <c r="AW9" s="2">
        <v>177</v>
      </c>
      <c r="AX9" s="2"/>
    </row>
    <row r="10" spans="1:50" s="1" customFormat="1" x14ac:dyDescent="0.2">
      <c r="A10" s="1">
        <v>500</v>
      </c>
      <c r="B10" s="1">
        <v>600</v>
      </c>
      <c r="C10" s="1">
        <v>110</v>
      </c>
      <c r="D10" s="1">
        <v>160</v>
      </c>
      <c r="E10" s="1">
        <v>220</v>
      </c>
      <c r="G10" s="1">
        <v>0.14000000000000001</v>
      </c>
      <c r="H10" s="1">
        <v>0.20499999999999999</v>
      </c>
      <c r="I10" s="1">
        <v>0.28499999999999998</v>
      </c>
      <c r="K10" s="1">
        <v>73</v>
      </c>
      <c r="L10" s="1">
        <v>99</v>
      </c>
      <c r="M10" s="1">
        <v>130</v>
      </c>
      <c r="N10" s="2"/>
      <c r="O10" s="2">
        <v>73</v>
      </c>
      <c r="P10" s="2">
        <v>99</v>
      </c>
      <c r="Q10" s="2">
        <v>128</v>
      </c>
      <c r="R10" s="2"/>
      <c r="S10" s="11">
        <f>O10*('Basis Radiator'!$E$62/'Basis Radiator'!$F$62)^1.3</f>
        <v>58.048196176326798</v>
      </c>
      <c r="T10" s="11">
        <f>P10*('Basis Radiator'!$E$62/'Basis Radiator'!$F$62)^1.3</f>
        <v>78.722896184333607</v>
      </c>
      <c r="U10" s="11">
        <f>Q10*('Basis Radiator'!$E$62/'Basis Radiator'!$F$62)^1.3</f>
        <v>101.78313850095658</v>
      </c>
      <c r="V10" s="2"/>
      <c r="W10" s="2"/>
      <c r="Z10" s="1">
        <v>500</v>
      </c>
      <c r="AA10" s="1">
        <v>580</v>
      </c>
      <c r="AC10" s="1">
        <v>110</v>
      </c>
      <c r="AD10" s="1">
        <v>160</v>
      </c>
      <c r="AE10" s="1">
        <v>220</v>
      </c>
      <c r="AH10" s="1">
        <v>0.18</v>
      </c>
      <c r="AI10" s="1">
        <v>0.255</v>
      </c>
      <c r="AJ10" s="1">
        <v>0.34499999999999997</v>
      </c>
      <c r="AL10" s="1">
        <v>94</v>
      </c>
      <c r="AM10" s="1">
        <v>128</v>
      </c>
      <c r="AN10" s="1">
        <v>167</v>
      </c>
      <c r="AO10" s="2">
        <v>68</v>
      </c>
      <c r="AP10" s="2">
        <v>92</v>
      </c>
      <c r="AQ10" s="2">
        <v>126</v>
      </c>
      <c r="AR10" s="2">
        <v>162</v>
      </c>
      <c r="AS10" s="2"/>
      <c r="AT10" s="2">
        <v>99</v>
      </c>
      <c r="AU10" s="2">
        <v>134</v>
      </c>
      <c r="AV10" s="2">
        <v>183</v>
      </c>
      <c r="AW10" s="2">
        <v>235</v>
      </c>
      <c r="AX10" s="2"/>
    </row>
    <row r="11" spans="1:50" x14ac:dyDescent="0.2">
      <c r="A11">
        <v>900</v>
      </c>
      <c r="B11">
        <v>1000</v>
      </c>
      <c r="C11">
        <v>110</v>
      </c>
      <c r="D11">
        <v>160</v>
      </c>
      <c r="E11">
        <v>220</v>
      </c>
      <c r="G11">
        <v>0.24</v>
      </c>
      <c r="H11">
        <v>0.34499999999999997</v>
      </c>
      <c r="I11">
        <v>0.48</v>
      </c>
      <c r="N11" s="2"/>
      <c r="O11" s="2">
        <v>122</v>
      </c>
      <c r="P11" s="2">
        <v>157</v>
      </c>
      <c r="Q11" s="2">
        <v>204</v>
      </c>
      <c r="R11" s="2"/>
      <c r="S11" s="2"/>
      <c r="T11" s="2"/>
      <c r="U11" s="2"/>
      <c r="V11" s="2"/>
      <c r="W11" s="2"/>
      <c r="Z11">
        <v>900</v>
      </c>
      <c r="AA11">
        <v>980</v>
      </c>
      <c r="AB11">
        <v>70</v>
      </c>
      <c r="AD11">
        <v>160</v>
      </c>
      <c r="AE11">
        <v>220</v>
      </c>
      <c r="AG11">
        <v>0.20499999999999999</v>
      </c>
      <c r="AI11">
        <v>0.44</v>
      </c>
      <c r="AJ11">
        <v>0.48</v>
      </c>
      <c r="AO11" s="2">
        <v>111</v>
      </c>
      <c r="AP11" s="2"/>
      <c r="AQ11" s="2">
        <v>204</v>
      </c>
      <c r="AR11" s="2">
        <v>260</v>
      </c>
      <c r="AS11" s="2"/>
      <c r="AT11" s="2">
        <v>161</v>
      </c>
      <c r="AU11" s="2"/>
      <c r="AV11" s="2">
        <v>297</v>
      </c>
      <c r="AW11" s="2">
        <v>378</v>
      </c>
      <c r="AX11" s="2"/>
    </row>
    <row r="15" spans="1:50" x14ac:dyDescent="0.2">
      <c r="G15">
        <v>105</v>
      </c>
      <c r="H15">
        <v>145</v>
      </c>
      <c r="I15">
        <v>185</v>
      </c>
      <c r="J15">
        <v>225</v>
      </c>
      <c r="S15">
        <v>105</v>
      </c>
      <c r="T15">
        <v>145</v>
      </c>
      <c r="U15">
        <v>185</v>
      </c>
      <c r="V15">
        <v>225</v>
      </c>
    </row>
    <row r="16" spans="1:50" x14ac:dyDescent="0.2">
      <c r="A16" s="2" t="s">
        <v>399</v>
      </c>
      <c r="B16">
        <v>500</v>
      </c>
      <c r="G16">
        <f>'Arbonia Tabelle'!J28</f>
        <v>0.12</v>
      </c>
      <c r="H16">
        <f>'Arbonia Tabelle'!J29</f>
        <v>0.17</v>
      </c>
      <c r="I16">
        <f>'Arbonia Tabelle'!J30</f>
        <v>0.21</v>
      </c>
      <c r="J16">
        <f>'Arbonia Tabelle'!J31</f>
        <v>0.25</v>
      </c>
      <c r="S16">
        <f>'Arbonia Tabelle'!J4</f>
        <v>53</v>
      </c>
      <c r="T16">
        <f>'Arbonia Tabelle'!J5</f>
        <v>69</v>
      </c>
      <c r="U16">
        <f>'Arbonia Tabelle'!J6</f>
        <v>85</v>
      </c>
      <c r="V16">
        <f>'Arbonia Tabelle'!J7</f>
        <v>99</v>
      </c>
    </row>
    <row r="17" spans="1:22" x14ac:dyDescent="0.2">
      <c r="G17">
        <v>100</v>
      </c>
      <c r="H17">
        <v>136</v>
      </c>
      <c r="I17">
        <v>173</v>
      </c>
      <c r="J17">
        <v>210</v>
      </c>
      <c r="S17">
        <v>100</v>
      </c>
      <c r="T17">
        <v>136</v>
      </c>
      <c r="U17">
        <v>173</v>
      </c>
      <c r="V17">
        <v>210</v>
      </c>
    </row>
    <row r="18" spans="1:22" x14ac:dyDescent="0.2">
      <c r="A18" s="2" t="s">
        <v>343</v>
      </c>
      <c r="B18">
        <v>500</v>
      </c>
      <c r="G18">
        <f>'Zehnder Charl. Tabelle'!H32</f>
        <v>0.11</v>
      </c>
      <c r="H18">
        <f>'Zehnder Charl. Tabelle'!H33</f>
        <v>0.15</v>
      </c>
      <c r="I18">
        <f>'Zehnder Charl. Tabelle'!H34</f>
        <v>0.19</v>
      </c>
      <c r="J18">
        <f>'Zehnder Charl. Tabelle'!H35</f>
        <v>0.23</v>
      </c>
      <c r="S18">
        <f>'Zehnder Charl. Tabelle'!H5</f>
        <v>51.6</v>
      </c>
      <c r="T18">
        <f>'Zehnder Charl. Tabelle'!H6</f>
        <v>67.599999999999994</v>
      </c>
      <c r="U18">
        <f>'Zehnder Charl. Tabelle'!H7</f>
        <v>83.5</v>
      </c>
      <c r="V18">
        <f>'Zehnder Charl. Tabelle'!H8</f>
        <v>99</v>
      </c>
    </row>
  </sheetData>
  <mergeCells count="10">
    <mergeCell ref="AO6:AS6"/>
    <mergeCell ref="AT6:AX6"/>
    <mergeCell ref="N6:R6"/>
    <mergeCell ref="S6:U6"/>
    <mergeCell ref="C6:F6"/>
    <mergeCell ref="G6:J6"/>
    <mergeCell ref="AB6:AF6"/>
    <mergeCell ref="AG6:AK6"/>
    <mergeCell ref="K6:M6"/>
    <mergeCell ref="AL6:AN6"/>
  </mergeCells>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A6B9C-731B-4C0E-B027-4C10BCB24C5A}">
  <sheetPr>
    <tabColor theme="9" tint="0.79998168889431442"/>
  </sheetPr>
  <dimension ref="A1:AB45"/>
  <sheetViews>
    <sheetView zoomScale="85" zoomScaleNormal="85" workbookViewId="0">
      <selection activeCell="M5" sqref="M2:M5"/>
    </sheetView>
  </sheetViews>
  <sheetFormatPr baseColWidth="10" defaultRowHeight="12.75" x14ac:dyDescent="0.2"/>
  <cols>
    <col min="1" max="1" width="16.42578125" bestFit="1" customWidth="1"/>
    <col min="7" max="7" width="13.140625" customWidth="1"/>
  </cols>
  <sheetData>
    <row r="1" spans="1:28" x14ac:dyDescent="0.2">
      <c r="A1" s="1" t="s">
        <v>146</v>
      </c>
      <c r="B1" s="1" t="s">
        <v>342</v>
      </c>
      <c r="C1" s="1" t="s">
        <v>343</v>
      </c>
      <c r="D1" s="1" t="s">
        <v>605</v>
      </c>
      <c r="E1" s="1" t="s">
        <v>604</v>
      </c>
      <c r="F1" s="1" t="s">
        <v>603</v>
      </c>
      <c r="G1" s="1" t="s">
        <v>389</v>
      </c>
      <c r="H1" s="1" t="s">
        <v>390</v>
      </c>
      <c r="I1" s="1" t="s">
        <v>646</v>
      </c>
      <c r="J1" s="1"/>
      <c r="K1" s="1"/>
      <c r="L1" s="1"/>
      <c r="M1" s="1" t="s">
        <v>606</v>
      </c>
      <c r="N1" s="1"/>
      <c r="O1" s="1" t="s">
        <v>2</v>
      </c>
      <c r="P1" s="1" t="s">
        <v>342</v>
      </c>
      <c r="Q1" s="1" t="s">
        <v>343</v>
      </c>
      <c r="R1" s="1" t="s">
        <v>441</v>
      </c>
      <c r="S1" s="1"/>
      <c r="T1" s="1" t="s">
        <v>389</v>
      </c>
      <c r="U1" s="1" t="s">
        <v>390</v>
      </c>
      <c r="W1" s="1" t="s">
        <v>147</v>
      </c>
      <c r="X1" s="1" t="s">
        <v>342</v>
      </c>
      <c r="Y1" s="1" t="s">
        <v>346</v>
      </c>
      <c r="Z1" s="1" t="s">
        <v>347</v>
      </c>
    </row>
    <row r="2" spans="1:28" ht="15" x14ac:dyDescent="0.2">
      <c r="A2" s="54">
        <v>2</v>
      </c>
      <c r="B2" s="53">
        <v>65</v>
      </c>
      <c r="C2" s="53">
        <v>62</v>
      </c>
      <c r="D2" s="53">
        <v>65</v>
      </c>
      <c r="E2" s="53">
        <v>66</v>
      </c>
      <c r="F2" s="53">
        <v>63</v>
      </c>
      <c r="G2" s="53"/>
      <c r="H2" s="53">
        <v>70</v>
      </c>
      <c r="I2" s="53">
        <f>AVERAGE(B2:F2)</f>
        <v>64.2</v>
      </c>
      <c r="J2" s="285" t="s">
        <v>672</v>
      </c>
      <c r="K2" s="53"/>
      <c r="L2" s="1" t="s">
        <v>342</v>
      </c>
      <c r="M2" s="53">
        <v>45</v>
      </c>
      <c r="N2" s="53"/>
      <c r="P2" s="53">
        <v>180</v>
      </c>
      <c r="Q2" s="53">
        <v>260</v>
      </c>
      <c r="R2" s="53">
        <v>200</v>
      </c>
      <c r="S2" s="53"/>
      <c r="T2" s="53">
        <v>300</v>
      </c>
      <c r="U2" s="53">
        <v>280</v>
      </c>
      <c r="V2" s="5"/>
      <c r="X2" s="2" t="s">
        <v>148</v>
      </c>
      <c r="Y2" s="2" t="s">
        <v>344</v>
      </c>
      <c r="Z2" s="2" t="s">
        <v>345</v>
      </c>
    </row>
    <row r="3" spans="1:28" ht="15" x14ac:dyDescent="0.2">
      <c r="A3" s="54">
        <v>3</v>
      </c>
      <c r="B3" s="53">
        <v>105</v>
      </c>
      <c r="C3" s="53">
        <v>100</v>
      </c>
      <c r="D3" s="53">
        <v>101</v>
      </c>
      <c r="E3" s="53">
        <v>107</v>
      </c>
      <c r="F3" s="53">
        <v>101</v>
      </c>
      <c r="G3" s="53">
        <v>110</v>
      </c>
      <c r="H3" s="53">
        <v>110</v>
      </c>
      <c r="I3" s="53">
        <f t="shared" ref="I3:I6" si="0">AVERAGE(B3:F3)</f>
        <v>102.8</v>
      </c>
      <c r="J3" s="285" t="s">
        <v>673</v>
      </c>
      <c r="K3" s="53"/>
      <c r="L3" s="1" t="s">
        <v>343</v>
      </c>
      <c r="M3" s="53">
        <v>46</v>
      </c>
      <c r="N3" s="53"/>
      <c r="P3" s="53">
        <v>190</v>
      </c>
      <c r="Q3" s="163">
        <v>292</v>
      </c>
      <c r="R3" s="53">
        <v>300</v>
      </c>
      <c r="S3" s="53"/>
      <c r="T3" s="53">
        <v>450</v>
      </c>
      <c r="U3" s="53">
        <v>430</v>
      </c>
      <c r="V3" s="5"/>
      <c r="W3" s="55">
        <v>2</v>
      </c>
      <c r="Z3" s="53">
        <f>65*W3+7</f>
        <v>137</v>
      </c>
    </row>
    <row r="4" spans="1:28" ht="15" x14ac:dyDescent="0.2">
      <c r="A4" s="54">
        <v>4</v>
      </c>
      <c r="B4" s="53">
        <v>145</v>
      </c>
      <c r="C4" s="53">
        <v>136</v>
      </c>
      <c r="D4" s="53">
        <v>139</v>
      </c>
      <c r="E4" s="53">
        <v>148</v>
      </c>
      <c r="F4" s="53">
        <v>139</v>
      </c>
      <c r="G4" s="53">
        <v>160</v>
      </c>
      <c r="H4" s="53">
        <v>160</v>
      </c>
      <c r="I4" s="53">
        <f t="shared" si="0"/>
        <v>141.4</v>
      </c>
      <c r="J4" s="285" t="s">
        <v>675</v>
      </c>
      <c r="K4" s="53"/>
      <c r="L4" s="1" t="s">
        <v>605</v>
      </c>
      <c r="M4" s="53">
        <v>45</v>
      </c>
      <c r="N4" s="53"/>
      <c r="P4" s="53">
        <v>260</v>
      </c>
      <c r="Q4" s="53">
        <v>300</v>
      </c>
      <c r="R4" s="53">
        <v>350</v>
      </c>
      <c r="S4" s="53"/>
      <c r="T4" s="53">
        <v>600</v>
      </c>
      <c r="U4" s="53">
        <v>580</v>
      </c>
      <c r="V4" s="5"/>
      <c r="W4" s="55">
        <v>4</v>
      </c>
      <c r="X4" s="53"/>
      <c r="Y4" s="53">
        <f>W4*46+26</f>
        <v>210</v>
      </c>
      <c r="Z4" s="53">
        <f t="shared" ref="Z4:Z8" si="1">65*W4+7</f>
        <v>267</v>
      </c>
    </row>
    <row r="5" spans="1:28" ht="15" x14ac:dyDescent="0.2">
      <c r="A5" s="54">
        <v>5</v>
      </c>
      <c r="B5" s="53">
        <v>185</v>
      </c>
      <c r="C5" s="53">
        <v>173</v>
      </c>
      <c r="D5" s="53">
        <v>177</v>
      </c>
      <c r="E5" s="53">
        <v>189</v>
      </c>
      <c r="F5" s="53">
        <v>177</v>
      </c>
      <c r="G5" s="53">
        <v>220</v>
      </c>
      <c r="H5" s="53">
        <v>220</v>
      </c>
      <c r="I5" s="53">
        <f t="shared" si="0"/>
        <v>180.2</v>
      </c>
      <c r="J5" s="285" t="s">
        <v>676</v>
      </c>
      <c r="K5" s="53"/>
      <c r="L5" s="1" t="s">
        <v>604</v>
      </c>
      <c r="M5" s="53">
        <v>46</v>
      </c>
      <c r="N5" s="53"/>
      <c r="P5" s="53">
        <v>300</v>
      </c>
      <c r="Q5" s="163">
        <v>342</v>
      </c>
      <c r="R5" s="53">
        <v>365</v>
      </c>
      <c r="S5" s="53"/>
      <c r="T5" s="53">
        <v>1000</v>
      </c>
      <c r="U5" s="53">
        <v>980</v>
      </c>
      <c r="V5" s="5"/>
      <c r="W5" s="55">
        <v>6</v>
      </c>
      <c r="X5" s="53">
        <f>W5*45</f>
        <v>270</v>
      </c>
      <c r="Y5" s="53">
        <f t="shared" ref="Y5:Y11" si="2">W5*46+26</f>
        <v>302</v>
      </c>
      <c r="Z5" s="53">
        <f t="shared" si="1"/>
        <v>397</v>
      </c>
    </row>
    <row r="6" spans="1:28" ht="15" x14ac:dyDescent="0.2">
      <c r="A6" s="54">
        <v>6</v>
      </c>
      <c r="B6" s="53">
        <v>225</v>
      </c>
      <c r="C6" s="53">
        <v>210</v>
      </c>
      <c r="D6" s="53">
        <v>215</v>
      </c>
      <c r="E6" s="53">
        <v>230</v>
      </c>
      <c r="F6" s="53">
        <v>215</v>
      </c>
      <c r="G6" s="53">
        <v>250</v>
      </c>
      <c r="H6" s="53">
        <v>250</v>
      </c>
      <c r="I6" s="53">
        <f t="shared" si="0"/>
        <v>219</v>
      </c>
      <c r="J6" s="285" t="s">
        <v>674</v>
      </c>
      <c r="K6" s="53"/>
      <c r="L6" s="1" t="s">
        <v>603</v>
      </c>
      <c r="M6" s="53">
        <v>50</v>
      </c>
      <c r="N6" s="53"/>
      <c r="P6" s="53">
        <v>350</v>
      </c>
      <c r="Q6" s="53">
        <v>350</v>
      </c>
      <c r="R6" s="53">
        <v>400</v>
      </c>
      <c r="S6" s="53"/>
      <c r="T6" s="53"/>
      <c r="U6" s="53"/>
      <c r="V6" s="5"/>
      <c r="W6" s="55">
        <v>22</v>
      </c>
      <c r="X6" s="53">
        <f t="shared" ref="X6:X11" si="3">W6*45</f>
        <v>990</v>
      </c>
      <c r="Y6" s="53">
        <f t="shared" si="2"/>
        <v>1038</v>
      </c>
      <c r="Z6" s="53">
        <f t="shared" si="1"/>
        <v>1437</v>
      </c>
    </row>
    <row r="7" spans="1:28" x14ac:dyDescent="0.2">
      <c r="L7" s="1" t="s">
        <v>389</v>
      </c>
      <c r="M7" s="53">
        <v>50</v>
      </c>
      <c r="P7" s="53">
        <v>400</v>
      </c>
      <c r="Q7" s="163">
        <v>392</v>
      </c>
      <c r="R7" s="53">
        <v>450</v>
      </c>
      <c r="S7" s="53"/>
      <c r="T7" s="53"/>
      <c r="U7" s="53"/>
      <c r="V7" s="5"/>
      <c r="W7" s="55">
        <v>30</v>
      </c>
      <c r="X7" s="53">
        <f t="shared" si="3"/>
        <v>1350</v>
      </c>
      <c r="Y7" s="53">
        <f t="shared" si="2"/>
        <v>1406</v>
      </c>
      <c r="Z7" s="53">
        <f t="shared" si="1"/>
        <v>1957</v>
      </c>
    </row>
    <row r="8" spans="1:28" x14ac:dyDescent="0.2">
      <c r="B8" s="53"/>
      <c r="L8" s="1" t="s">
        <v>390</v>
      </c>
      <c r="M8" s="53">
        <v>60</v>
      </c>
      <c r="P8" s="53">
        <v>450</v>
      </c>
      <c r="Q8" s="53">
        <v>400</v>
      </c>
      <c r="R8" s="53">
        <v>500</v>
      </c>
      <c r="S8" s="53"/>
      <c r="T8" s="53"/>
      <c r="U8" s="53"/>
      <c r="V8" s="5"/>
      <c r="W8" s="55">
        <v>44</v>
      </c>
      <c r="X8" s="53">
        <f t="shared" si="3"/>
        <v>1980</v>
      </c>
      <c r="Y8" s="53">
        <f t="shared" si="2"/>
        <v>2050</v>
      </c>
      <c r="Z8" s="53">
        <f t="shared" si="1"/>
        <v>2867</v>
      </c>
    </row>
    <row r="9" spans="1:28" x14ac:dyDescent="0.2">
      <c r="P9" s="53">
        <v>500</v>
      </c>
      <c r="Q9" s="163">
        <v>442</v>
      </c>
      <c r="R9" s="53">
        <v>535</v>
      </c>
      <c r="S9" s="53"/>
      <c r="T9" s="53"/>
      <c r="U9" s="53"/>
      <c r="V9" s="5"/>
      <c r="W9" s="55">
        <v>54</v>
      </c>
      <c r="X9" s="53">
        <f t="shared" si="3"/>
        <v>2430</v>
      </c>
      <c r="Y9" s="53">
        <f t="shared" si="2"/>
        <v>2510</v>
      </c>
    </row>
    <row r="10" spans="1:28" x14ac:dyDescent="0.2">
      <c r="P10" s="53">
        <v>550</v>
      </c>
      <c r="Q10" s="53">
        <v>450</v>
      </c>
      <c r="R10" s="53">
        <v>550</v>
      </c>
      <c r="S10" s="53"/>
      <c r="T10" s="53"/>
      <c r="U10" s="53"/>
      <c r="V10" s="5"/>
      <c r="W10" s="55">
        <v>59</v>
      </c>
      <c r="X10" s="53">
        <f t="shared" si="3"/>
        <v>2655</v>
      </c>
      <c r="Y10" s="53">
        <f t="shared" si="2"/>
        <v>2740</v>
      </c>
    </row>
    <row r="11" spans="1:28" x14ac:dyDescent="0.2">
      <c r="P11" s="53">
        <v>600</v>
      </c>
      <c r="Q11" s="163">
        <v>492</v>
      </c>
      <c r="R11" s="53">
        <v>565</v>
      </c>
      <c r="S11" s="53"/>
      <c r="T11" s="53"/>
      <c r="U11" s="53"/>
      <c r="V11" s="5"/>
      <c r="W11" s="55">
        <v>64</v>
      </c>
      <c r="X11" s="53">
        <f t="shared" si="3"/>
        <v>2880</v>
      </c>
      <c r="Y11" s="53">
        <f t="shared" si="2"/>
        <v>2970</v>
      </c>
      <c r="AB11" s="5"/>
    </row>
    <row r="12" spans="1:28" x14ac:dyDescent="0.2">
      <c r="P12" s="53">
        <v>750</v>
      </c>
      <c r="Q12" s="53">
        <v>500</v>
      </c>
      <c r="R12" s="53">
        <v>600</v>
      </c>
      <c r="S12" s="53"/>
      <c r="T12" s="53"/>
      <c r="U12" s="53"/>
      <c r="V12" s="5"/>
      <c r="W12" s="55">
        <v>66</v>
      </c>
      <c r="X12" s="53">
        <f>W12*45</f>
        <v>2970</v>
      </c>
      <c r="Y12" s="53"/>
      <c r="AB12" s="5"/>
    </row>
    <row r="13" spans="1:28" x14ac:dyDescent="0.2">
      <c r="P13" s="53">
        <v>900</v>
      </c>
      <c r="Q13" s="163">
        <v>542</v>
      </c>
      <c r="R13" s="53">
        <v>650</v>
      </c>
      <c r="S13" s="53"/>
      <c r="T13" s="53"/>
      <c r="U13" s="53"/>
      <c r="V13" s="5"/>
      <c r="AB13" s="5"/>
    </row>
    <row r="14" spans="1:28" x14ac:dyDescent="0.2">
      <c r="P14" s="53">
        <v>1000</v>
      </c>
      <c r="Q14" s="53">
        <v>550</v>
      </c>
      <c r="R14" s="53">
        <v>665</v>
      </c>
      <c r="S14" s="53"/>
      <c r="T14" s="53"/>
      <c r="U14" s="53"/>
      <c r="V14" s="5"/>
      <c r="AB14" s="5"/>
    </row>
    <row r="15" spans="1:28" x14ac:dyDescent="0.2">
      <c r="P15" s="53">
        <v>1100</v>
      </c>
      <c r="Q15" s="163">
        <v>592</v>
      </c>
      <c r="R15" s="53">
        <v>685</v>
      </c>
      <c r="S15" s="53"/>
      <c r="T15" s="53"/>
      <c r="U15" s="53"/>
      <c r="V15" s="5"/>
      <c r="AB15" s="5"/>
    </row>
    <row r="16" spans="1:28" x14ac:dyDescent="0.2">
      <c r="P16" s="53">
        <v>1200</v>
      </c>
      <c r="Q16" s="53">
        <v>600</v>
      </c>
      <c r="R16" s="53">
        <v>750</v>
      </c>
      <c r="S16" s="53"/>
      <c r="T16" s="53"/>
      <c r="U16" s="53"/>
      <c r="V16" s="5"/>
      <c r="AB16" s="5"/>
    </row>
    <row r="17" spans="16:28" x14ac:dyDescent="0.2">
      <c r="P17" s="53">
        <v>1500</v>
      </c>
      <c r="Q17" s="163">
        <v>742</v>
      </c>
      <c r="R17" s="53">
        <v>765</v>
      </c>
      <c r="S17" s="53"/>
      <c r="T17" s="53"/>
      <c r="U17" s="53"/>
      <c r="V17" s="5"/>
      <c r="AB17" s="5"/>
    </row>
    <row r="18" spans="16:28" x14ac:dyDescent="0.2">
      <c r="P18" s="53">
        <v>1800</v>
      </c>
      <c r="Q18" s="53">
        <v>750</v>
      </c>
      <c r="R18" s="53">
        <v>815</v>
      </c>
      <c r="S18" s="53"/>
      <c r="T18" s="53"/>
      <c r="U18" s="53"/>
      <c r="V18" s="5"/>
      <c r="AB18" s="5"/>
    </row>
    <row r="19" spans="16:28" x14ac:dyDescent="0.2">
      <c r="P19" s="53">
        <v>2000</v>
      </c>
      <c r="Q19" s="163">
        <v>892</v>
      </c>
      <c r="R19" s="53">
        <v>865</v>
      </c>
      <c r="S19" s="53"/>
      <c r="T19" s="53"/>
      <c r="U19" s="53"/>
      <c r="V19" s="5"/>
      <c r="AB19" s="5"/>
    </row>
    <row r="20" spans="16:28" x14ac:dyDescent="0.2">
      <c r="P20" s="53">
        <v>2200</v>
      </c>
      <c r="Q20" s="53">
        <v>900</v>
      </c>
      <c r="R20" s="53">
        <v>885</v>
      </c>
      <c r="S20" s="53"/>
      <c r="T20" s="53"/>
      <c r="U20" s="53"/>
      <c r="V20" s="5"/>
      <c r="AB20" s="5"/>
    </row>
    <row r="21" spans="16:28" x14ac:dyDescent="0.2">
      <c r="P21" s="53">
        <v>2500</v>
      </c>
      <c r="Q21" s="163">
        <v>992</v>
      </c>
      <c r="R21" s="53">
        <v>900</v>
      </c>
      <c r="S21" s="53"/>
      <c r="T21" s="53"/>
      <c r="U21" s="53"/>
      <c r="V21" s="5"/>
      <c r="AB21" s="5"/>
    </row>
    <row r="22" spans="16:28" x14ac:dyDescent="0.2">
      <c r="P22" s="53">
        <v>2800</v>
      </c>
      <c r="Q22" s="53">
        <v>1000</v>
      </c>
      <c r="R22" s="53">
        <v>1000</v>
      </c>
      <c r="S22" s="53"/>
      <c r="T22" s="53"/>
      <c r="U22" s="53"/>
      <c r="V22" s="5"/>
      <c r="AB22" s="5"/>
    </row>
    <row r="23" spans="16:28" x14ac:dyDescent="0.2">
      <c r="P23" s="53">
        <v>3000</v>
      </c>
      <c r="Q23" s="163">
        <v>1092</v>
      </c>
      <c r="R23" s="53">
        <v>1200</v>
      </c>
      <c r="S23" s="53"/>
      <c r="T23" s="53"/>
      <c r="U23" s="53"/>
      <c r="V23" s="5"/>
      <c r="AB23" s="5"/>
    </row>
    <row r="24" spans="16:28" x14ac:dyDescent="0.2">
      <c r="Q24" s="53">
        <v>1100</v>
      </c>
      <c r="R24" s="53">
        <v>1500</v>
      </c>
      <c r="S24" s="53"/>
      <c r="T24" s="53"/>
      <c r="U24" s="53"/>
      <c r="V24" s="5"/>
      <c r="AB24" s="5"/>
    </row>
    <row r="25" spans="16:28" x14ac:dyDescent="0.2">
      <c r="Q25" s="163">
        <v>1192</v>
      </c>
      <c r="R25" s="53">
        <v>1800</v>
      </c>
      <c r="S25" s="53"/>
      <c r="T25" s="53"/>
      <c r="U25" s="53"/>
      <c r="V25" s="5"/>
      <c r="AB25" s="5"/>
    </row>
    <row r="26" spans="16:28" x14ac:dyDescent="0.2">
      <c r="Q26" s="53">
        <v>1200</v>
      </c>
      <c r="R26" s="53">
        <v>2000</v>
      </c>
      <c r="S26" s="53"/>
      <c r="T26" s="53"/>
      <c r="U26" s="53"/>
      <c r="V26" s="5"/>
      <c r="AB26" s="5"/>
    </row>
    <row r="27" spans="16:28" x14ac:dyDescent="0.2">
      <c r="Q27" s="163">
        <v>1492</v>
      </c>
      <c r="R27" s="53">
        <v>2200</v>
      </c>
      <c r="S27" s="53"/>
      <c r="T27" s="53"/>
      <c r="U27" s="53"/>
      <c r="V27" s="5"/>
      <c r="AB27" s="5"/>
    </row>
    <row r="28" spans="16:28" x14ac:dyDescent="0.2">
      <c r="Q28" s="53">
        <v>1500</v>
      </c>
      <c r="R28" s="53">
        <v>2500</v>
      </c>
      <c r="S28" s="53"/>
      <c r="T28" s="53"/>
      <c r="U28" s="53"/>
      <c r="V28" s="5"/>
      <c r="AB28" s="5"/>
    </row>
    <row r="29" spans="16:28" x14ac:dyDescent="0.2">
      <c r="Q29" s="163">
        <v>1792</v>
      </c>
      <c r="R29" s="53"/>
      <c r="S29" s="53"/>
      <c r="T29" s="53"/>
      <c r="U29" s="53"/>
      <c r="V29" s="5"/>
      <c r="AB29" s="5"/>
    </row>
    <row r="30" spans="16:28" x14ac:dyDescent="0.2">
      <c r="Q30" s="53">
        <v>1800</v>
      </c>
      <c r="R30" s="53"/>
      <c r="S30" s="53"/>
      <c r="T30" s="53"/>
      <c r="U30" s="53"/>
      <c r="V30" s="5"/>
      <c r="AB30" s="5"/>
    </row>
    <row r="31" spans="16:28" x14ac:dyDescent="0.2">
      <c r="P31" s="53"/>
      <c r="Q31" s="163">
        <v>1992</v>
      </c>
      <c r="R31" s="53"/>
      <c r="S31" s="53"/>
      <c r="T31" s="53"/>
      <c r="U31" s="53"/>
      <c r="AB31" s="5"/>
    </row>
    <row r="32" spans="16:28" x14ac:dyDescent="0.2">
      <c r="P32" s="53"/>
      <c r="Q32" s="53">
        <v>2000</v>
      </c>
      <c r="R32" s="53"/>
      <c r="S32" s="53"/>
      <c r="T32" s="53"/>
      <c r="U32" s="53"/>
      <c r="AB32" s="5"/>
    </row>
    <row r="33" spans="16:28" x14ac:dyDescent="0.2">
      <c r="P33" s="53"/>
      <c r="Q33" s="163">
        <v>2192</v>
      </c>
      <c r="R33" s="53"/>
      <c r="S33" s="53"/>
      <c r="T33" s="53"/>
      <c r="U33" s="53"/>
      <c r="AB33" s="5"/>
    </row>
    <row r="34" spans="16:28" x14ac:dyDescent="0.2">
      <c r="P34" s="53"/>
      <c r="Q34" s="53">
        <v>2200</v>
      </c>
      <c r="R34" s="53"/>
      <c r="S34" s="53"/>
      <c r="T34" s="53"/>
      <c r="U34" s="53"/>
      <c r="AB34" s="5"/>
    </row>
    <row r="35" spans="16:28" x14ac:dyDescent="0.2">
      <c r="P35" s="53"/>
      <c r="Q35" s="163">
        <v>2492</v>
      </c>
      <c r="R35" s="53"/>
      <c r="S35" s="53"/>
      <c r="T35" s="53"/>
      <c r="U35" s="53"/>
      <c r="AB35" s="5"/>
    </row>
    <row r="36" spans="16:28" x14ac:dyDescent="0.2">
      <c r="P36" s="53"/>
      <c r="Q36" s="53">
        <v>2500</v>
      </c>
      <c r="R36" s="53"/>
      <c r="S36" s="53"/>
      <c r="T36" s="53"/>
      <c r="U36" s="53"/>
      <c r="AB36" s="5"/>
    </row>
    <row r="37" spans="16:28" x14ac:dyDescent="0.2">
      <c r="P37" s="53"/>
      <c r="Q37" s="163">
        <v>2792</v>
      </c>
      <c r="R37" s="53"/>
      <c r="S37" s="53"/>
      <c r="T37" s="53"/>
      <c r="U37" s="53"/>
      <c r="AB37" s="5"/>
    </row>
    <row r="38" spans="16:28" x14ac:dyDescent="0.2">
      <c r="P38" s="53"/>
      <c r="Q38" s="53">
        <v>2800</v>
      </c>
      <c r="R38" s="53"/>
      <c r="S38" s="53"/>
      <c r="T38" s="53"/>
      <c r="U38" s="53"/>
    </row>
    <row r="39" spans="16:28" x14ac:dyDescent="0.2">
      <c r="P39" s="53"/>
      <c r="Q39" s="163">
        <v>2992</v>
      </c>
      <c r="R39" s="53"/>
      <c r="S39" s="53"/>
      <c r="T39" s="53"/>
      <c r="U39" s="53"/>
    </row>
    <row r="40" spans="16:28" x14ac:dyDescent="0.2">
      <c r="P40" s="53"/>
      <c r="Q40" s="53">
        <v>3000</v>
      </c>
      <c r="R40" s="53"/>
      <c r="S40" s="53"/>
      <c r="T40" s="53"/>
      <c r="U40" s="53"/>
    </row>
    <row r="41" spans="16:28" x14ac:dyDescent="0.2">
      <c r="R41" s="53"/>
      <c r="S41" s="53"/>
    </row>
    <row r="42" spans="16:28" x14ac:dyDescent="0.2">
      <c r="R42" s="53"/>
      <c r="S42" s="53"/>
    </row>
    <row r="43" spans="16:28" x14ac:dyDescent="0.2">
      <c r="R43" s="53"/>
      <c r="S43" s="53"/>
    </row>
    <row r="44" spans="16:28" x14ac:dyDescent="0.2">
      <c r="R44" s="53"/>
      <c r="S44" s="53"/>
    </row>
    <row r="45" spans="16:28" x14ac:dyDescent="0.2">
      <c r="R45" s="53"/>
      <c r="S45" s="53"/>
    </row>
  </sheetData>
  <pageMargins left="0.7" right="0.7" top="0.78740157499999996" bottom="0.78740157499999996"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0BBE6-72FE-4779-B092-472E484C3A1C}">
  <sheetPr>
    <tabColor rgb="FFFFFF00"/>
  </sheetPr>
  <dimension ref="A1:AC131"/>
  <sheetViews>
    <sheetView topLeftCell="A4" zoomScale="70" zoomScaleNormal="70" workbookViewId="0">
      <selection activeCell="G23" sqref="G23:G32"/>
    </sheetView>
  </sheetViews>
  <sheetFormatPr baseColWidth="10" defaultRowHeight="12.75" x14ac:dyDescent="0.2"/>
  <sheetData>
    <row r="1" spans="1:23" x14ac:dyDescent="0.2">
      <c r="A1" s="1" t="s">
        <v>425</v>
      </c>
      <c r="W1" s="1"/>
    </row>
    <row r="23" spans="1:28" x14ac:dyDescent="0.2">
      <c r="B23" s="1" t="s">
        <v>399</v>
      </c>
      <c r="C23" s="1" t="s">
        <v>343</v>
      </c>
      <c r="D23" s="1" t="s">
        <v>441</v>
      </c>
      <c r="E23" s="1" t="s">
        <v>635</v>
      </c>
      <c r="F23" s="1" t="s">
        <v>634</v>
      </c>
      <c r="G23" s="1" t="s">
        <v>646</v>
      </c>
      <c r="I23" s="2"/>
      <c r="J23" s="2"/>
    </row>
    <row r="24" spans="1:28" x14ac:dyDescent="0.2">
      <c r="A24" s="1" t="s">
        <v>410</v>
      </c>
      <c r="B24" s="2" t="s">
        <v>642</v>
      </c>
      <c r="C24" s="2" t="s">
        <v>411</v>
      </c>
      <c r="D24" t="s">
        <v>648</v>
      </c>
      <c r="E24" t="s">
        <v>649</v>
      </c>
      <c r="F24" t="s">
        <v>650</v>
      </c>
      <c r="G24" s="2" t="s">
        <v>651</v>
      </c>
      <c r="I24" t="s">
        <v>635</v>
      </c>
      <c r="J24" t="s">
        <v>641</v>
      </c>
      <c r="K24" t="s">
        <v>399</v>
      </c>
      <c r="L24" t="s">
        <v>441</v>
      </c>
      <c r="M24" t="s">
        <v>343</v>
      </c>
      <c r="X24" t="s">
        <v>342</v>
      </c>
      <c r="Y24" t="s">
        <v>343</v>
      </c>
      <c r="Z24" t="s">
        <v>605</v>
      </c>
      <c r="AA24" t="s">
        <v>604</v>
      </c>
      <c r="AB24" t="s">
        <v>603</v>
      </c>
    </row>
    <row r="25" spans="1:28" x14ac:dyDescent="0.2">
      <c r="A25" s="1"/>
      <c r="B25" s="2"/>
      <c r="C25" s="2"/>
      <c r="I25">
        <v>66</v>
      </c>
      <c r="J25">
        <v>63</v>
      </c>
      <c r="K25">
        <v>65</v>
      </c>
      <c r="L25">
        <v>65</v>
      </c>
      <c r="M25">
        <v>62</v>
      </c>
    </row>
    <row r="26" spans="1:28" x14ac:dyDescent="0.2">
      <c r="A26" s="1" t="s">
        <v>412</v>
      </c>
      <c r="B26" s="2" t="s">
        <v>652</v>
      </c>
      <c r="C26" s="2" t="s">
        <v>414</v>
      </c>
      <c r="D26" s="2" t="s">
        <v>653</v>
      </c>
      <c r="E26" s="2" t="s">
        <v>654</v>
      </c>
      <c r="F26" s="2" t="s">
        <v>655</v>
      </c>
      <c r="G26" s="2" t="s">
        <v>656</v>
      </c>
      <c r="I26" s="2" t="s">
        <v>635</v>
      </c>
      <c r="J26" s="2" t="s">
        <v>641</v>
      </c>
      <c r="K26" s="2" t="s">
        <v>399</v>
      </c>
      <c r="L26" s="2" t="s">
        <v>441</v>
      </c>
      <c r="M26" s="2" t="s">
        <v>343</v>
      </c>
      <c r="X26">
        <v>65</v>
      </c>
      <c r="Y26">
        <v>62</v>
      </c>
      <c r="Z26">
        <v>65</v>
      </c>
      <c r="AA26">
        <v>66</v>
      </c>
      <c r="AB26">
        <v>63</v>
      </c>
    </row>
    <row r="27" spans="1:28" x14ac:dyDescent="0.2">
      <c r="A27" s="1"/>
      <c r="B27" s="2"/>
      <c r="C27" s="2"/>
      <c r="I27">
        <v>107</v>
      </c>
      <c r="J27">
        <v>101</v>
      </c>
      <c r="K27">
        <v>105</v>
      </c>
      <c r="L27">
        <v>101</v>
      </c>
      <c r="M27">
        <v>100</v>
      </c>
    </row>
    <row r="28" spans="1:28" ht="12.6" customHeight="1" x14ac:dyDescent="0.2">
      <c r="A28" s="1" t="s">
        <v>413</v>
      </c>
      <c r="B28" s="2" t="s">
        <v>657</v>
      </c>
      <c r="C28" s="2" t="s">
        <v>415</v>
      </c>
      <c r="D28" s="2" t="s">
        <v>658</v>
      </c>
      <c r="E28" s="2" t="s">
        <v>659</v>
      </c>
      <c r="F28" s="2" t="s">
        <v>660</v>
      </c>
      <c r="G28" s="2" t="s">
        <v>661</v>
      </c>
      <c r="X28">
        <v>105</v>
      </c>
      <c r="Y28">
        <v>100</v>
      </c>
      <c r="Z28">
        <v>101</v>
      </c>
      <c r="AA28">
        <v>107</v>
      </c>
      <c r="AB28">
        <v>101</v>
      </c>
    </row>
    <row r="29" spans="1:28" ht="12.6" customHeight="1" x14ac:dyDescent="0.2">
      <c r="A29" s="1"/>
      <c r="B29" s="2"/>
      <c r="C29" s="2"/>
    </row>
    <row r="30" spans="1:28" x14ac:dyDescent="0.2">
      <c r="A30" s="1" t="s">
        <v>417</v>
      </c>
      <c r="B30" s="2" t="s">
        <v>416</v>
      </c>
      <c r="C30" s="2" t="s">
        <v>419</v>
      </c>
      <c r="D30" s="2" t="s">
        <v>662</v>
      </c>
      <c r="E30" s="2" t="s">
        <v>663</v>
      </c>
      <c r="F30" s="2" t="s">
        <v>664</v>
      </c>
      <c r="G30" s="2" t="s">
        <v>665</v>
      </c>
      <c r="H30" s="284"/>
      <c r="X30">
        <v>145</v>
      </c>
      <c r="Y30">
        <v>136</v>
      </c>
      <c r="Z30">
        <v>139</v>
      </c>
      <c r="AA30">
        <v>148</v>
      </c>
      <c r="AB30">
        <v>139</v>
      </c>
    </row>
    <row r="31" spans="1:28" x14ac:dyDescent="0.2">
      <c r="A31" s="1"/>
      <c r="B31" s="2"/>
      <c r="C31" s="2"/>
    </row>
    <row r="32" spans="1:28" x14ac:dyDescent="0.2">
      <c r="A32" s="1" t="s">
        <v>418</v>
      </c>
      <c r="B32" s="2" t="s">
        <v>666</v>
      </c>
      <c r="C32" s="2" t="s">
        <v>420</v>
      </c>
      <c r="D32" s="2" t="s">
        <v>668</v>
      </c>
      <c r="E32" s="2" t="s">
        <v>669</v>
      </c>
      <c r="F32" s="2" t="s">
        <v>670</v>
      </c>
      <c r="G32" s="2" t="s">
        <v>667</v>
      </c>
      <c r="X32">
        <v>185</v>
      </c>
      <c r="Y32">
        <v>173</v>
      </c>
      <c r="Z32">
        <v>177</v>
      </c>
      <c r="AA32">
        <v>189</v>
      </c>
      <c r="AB32">
        <v>177</v>
      </c>
    </row>
    <row r="33" spans="1:29" x14ac:dyDescent="0.2">
      <c r="X33">
        <v>225</v>
      </c>
      <c r="Y33">
        <v>210</v>
      </c>
      <c r="Z33">
        <v>215</v>
      </c>
      <c r="AA33">
        <v>230</v>
      </c>
      <c r="AB33">
        <v>215</v>
      </c>
    </row>
    <row r="34" spans="1:29" x14ac:dyDescent="0.2">
      <c r="B34" s="284"/>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row>
    <row r="35" spans="1:29" x14ac:dyDescent="0.2">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row>
    <row r="36" spans="1:29" x14ac:dyDescent="0.2">
      <c r="B36" s="30"/>
      <c r="C36" s="30"/>
      <c r="D36" s="30"/>
      <c r="E36" s="30"/>
      <c r="F36" s="30"/>
      <c r="G36" s="30"/>
      <c r="H36" s="30"/>
      <c r="I36" s="30"/>
      <c r="J36" s="30"/>
      <c r="K36" s="30"/>
    </row>
    <row r="37" spans="1:29" x14ac:dyDescent="0.2">
      <c r="A37" s="272" t="s">
        <v>410</v>
      </c>
      <c r="B37" s="273">
        <f>'Zehnder Charl. Tabelle'!C$3</f>
        <v>260</v>
      </c>
      <c r="C37" s="273">
        <f>'Zehnder Charl. Tabelle'!D$3</f>
        <v>300</v>
      </c>
      <c r="D37" s="273">
        <f>'Zehnder Charl. Tabelle'!E$3</f>
        <v>350</v>
      </c>
      <c r="E37" s="273">
        <f>'Zehnder Charl. Tabelle'!F$3</f>
        <v>400</v>
      </c>
      <c r="F37" s="273">
        <f>'Zehnder Charl. Tabelle'!G$3</f>
        <v>450</v>
      </c>
      <c r="G37" s="273">
        <f>'Zehnder Charl. Tabelle'!H$3</f>
        <v>500</v>
      </c>
      <c r="H37" s="273">
        <f>'Zehnder Charl. Tabelle'!I$3</f>
        <v>550</v>
      </c>
      <c r="I37" s="273">
        <f>'Zehnder Charl. Tabelle'!J$3</f>
        <v>600</v>
      </c>
      <c r="J37" s="273">
        <f>'Zehnder Charl. Tabelle'!K$3</f>
        <v>750</v>
      </c>
      <c r="K37" s="273">
        <f>'Zehnder Charl. Tabelle'!L$3</f>
        <v>900</v>
      </c>
      <c r="L37" s="273">
        <f>'Zehnder Charl. Tabelle'!M$3</f>
        <v>1000</v>
      </c>
      <c r="M37" s="273">
        <f>'Zehnder Charl. Tabelle'!N$3</f>
        <v>1100</v>
      </c>
      <c r="N37" s="273">
        <f>'Zehnder Charl. Tabelle'!O$3</f>
        <v>1200</v>
      </c>
      <c r="O37" s="273">
        <f>'Zehnder Charl. Tabelle'!P$3</f>
        <v>1500</v>
      </c>
      <c r="P37" s="273">
        <f>'Zehnder Charl. Tabelle'!Q$3</f>
        <v>1800</v>
      </c>
      <c r="Q37" s="273">
        <f>'Zehnder Charl. Tabelle'!R$3</f>
        <v>2000</v>
      </c>
      <c r="R37" s="273">
        <f>'Zehnder Charl. Tabelle'!S$3</f>
        <v>2200</v>
      </c>
      <c r="S37" s="273">
        <f>'Zehnder Charl. Tabelle'!T$3</f>
        <v>2500</v>
      </c>
      <c r="T37" s="273">
        <f>'Zehnder Charl. Tabelle'!U$3</f>
        <v>2800</v>
      </c>
      <c r="U37" s="273">
        <f>'Zehnder Charl. Tabelle'!V$3</f>
        <v>3000</v>
      </c>
    </row>
    <row r="38" spans="1:29" x14ac:dyDescent="0.2">
      <c r="A38" s="1" t="s">
        <v>399</v>
      </c>
      <c r="B38" s="282">
        <f>'Arbonia Tabelle'!E3</f>
        <v>20</v>
      </c>
      <c r="C38" s="29">
        <f>'Arbonia Tabelle'!F3</f>
        <v>24</v>
      </c>
      <c r="D38" s="29">
        <f>'Arbonia Tabelle'!G3</f>
        <v>28</v>
      </c>
      <c r="E38" s="282">
        <f>'Arbonia Tabelle'!H3</f>
        <v>31</v>
      </c>
      <c r="F38" s="29">
        <f>'Arbonia Tabelle'!I3</f>
        <v>35</v>
      </c>
      <c r="G38" s="29">
        <f>'Arbonia Tabelle'!J3</f>
        <v>39</v>
      </c>
      <c r="H38" s="29">
        <f>'Arbonia Tabelle'!K3</f>
        <v>42</v>
      </c>
      <c r="I38" s="29">
        <f>'Arbonia Tabelle'!L3</f>
        <v>46</v>
      </c>
      <c r="J38" s="29">
        <f>'Arbonia Tabelle'!M3</f>
        <v>57</v>
      </c>
      <c r="K38" s="29">
        <f>'Arbonia Tabelle'!N3</f>
        <v>67</v>
      </c>
      <c r="L38" s="29">
        <f>'Arbonia Tabelle'!O3</f>
        <v>74</v>
      </c>
      <c r="M38" s="29">
        <f>'Arbonia Tabelle'!P3</f>
        <v>81</v>
      </c>
      <c r="N38" s="29">
        <f>'Arbonia Tabelle'!Q3</f>
        <v>88</v>
      </c>
      <c r="O38" s="29">
        <f>'Arbonia Tabelle'!R3</f>
        <v>109</v>
      </c>
      <c r="P38" s="29">
        <f>'Arbonia Tabelle'!S3</f>
        <v>130</v>
      </c>
      <c r="Q38" s="29">
        <f>'Arbonia Tabelle'!T3</f>
        <v>144</v>
      </c>
      <c r="R38" s="29">
        <f>'Arbonia Tabelle'!U3</f>
        <v>158</v>
      </c>
      <c r="S38" s="29">
        <f>'Arbonia Tabelle'!V3</f>
        <v>179</v>
      </c>
      <c r="T38" s="29">
        <f>'Arbonia Tabelle'!W3</f>
        <v>200</v>
      </c>
      <c r="U38" s="29">
        <f>'Arbonia Tabelle'!X3</f>
        <v>214</v>
      </c>
    </row>
    <row r="39" spans="1:29" x14ac:dyDescent="0.2">
      <c r="A39" s="268" t="s">
        <v>421</v>
      </c>
      <c r="B39" s="271">
        <f xml:space="preserve"> 0.0704*B37 + 3.1521</f>
        <v>21.456100000000003</v>
      </c>
      <c r="C39" s="271">
        <f t="shared" ref="C39:U39" si="0" xml:space="preserve"> 0.0704*C37 + 3.1521</f>
        <v>24.272100000000002</v>
      </c>
      <c r="D39" s="271">
        <f t="shared" si="0"/>
        <v>27.792100000000001</v>
      </c>
      <c r="E39" s="271">
        <f t="shared" si="0"/>
        <v>31.312100000000001</v>
      </c>
      <c r="F39" s="271">
        <f t="shared" si="0"/>
        <v>34.832100000000004</v>
      </c>
      <c r="G39" s="271">
        <f t="shared" si="0"/>
        <v>38.3521</v>
      </c>
      <c r="H39" s="271">
        <f t="shared" si="0"/>
        <v>41.872099999999996</v>
      </c>
      <c r="I39" s="271">
        <f t="shared" si="0"/>
        <v>45.392099999999999</v>
      </c>
      <c r="J39" s="271">
        <f t="shared" si="0"/>
        <v>55.952100000000002</v>
      </c>
      <c r="K39" s="271">
        <f t="shared" si="0"/>
        <v>66.512100000000004</v>
      </c>
      <c r="L39" s="271">
        <f t="shared" si="0"/>
        <v>73.55210000000001</v>
      </c>
      <c r="M39" s="271">
        <f t="shared" si="0"/>
        <v>80.592100000000002</v>
      </c>
      <c r="N39" s="271">
        <f t="shared" si="0"/>
        <v>87.632100000000008</v>
      </c>
      <c r="O39" s="271">
        <f t="shared" si="0"/>
        <v>108.75210000000001</v>
      </c>
      <c r="P39" s="271">
        <f t="shared" si="0"/>
        <v>129.87210000000002</v>
      </c>
      <c r="Q39" s="271">
        <f t="shared" si="0"/>
        <v>143.9521</v>
      </c>
      <c r="R39" s="271">
        <f t="shared" si="0"/>
        <v>158.03209999999999</v>
      </c>
      <c r="S39" s="271">
        <f t="shared" si="0"/>
        <v>179.15209999999999</v>
      </c>
      <c r="T39" s="271">
        <f t="shared" si="0"/>
        <v>200.27209999999999</v>
      </c>
      <c r="U39" s="271">
        <f t="shared" si="0"/>
        <v>214.35210000000001</v>
      </c>
    </row>
    <row r="40" spans="1:29" x14ac:dyDescent="0.2">
      <c r="A40" s="269" t="s">
        <v>343</v>
      </c>
      <c r="B40" s="270">
        <f>'Zehnder Charl. Tabelle'!C4</f>
        <v>21.1</v>
      </c>
      <c r="C40" s="281">
        <f>'Zehnder Charl. Tabelle'!D4</f>
        <v>23.6</v>
      </c>
      <c r="D40" s="281">
        <f>'Zehnder Charl. Tabelle'!E4</f>
        <v>27.5</v>
      </c>
      <c r="E40" s="270">
        <f>'Zehnder Charl. Tabelle'!F4</f>
        <v>31.2</v>
      </c>
      <c r="F40" s="281">
        <f>'Zehnder Charl. Tabelle'!G4</f>
        <v>34.9</v>
      </c>
      <c r="G40" s="281">
        <f>'Zehnder Charl. Tabelle'!H4</f>
        <v>38.4</v>
      </c>
      <c r="H40" s="283">
        <f>'Zehnder Charl. Tabelle'!I4</f>
        <v>41.9</v>
      </c>
      <c r="I40" s="283">
        <f>'Zehnder Charl. Tabelle'!J4</f>
        <v>45.3</v>
      </c>
      <c r="J40" s="283">
        <f>'Zehnder Charl. Tabelle'!K4</f>
        <v>55</v>
      </c>
      <c r="K40" s="283">
        <f>'Zehnder Charl. Tabelle'!L4</f>
        <v>63.9</v>
      </c>
      <c r="L40" s="283">
        <f>'Zehnder Charl. Tabelle'!M4</f>
        <v>69.5</v>
      </c>
      <c r="M40" s="283">
        <f>'Zehnder Charl. Tabelle'!N4</f>
        <v>74.7</v>
      </c>
      <c r="N40" s="283">
        <f>'Zehnder Charl. Tabelle'!O4</f>
        <v>82.7</v>
      </c>
      <c r="O40" s="283">
        <f>'Zehnder Charl. Tabelle'!P4</f>
        <v>104</v>
      </c>
      <c r="P40" s="283">
        <f>'Zehnder Charl. Tabelle'!Q4</f>
        <v>124</v>
      </c>
      <c r="Q40" s="283">
        <f>'Zehnder Charl. Tabelle'!R4</f>
        <v>138</v>
      </c>
      <c r="R40" s="283">
        <f>'Zehnder Charl. Tabelle'!S4</f>
        <v>151</v>
      </c>
      <c r="S40" s="283">
        <f>'Zehnder Charl. Tabelle'!T4</f>
        <v>171</v>
      </c>
      <c r="T40" s="283">
        <f>'Zehnder Charl. Tabelle'!U4</f>
        <v>189</v>
      </c>
      <c r="U40" s="283">
        <f>'Zehnder Charl. Tabelle'!V4</f>
        <v>201</v>
      </c>
    </row>
    <row r="41" spans="1:29" x14ac:dyDescent="0.2">
      <c r="A41" s="268" t="s">
        <v>422</v>
      </c>
      <c r="B41" s="271">
        <f t="shared" ref="B41:U41" si="1" xml:space="preserve"> 0.066*B37 + 5.1012</f>
        <v>22.261200000000002</v>
      </c>
      <c r="C41" s="271">
        <f t="shared" si="1"/>
        <v>24.901200000000003</v>
      </c>
      <c r="D41" s="271">
        <f t="shared" si="1"/>
        <v>28.2012</v>
      </c>
      <c r="E41" s="271">
        <f t="shared" si="1"/>
        <v>31.501200000000004</v>
      </c>
      <c r="F41" s="271">
        <f t="shared" si="1"/>
        <v>34.801200000000001</v>
      </c>
      <c r="G41" s="271">
        <f t="shared" si="1"/>
        <v>38.101199999999999</v>
      </c>
      <c r="H41" s="271">
        <f t="shared" si="1"/>
        <v>41.401200000000003</v>
      </c>
      <c r="I41" s="271">
        <f t="shared" si="1"/>
        <v>44.7012</v>
      </c>
      <c r="J41" s="271">
        <f t="shared" si="1"/>
        <v>54.601199999999999</v>
      </c>
      <c r="K41" s="271">
        <f t="shared" si="1"/>
        <v>64.501200000000011</v>
      </c>
      <c r="L41" s="271">
        <f t="shared" si="1"/>
        <v>71.101200000000006</v>
      </c>
      <c r="M41" s="271">
        <f t="shared" si="1"/>
        <v>77.701200000000014</v>
      </c>
      <c r="N41" s="271">
        <f t="shared" si="1"/>
        <v>84.301200000000009</v>
      </c>
      <c r="O41" s="271">
        <f t="shared" si="1"/>
        <v>104.10120000000001</v>
      </c>
      <c r="P41" s="271">
        <f t="shared" si="1"/>
        <v>123.90120000000002</v>
      </c>
      <c r="Q41" s="271">
        <f t="shared" si="1"/>
        <v>137.10120000000001</v>
      </c>
      <c r="R41" s="271">
        <f t="shared" si="1"/>
        <v>150.30120000000002</v>
      </c>
      <c r="S41" s="271">
        <f t="shared" si="1"/>
        <v>170.10120000000001</v>
      </c>
      <c r="T41" s="271">
        <f t="shared" si="1"/>
        <v>189.90120000000002</v>
      </c>
      <c r="U41" s="271">
        <f t="shared" si="1"/>
        <v>203.10120000000001</v>
      </c>
    </row>
    <row r="42" spans="1:29" x14ac:dyDescent="0.2">
      <c r="A42" s="1" t="s">
        <v>441</v>
      </c>
      <c r="B42" s="29"/>
      <c r="C42" s="29">
        <f>'IRSAP Tabelle'!D3</f>
        <v>23.4</v>
      </c>
      <c r="D42" s="29">
        <f>'IRSAP Tabelle'!E3</f>
        <v>26.8</v>
      </c>
      <c r="E42" s="29">
        <f>'IRSAP Tabelle'!G3</f>
        <v>30.1</v>
      </c>
      <c r="F42" s="29">
        <f>'IRSAP Tabelle'!H3</f>
        <v>33.4</v>
      </c>
      <c r="G42" s="29">
        <f>'IRSAP Tabelle'!I3</f>
        <v>36.700000000000003</v>
      </c>
      <c r="H42" s="29">
        <f>'IRSAP Tabelle'!K3</f>
        <v>39.9</v>
      </c>
      <c r="I42" s="29">
        <f>'IRSAP Tabelle'!M3</f>
        <v>43.2</v>
      </c>
      <c r="J42" s="29">
        <f>'IRSAP Tabelle'!Q3</f>
        <v>52.9</v>
      </c>
      <c r="K42" s="29">
        <f>'IRSAP Tabelle'!V3</f>
        <v>62.7</v>
      </c>
      <c r="L42" s="29">
        <f>'IRSAP Tabelle'!W3</f>
        <v>69.2</v>
      </c>
      <c r="M42" s="187"/>
      <c r="N42" s="29">
        <f>'IRSAP Tabelle'!X3</f>
        <v>82.5</v>
      </c>
      <c r="O42" s="29">
        <f>'IRSAP Tabelle'!Y3</f>
        <v>103</v>
      </c>
      <c r="P42" s="29">
        <f>'IRSAP Tabelle'!Z3</f>
        <v>124.3</v>
      </c>
      <c r="Q42" s="29">
        <f>'IRSAP Tabelle'!AA3</f>
        <v>139</v>
      </c>
      <c r="R42" s="29">
        <f>'IRSAP Tabelle'!AB3</f>
        <v>154.19999999999999</v>
      </c>
      <c r="S42" s="29">
        <f>'IRSAP Tabelle'!AC3</f>
        <v>177.8</v>
      </c>
      <c r="T42" s="29"/>
      <c r="U42" s="29"/>
    </row>
    <row r="43" spans="1:29" x14ac:dyDescent="0.2">
      <c r="A43" s="1" t="s">
        <v>643</v>
      </c>
      <c r="B43" s="29"/>
      <c r="C43" s="29">
        <f>0.069*C37 + 1.5026</f>
        <v>22.202600000000004</v>
      </c>
      <c r="D43" s="29">
        <f t="shared" ref="D43:S43" si="2">0.069*D37 + 1.5026</f>
        <v>25.652600000000003</v>
      </c>
      <c r="E43" s="29">
        <f t="shared" si="2"/>
        <v>29.102600000000002</v>
      </c>
      <c r="F43" s="29">
        <f t="shared" si="2"/>
        <v>32.552600000000005</v>
      </c>
      <c r="G43" s="29">
        <f t="shared" si="2"/>
        <v>36.002600000000001</v>
      </c>
      <c r="H43" s="29">
        <f t="shared" si="2"/>
        <v>39.452600000000004</v>
      </c>
      <c r="I43" s="29">
        <f t="shared" si="2"/>
        <v>42.902600000000007</v>
      </c>
      <c r="J43" s="29">
        <f t="shared" si="2"/>
        <v>53.252600000000008</v>
      </c>
      <c r="K43" s="29">
        <f t="shared" si="2"/>
        <v>63.60260000000001</v>
      </c>
      <c r="L43" s="29">
        <f t="shared" si="2"/>
        <v>70.502600000000001</v>
      </c>
      <c r="M43" s="29">
        <f t="shared" si="2"/>
        <v>77.402600000000007</v>
      </c>
      <c r="N43" s="29">
        <f t="shared" si="2"/>
        <v>84.302600000000012</v>
      </c>
      <c r="O43" s="29">
        <f t="shared" si="2"/>
        <v>105.00260000000002</v>
      </c>
      <c r="P43" s="29">
        <f t="shared" si="2"/>
        <v>125.70260000000002</v>
      </c>
      <c r="Q43" s="29">
        <f t="shared" si="2"/>
        <v>139.5026</v>
      </c>
      <c r="R43" s="29">
        <f t="shared" si="2"/>
        <v>153.30260000000001</v>
      </c>
      <c r="S43" s="29">
        <f t="shared" si="2"/>
        <v>174.00260000000003</v>
      </c>
      <c r="T43" s="29"/>
      <c r="U43" s="29"/>
    </row>
    <row r="44" spans="1:29" x14ac:dyDescent="0.2">
      <c r="A44" s="269" t="s">
        <v>635</v>
      </c>
      <c r="B44" s="270"/>
      <c r="C44" s="277">
        <f>'Cordivari Tabelle'!D3</f>
        <v>25.6</v>
      </c>
      <c r="D44" s="270"/>
      <c r="E44" s="277">
        <f>'Cordivari Tabelle'!E3</f>
        <v>33</v>
      </c>
      <c r="F44" s="270"/>
      <c r="G44" s="277">
        <f>'Cordivari Tabelle'!F3</f>
        <v>40.1</v>
      </c>
      <c r="H44" s="277">
        <f>'Cordivari Tabelle'!G3</f>
        <v>44</v>
      </c>
      <c r="I44" s="277">
        <f>'Cordivari Tabelle'!I3</f>
        <v>47.1</v>
      </c>
      <c r="J44" s="270">
        <f>'Cordivari Tabelle'!M3</f>
        <v>57.6</v>
      </c>
      <c r="K44" s="270"/>
      <c r="L44" s="270">
        <f>'Cordivari Tabelle'!S3</f>
        <v>75.2</v>
      </c>
      <c r="M44" s="270"/>
      <c r="N44" s="277">
        <f>'Cordivari Tabelle'!T3</f>
        <v>89.5</v>
      </c>
      <c r="O44" s="277">
        <f>'Cordivari Tabelle'!U3</f>
        <v>111.4</v>
      </c>
      <c r="P44" s="277">
        <f>'Cordivari Tabelle'!W3</f>
        <v>134.1</v>
      </c>
      <c r="Q44" s="277">
        <f>'Cordivari Tabelle'!Y3</f>
        <v>149.80000000000001</v>
      </c>
      <c r="R44" s="277">
        <f>'Cordivari Tabelle'!AA3</f>
        <v>165.9</v>
      </c>
      <c r="S44" s="277">
        <f>'Cordivari Tabelle'!AB3</f>
        <v>190.9</v>
      </c>
      <c r="T44" s="270"/>
      <c r="U44" s="270"/>
    </row>
    <row r="45" spans="1:29" x14ac:dyDescent="0.2">
      <c r="A45" s="268" t="s">
        <v>644</v>
      </c>
      <c r="B45" s="271"/>
      <c r="C45" s="271">
        <f>0.0739*C37 + 2.2582</f>
        <v>24.428199999999997</v>
      </c>
      <c r="D45" s="271">
        <f t="shared" ref="D45:S45" si="3">0.0739*D37 + 2.2582</f>
        <v>28.123199999999997</v>
      </c>
      <c r="E45" s="271">
        <f t="shared" si="3"/>
        <v>31.818199999999997</v>
      </c>
      <c r="F45" s="271">
        <f t="shared" si="3"/>
        <v>35.513199999999998</v>
      </c>
      <c r="G45" s="271">
        <f t="shared" si="3"/>
        <v>39.208199999999998</v>
      </c>
      <c r="H45" s="271">
        <f t="shared" si="3"/>
        <v>42.903199999999998</v>
      </c>
      <c r="I45" s="271">
        <f t="shared" si="3"/>
        <v>46.598199999999999</v>
      </c>
      <c r="J45" s="271">
        <f t="shared" si="3"/>
        <v>57.683199999999999</v>
      </c>
      <c r="K45" s="271">
        <f t="shared" si="3"/>
        <v>68.768199999999993</v>
      </c>
      <c r="L45" s="271">
        <f t="shared" si="3"/>
        <v>76.158199999999994</v>
      </c>
      <c r="M45" s="271">
        <f t="shared" si="3"/>
        <v>83.548199999999994</v>
      </c>
      <c r="N45" s="271">
        <f t="shared" si="3"/>
        <v>90.938199999999995</v>
      </c>
      <c r="O45" s="271">
        <f t="shared" si="3"/>
        <v>113.1082</v>
      </c>
      <c r="P45" s="271">
        <f t="shared" si="3"/>
        <v>135.27819999999997</v>
      </c>
      <c r="Q45" s="271">
        <f t="shared" si="3"/>
        <v>150.05819999999997</v>
      </c>
      <c r="R45" s="271">
        <f t="shared" si="3"/>
        <v>164.83819999999997</v>
      </c>
      <c r="S45" s="271">
        <f t="shared" si="3"/>
        <v>187.00819999999996</v>
      </c>
      <c r="T45" s="271"/>
      <c r="U45" s="271"/>
    </row>
    <row r="46" spans="1:29" x14ac:dyDescent="0.2">
      <c r="A46" s="1" t="s">
        <v>634</v>
      </c>
      <c r="B46" s="29"/>
      <c r="C46" s="29">
        <f>'FIR Iron'!D3</f>
        <v>25.24</v>
      </c>
      <c r="D46" s="29">
        <f>'FIR Iron'!E3</f>
        <v>28.96</v>
      </c>
      <c r="E46" s="29">
        <f>'FIR Iron'!G3</f>
        <v>32.630000000000003</v>
      </c>
      <c r="F46" s="29">
        <f>'FIR Iron'!I3</f>
        <v>36.26</v>
      </c>
      <c r="G46" s="29">
        <f>'FIR Iron'!J3</f>
        <v>39.869999999999997</v>
      </c>
      <c r="H46" s="29">
        <f>'FIR Iron'!K3</f>
        <v>43.46</v>
      </c>
      <c r="I46" s="29">
        <f>'FIR Iron'!M3</f>
        <v>47.02</v>
      </c>
      <c r="J46" s="278">
        <f>'FIR Iron'!O3</f>
        <v>57.65</v>
      </c>
      <c r="K46" s="29">
        <f>'FIR Iron'!Q3</f>
        <v>68.22</v>
      </c>
      <c r="L46" s="278">
        <f>'FIR Iron'!S3</f>
        <v>75.260000000000005</v>
      </c>
      <c r="M46" s="29">
        <f>'FIR Iron'!U3</f>
        <v>83.2</v>
      </c>
      <c r="N46" s="29">
        <f>'FIR Iron'!V3</f>
        <v>89.35</v>
      </c>
      <c r="O46" s="29">
        <f>'FIR Iron'!W3</f>
        <v>110.64</v>
      </c>
      <c r="P46" s="29">
        <f>'FIR Iron'!X3</f>
        <v>132.22999999999999</v>
      </c>
      <c r="Q46" s="29">
        <f>'FIR Iron'!Y3</f>
        <v>146.83000000000001</v>
      </c>
      <c r="R46" s="29">
        <f>'FIR Iron'!Z3</f>
        <v>161.63</v>
      </c>
      <c r="S46" s="29">
        <f>'FIR Iron'!AA3</f>
        <v>184.23</v>
      </c>
      <c r="T46" s="29">
        <f>'FIR Iron'!AB3</f>
        <v>207.56</v>
      </c>
      <c r="U46" s="29">
        <f>'FIR Iron'!AC3</f>
        <v>223.1</v>
      </c>
    </row>
    <row r="47" spans="1:29" x14ac:dyDescent="0.2">
      <c r="A47" s="1" t="s">
        <v>645</v>
      </c>
      <c r="B47" s="29"/>
      <c r="C47" s="29">
        <f>0.0727*C37 + 2.9525</f>
        <v>24.762499999999999</v>
      </c>
      <c r="D47" s="29">
        <f t="shared" ref="D47:U47" si="4">0.0727*D37 + 2.9525</f>
        <v>28.397500000000001</v>
      </c>
      <c r="E47" s="29">
        <f t="shared" si="4"/>
        <v>32.032499999999999</v>
      </c>
      <c r="F47" s="29">
        <f t="shared" si="4"/>
        <v>35.667500000000004</v>
      </c>
      <c r="G47" s="29">
        <f t="shared" si="4"/>
        <v>39.302500000000002</v>
      </c>
      <c r="H47" s="29">
        <f t="shared" si="4"/>
        <v>42.9375</v>
      </c>
      <c r="I47" s="29">
        <f t="shared" si="4"/>
        <v>46.572499999999998</v>
      </c>
      <c r="J47" s="29">
        <f t="shared" si="4"/>
        <v>57.477499999999999</v>
      </c>
      <c r="K47" s="29">
        <f t="shared" si="4"/>
        <v>68.382500000000007</v>
      </c>
      <c r="L47" s="29">
        <f t="shared" si="4"/>
        <v>75.652500000000003</v>
      </c>
      <c r="M47" s="29">
        <f t="shared" si="4"/>
        <v>82.922499999999999</v>
      </c>
      <c r="N47" s="29">
        <f t="shared" si="4"/>
        <v>90.192499999999995</v>
      </c>
      <c r="O47" s="29">
        <f t="shared" si="4"/>
        <v>112.0025</v>
      </c>
      <c r="P47" s="29">
        <f t="shared" si="4"/>
        <v>133.8125</v>
      </c>
      <c r="Q47" s="29">
        <f t="shared" si="4"/>
        <v>148.35249999999999</v>
      </c>
      <c r="R47" s="29">
        <f t="shared" si="4"/>
        <v>162.89249999999998</v>
      </c>
      <c r="S47" s="29">
        <f t="shared" si="4"/>
        <v>184.70249999999999</v>
      </c>
      <c r="T47" s="29">
        <f t="shared" si="4"/>
        <v>206.51249999999999</v>
      </c>
      <c r="U47" s="29">
        <f t="shared" si="4"/>
        <v>221.05249999999998</v>
      </c>
    </row>
    <row r="48" spans="1:29" x14ac:dyDescent="0.2">
      <c r="A48" s="269" t="s">
        <v>646</v>
      </c>
      <c r="B48" s="275">
        <f>AVERAGE(B38,B40,B42,B44,B46)</f>
        <v>20.55</v>
      </c>
      <c r="C48" s="275">
        <f t="shared" ref="C48:U48" si="5">AVERAGE(C38,C40,C42,C44,C46)</f>
        <v>24.367999999999999</v>
      </c>
      <c r="D48" s="275">
        <f t="shared" si="5"/>
        <v>27.814999999999998</v>
      </c>
      <c r="E48" s="275">
        <f t="shared" si="5"/>
        <v>31.586000000000002</v>
      </c>
      <c r="F48" s="275">
        <f t="shared" si="5"/>
        <v>34.89</v>
      </c>
      <c r="G48" s="275">
        <f t="shared" si="5"/>
        <v>38.814000000000007</v>
      </c>
      <c r="H48" s="275">
        <f t="shared" si="5"/>
        <v>42.252000000000002</v>
      </c>
      <c r="I48" s="275">
        <f t="shared" si="5"/>
        <v>45.724000000000004</v>
      </c>
      <c r="J48" s="275">
        <f t="shared" si="5"/>
        <v>56.029999999999994</v>
      </c>
      <c r="K48" s="275">
        <f t="shared" si="5"/>
        <v>65.455000000000013</v>
      </c>
      <c r="L48" s="275">
        <f t="shared" si="5"/>
        <v>72.631999999999991</v>
      </c>
      <c r="M48" s="275">
        <f t="shared" si="5"/>
        <v>79.633333333333326</v>
      </c>
      <c r="N48" s="275">
        <f t="shared" si="5"/>
        <v>86.41</v>
      </c>
      <c r="O48" s="275">
        <f t="shared" si="5"/>
        <v>107.60799999999999</v>
      </c>
      <c r="P48" s="275">
        <f t="shared" si="5"/>
        <v>128.92599999999999</v>
      </c>
      <c r="Q48" s="275">
        <f t="shared" si="5"/>
        <v>143.52600000000001</v>
      </c>
      <c r="R48" s="275">
        <f t="shared" si="5"/>
        <v>158.14600000000002</v>
      </c>
      <c r="S48" s="275">
        <f t="shared" si="5"/>
        <v>180.58599999999998</v>
      </c>
      <c r="T48" s="275">
        <f t="shared" si="5"/>
        <v>198.85333333333332</v>
      </c>
      <c r="U48" s="275">
        <f t="shared" si="5"/>
        <v>212.70000000000002</v>
      </c>
    </row>
    <row r="49" spans="1:21" s="1" customFormat="1" x14ac:dyDescent="0.2">
      <c r="A49" s="268" t="s">
        <v>647</v>
      </c>
      <c r="B49" s="276">
        <f>0.0701*B37 + 3.1231</f>
        <v>21.3491</v>
      </c>
      <c r="C49" s="276">
        <f t="shared" ref="C49:U49" si="6">0.0701*C37 + 3.1231</f>
        <v>24.153099999999998</v>
      </c>
      <c r="D49" s="276">
        <f t="shared" si="6"/>
        <v>27.658100000000001</v>
      </c>
      <c r="E49" s="276">
        <f t="shared" si="6"/>
        <v>31.1631</v>
      </c>
      <c r="F49" s="276">
        <f t="shared" si="6"/>
        <v>34.668099999999995</v>
      </c>
      <c r="G49" s="276">
        <f t="shared" si="6"/>
        <v>38.173099999999998</v>
      </c>
      <c r="H49" s="276">
        <f t="shared" si="6"/>
        <v>41.678100000000001</v>
      </c>
      <c r="I49" s="276">
        <f t="shared" si="6"/>
        <v>45.183099999999996</v>
      </c>
      <c r="J49" s="276">
        <f t="shared" si="6"/>
        <v>55.698099999999997</v>
      </c>
      <c r="K49" s="276">
        <f t="shared" si="6"/>
        <v>66.213099999999997</v>
      </c>
      <c r="L49" s="276">
        <f t="shared" si="6"/>
        <v>73.223099999999988</v>
      </c>
      <c r="M49" s="276">
        <f t="shared" si="6"/>
        <v>80.233099999999993</v>
      </c>
      <c r="N49" s="276">
        <f t="shared" si="6"/>
        <v>87.243099999999984</v>
      </c>
      <c r="O49" s="276">
        <f t="shared" si="6"/>
        <v>108.27309999999999</v>
      </c>
      <c r="P49" s="276">
        <f t="shared" si="6"/>
        <v>129.3031</v>
      </c>
      <c r="Q49" s="276">
        <f t="shared" si="6"/>
        <v>143.32309999999998</v>
      </c>
      <c r="R49" s="276">
        <f t="shared" si="6"/>
        <v>157.34309999999999</v>
      </c>
      <c r="S49" s="276">
        <f t="shared" si="6"/>
        <v>178.37309999999999</v>
      </c>
      <c r="T49" s="276">
        <f t="shared" si="6"/>
        <v>199.40309999999999</v>
      </c>
      <c r="U49" s="276">
        <f t="shared" si="6"/>
        <v>213.42309999999998</v>
      </c>
    </row>
    <row r="50" spans="1:21" x14ac:dyDescent="0.2">
      <c r="B50" s="267">
        <f>(B49-B48)/B48</f>
        <v>3.8885644768856413E-2</v>
      </c>
      <c r="C50" s="267">
        <f t="shared" ref="C50:U50" si="7">(C49-C48)/C48</f>
        <v>-8.8189428759028275E-3</v>
      </c>
      <c r="D50" s="267">
        <f t="shared" si="7"/>
        <v>-5.6408412726944718E-3</v>
      </c>
      <c r="E50" s="267">
        <f t="shared" si="7"/>
        <v>-1.3388843158361363E-2</v>
      </c>
      <c r="F50" s="267">
        <f t="shared" si="7"/>
        <v>-6.3599885353971082E-3</v>
      </c>
      <c r="G50" s="267">
        <f t="shared" si="7"/>
        <v>-1.6512083268923818E-2</v>
      </c>
      <c r="H50" s="267">
        <f t="shared" si="7"/>
        <v>-1.3582788980403337E-2</v>
      </c>
      <c r="I50" s="267">
        <f t="shared" si="7"/>
        <v>-1.1829673694340121E-2</v>
      </c>
      <c r="J50" s="267">
        <f t="shared" si="7"/>
        <v>-5.9236123505264585E-3</v>
      </c>
      <c r="K50" s="267">
        <f t="shared" si="7"/>
        <v>1.1582002902757384E-2</v>
      </c>
      <c r="L50" s="267">
        <f t="shared" si="7"/>
        <v>8.1382861548628341E-3</v>
      </c>
      <c r="M50" s="267">
        <f t="shared" si="7"/>
        <v>7.5316031812473943E-3</v>
      </c>
      <c r="N50" s="267">
        <f t="shared" si="7"/>
        <v>9.6412452262468178E-3</v>
      </c>
      <c r="O50" s="267">
        <f t="shared" si="7"/>
        <v>6.1807672292022477E-3</v>
      </c>
      <c r="P50" s="267">
        <f t="shared" si="7"/>
        <v>2.9249336828879582E-3</v>
      </c>
      <c r="Q50" s="267">
        <f t="shared" si="7"/>
        <v>-1.4136811448798687E-3</v>
      </c>
      <c r="R50" s="267">
        <f t="shared" si="7"/>
        <v>-5.0769542068722718E-3</v>
      </c>
      <c r="S50" s="267">
        <f t="shared" si="7"/>
        <v>-1.2253995326326464E-2</v>
      </c>
      <c r="T50" s="267">
        <f t="shared" si="7"/>
        <v>2.764684189352305E-3</v>
      </c>
      <c r="U50" s="267">
        <f t="shared" si="7"/>
        <v>3.3996238834036654E-3</v>
      </c>
    </row>
    <row r="51" spans="1:21" x14ac:dyDescent="0.2">
      <c r="B51" s="267"/>
    </row>
    <row r="52" spans="1:21" x14ac:dyDescent="0.2">
      <c r="A52" s="1" t="s">
        <v>423</v>
      </c>
      <c r="B52" s="29">
        <f t="shared" ref="B52:U52" si="8">MAX(B38,B40,B42,B44,B46)</f>
        <v>21.1</v>
      </c>
      <c r="C52" s="29">
        <f t="shared" si="8"/>
        <v>25.6</v>
      </c>
      <c r="D52" s="29">
        <f t="shared" si="8"/>
        <v>28.96</v>
      </c>
      <c r="E52" s="29">
        <f t="shared" si="8"/>
        <v>33</v>
      </c>
      <c r="F52" s="29">
        <f t="shared" si="8"/>
        <v>36.26</v>
      </c>
      <c r="G52" s="29">
        <f t="shared" si="8"/>
        <v>40.1</v>
      </c>
      <c r="H52" s="29">
        <f t="shared" si="8"/>
        <v>44</v>
      </c>
      <c r="I52" s="29">
        <f t="shared" si="8"/>
        <v>47.1</v>
      </c>
      <c r="J52" s="29">
        <f t="shared" si="8"/>
        <v>57.65</v>
      </c>
      <c r="K52" s="29">
        <f t="shared" si="8"/>
        <v>68.22</v>
      </c>
      <c r="L52" s="29">
        <f t="shared" si="8"/>
        <v>75.260000000000005</v>
      </c>
      <c r="M52" s="29">
        <f t="shared" si="8"/>
        <v>83.2</v>
      </c>
      <c r="N52" s="29">
        <f t="shared" si="8"/>
        <v>89.5</v>
      </c>
      <c r="O52" s="29">
        <f t="shared" si="8"/>
        <v>111.4</v>
      </c>
      <c r="P52" s="29">
        <f t="shared" si="8"/>
        <v>134.1</v>
      </c>
      <c r="Q52" s="29">
        <f t="shared" si="8"/>
        <v>149.80000000000001</v>
      </c>
      <c r="R52" s="29">
        <f t="shared" si="8"/>
        <v>165.9</v>
      </c>
      <c r="S52" s="29">
        <f t="shared" si="8"/>
        <v>190.9</v>
      </c>
      <c r="T52" s="29">
        <f t="shared" si="8"/>
        <v>207.56</v>
      </c>
      <c r="U52" s="29">
        <f t="shared" si="8"/>
        <v>223.1</v>
      </c>
    </row>
    <row r="53" spans="1:21" x14ac:dyDescent="0.2">
      <c r="A53" s="1" t="s">
        <v>424</v>
      </c>
      <c r="B53" s="29">
        <f t="shared" ref="B53:U53" si="9">MIN(B38,B40,B42,B44,B46)</f>
        <v>20</v>
      </c>
      <c r="C53" s="29">
        <f t="shared" si="9"/>
        <v>23.4</v>
      </c>
      <c r="D53" s="29">
        <f t="shared" si="9"/>
        <v>26.8</v>
      </c>
      <c r="E53" s="29">
        <f t="shared" si="9"/>
        <v>30.1</v>
      </c>
      <c r="F53" s="29">
        <f t="shared" si="9"/>
        <v>33.4</v>
      </c>
      <c r="G53" s="29">
        <f t="shared" si="9"/>
        <v>36.700000000000003</v>
      </c>
      <c r="H53" s="29">
        <f t="shared" si="9"/>
        <v>39.9</v>
      </c>
      <c r="I53" s="29">
        <f t="shared" si="9"/>
        <v>43.2</v>
      </c>
      <c r="J53" s="29">
        <f t="shared" si="9"/>
        <v>52.9</v>
      </c>
      <c r="K53" s="29">
        <f t="shared" si="9"/>
        <v>62.7</v>
      </c>
      <c r="L53" s="29">
        <f t="shared" si="9"/>
        <v>69.2</v>
      </c>
      <c r="M53" s="29">
        <f t="shared" si="9"/>
        <v>74.7</v>
      </c>
      <c r="N53" s="29">
        <f t="shared" si="9"/>
        <v>82.5</v>
      </c>
      <c r="O53" s="29">
        <f t="shared" si="9"/>
        <v>103</v>
      </c>
      <c r="P53" s="29">
        <f t="shared" si="9"/>
        <v>124</v>
      </c>
      <c r="Q53" s="29">
        <f t="shared" si="9"/>
        <v>138</v>
      </c>
      <c r="R53" s="29">
        <f t="shared" si="9"/>
        <v>151</v>
      </c>
      <c r="S53" s="29">
        <f t="shared" si="9"/>
        <v>171</v>
      </c>
      <c r="T53" s="29">
        <f t="shared" si="9"/>
        <v>189</v>
      </c>
      <c r="U53" s="29">
        <f t="shared" si="9"/>
        <v>201</v>
      </c>
    </row>
    <row r="54" spans="1:21" x14ac:dyDescent="0.2">
      <c r="B54" s="267">
        <f t="shared" ref="B54:U54" si="10">(B52-B53)/B52</f>
        <v>5.2132701421801014E-2</v>
      </c>
      <c r="C54" s="267">
        <f t="shared" si="10"/>
        <v>8.5937500000000111E-2</v>
      </c>
      <c r="D54" s="267">
        <f t="shared" si="10"/>
        <v>7.4585635359116026E-2</v>
      </c>
      <c r="E54" s="267">
        <f t="shared" si="10"/>
        <v>8.7878787878787834E-2</v>
      </c>
      <c r="F54" s="267">
        <f t="shared" si="10"/>
        <v>7.8874793160507439E-2</v>
      </c>
      <c r="G54" s="267">
        <f t="shared" si="10"/>
        <v>8.4788029925186997E-2</v>
      </c>
      <c r="H54" s="267">
        <f t="shared" si="10"/>
        <v>9.3181818181818213E-2</v>
      </c>
      <c r="I54" s="267">
        <f t="shared" si="10"/>
        <v>8.2802547770700605E-2</v>
      </c>
      <c r="J54" s="267">
        <f t="shared" si="10"/>
        <v>8.2393755420641812E-2</v>
      </c>
      <c r="K54" s="267">
        <f t="shared" si="10"/>
        <v>8.0914687774846034E-2</v>
      </c>
      <c r="L54" s="267">
        <f t="shared" si="10"/>
        <v>8.0520861015147507E-2</v>
      </c>
      <c r="M54" s="267">
        <f t="shared" si="10"/>
        <v>0.10216346153846154</v>
      </c>
      <c r="N54" s="267">
        <f t="shared" si="10"/>
        <v>7.8212290502793297E-2</v>
      </c>
      <c r="O54" s="267">
        <f t="shared" si="10"/>
        <v>7.540394973070022E-2</v>
      </c>
      <c r="P54" s="267">
        <f t="shared" si="10"/>
        <v>7.5316927665920921E-2</v>
      </c>
      <c r="Q54" s="267">
        <f t="shared" si="10"/>
        <v>7.8771695594125571E-2</v>
      </c>
      <c r="R54" s="267">
        <f t="shared" si="10"/>
        <v>8.9813140446051876E-2</v>
      </c>
      <c r="S54" s="267">
        <f t="shared" si="10"/>
        <v>0.10424305919329495</v>
      </c>
      <c r="T54" s="267">
        <f t="shared" si="10"/>
        <v>8.9419926768163432E-2</v>
      </c>
      <c r="U54" s="267">
        <f t="shared" si="10"/>
        <v>9.9058718063648563E-2</v>
      </c>
    </row>
    <row r="55" spans="1:21" x14ac:dyDescent="0.2">
      <c r="A55" s="173">
        <v>0.1</v>
      </c>
    </row>
    <row r="57" spans="1:21" x14ac:dyDescent="0.2">
      <c r="A57" s="272" t="s">
        <v>412</v>
      </c>
      <c r="B57" s="273">
        <f>'Zehnder Charl. Tabelle'!C$3</f>
        <v>260</v>
      </c>
      <c r="C57" s="273">
        <f>'Zehnder Charl. Tabelle'!D$3</f>
        <v>300</v>
      </c>
      <c r="D57" s="273">
        <f>'Zehnder Charl. Tabelle'!E$3</f>
        <v>350</v>
      </c>
      <c r="E57" s="273">
        <f>'Zehnder Charl. Tabelle'!F$3</f>
        <v>400</v>
      </c>
      <c r="F57" s="273">
        <f>'Zehnder Charl. Tabelle'!G$3</f>
        <v>450</v>
      </c>
      <c r="G57" s="273">
        <f>'Zehnder Charl. Tabelle'!H$3</f>
        <v>500</v>
      </c>
      <c r="H57" s="273">
        <f>'Zehnder Charl. Tabelle'!I$3</f>
        <v>550</v>
      </c>
      <c r="I57" s="273">
        <f>'Zehnder Charl. Tabelle'!J$3</f>
        <v>600</v>
      </c>
      <c r="J57" s="273">
        <f>'Zehnder Charl. Tabelle'!K$3</f>
        <v>750</v>
      </c>
      <c r="K57" s="273">
        <f>'Zehnder Charl. Tabelle'!L$3</f>
        <v>900</v>
      </c>
      <c r="L57" s="273">
        <f>'Zehnder Charl. Tabelle'!M$3</f>
        <v>1000</v>
      </c>
      <c r="M57" s="273">
        <f>'Zehnder Charl. Tabelle'!N$3</f>
        <v>1100</v>
      </c>
      <c r="N57" s="273">
        <f>'Zehnder Charl. Tabelle'!O$3</f>
        <v>1200</v>
      </c>
      <c r="O57" s="273">
        <f>'Zehnder Charl. Tabelle'!P$3</f>
        <v>1500</v>
      </c>
      <c r="P57" s="273">
        <f>'Zehnder Charl. Tabelle'!Q$3</f>
        <v>1800</v>
      </c>
      <c r="Q57" s="273">
        <f>'Zehnder Charl. Tabelle'!R$3</f>
        <v>2000</v>
      </c>
      <c r="R57" s="273">
        <f>'Zehnder Charl. Tabelle'!S$3</f>
        <v>2200</v>
      </c>
      <c r="S57" s="273">
        <f>'Zehnder Charl. Tabelle'!T$3</f>
        <v>2500</v>
      </c>
      <c r="T57" s="273">
        <f>'Zehnder Charl. Tabelle'!U$3</f>
        <v>2800</v>
      </c>
      <c r="U57" s="273">
        <f>'Zehnder Charl. Tabelle'!V$3</f>
        <v>3000</v>
      </c>
    </row>
    <row r="58" spans="1:21" x14ac:dyDescent="0.2">
      <c r="A58" s="1" t="s">
        <v>399</v>
      </c>
      <c r="B58" s="29">
        <f>'Arbonia Tabelle'!E4</f>
        <v>28</v>
      </c>
      <c r="C58" s="29">
        <f>'Arbonia Tabelle'!F4</f>
        <v>33</v>
      </c>
      <c r="D58" s="29">
        <f>'Arbonia Tabelle'!G4</f>
        <v>38</v>
      </c>
      <c r="E58" s="29">
        <f>'Arbonia Tabelle'!H4</f>
        <v>43</v>
      </c>
      <c r="F58" s="29">
        <f>'Arbonia Tabelle'!I4</f>
        <v>48</v>
      </c>
      <c r="G58" s="29">
        <f>'Arbonia Tabelle'!J4</f>
        <v>53</v>
      </c>
      <c r="H58" s="29">
        <f>'Arbonia Tabelle'!K4</f>
        <v>58</v>
      </c>
      <c r="I58" s="29">
        <f>'Arbonia Tabelle'!L4</f>
        <v>63</v>
      </c>
      <c r="J58" s="29">
        <f>'Arbonia Tabelle'!M4</f>
        <v>78</v>
      </c>
      <c r="K58" s="29">
        <f>'Arbonia Tabelle'!N4</f>
        <v>92</v>
      </c>
      <c r="L58" s="29">
        <f>'Arbonia Tabelle'!O4</f>
        <v>102</v>
      </c>
      <c r="M58" s="29">
        <f>'Arbonia Tabelle'!P4</f>
        <v>111</v>
      </c>
      <c r="N58" s="29">
        <f>'Arbonia Tabelle'!Q4</f>
        <v>120</v>
      </c>
      <c r="O58" s="29">
        <f>'Arbonia Tabelle'!R4</f>
        <v>147</v>
      </c>
      <c r="P58" s="29">
        <f>'Arbonia Tabelle'!S4</f>
        <v>173</v>
      </c>
      <c r="Q58" s="29">
        <f>'Arbonia Tabelle'!T4</f>
        <v>190</v>
      </c>
      <c r="R58" s="29">
        <f>'Arbonia Tabelle'!U4</f>
        <v>207</v>
      </c>
      <c r="S58" s="29">
        <f>'Arbonia Tabelle'!V4</f>
        <v>231</v>
      </c>
      <c r="T58" s="29">
        <f>'Arbonia Tabelle'!W4</f>
        <v>255</v>
      </c>
      <c r="U58" s="29">
        <f>'Arbonia Tabelle'!X4</f>
        <v>270</v>
      </c>
    </row>
    <row r="59" spans="1:21" x14ac:dyDescent="0.2">
      <c r="A59" s="268" t="s">
        <v>421</v>
      </c>
      <c r="B59" s="271">
        <f xml:space="preserve">  0.0893*B57 + 8.8262</f>
        <v>32.044200000000004</v>
      </c>
      <c r="C59" s="271">
        <f t="shared" ref="C59:U59" si="11" xml:space="preserve">  0.0893*C57 + 8.8262</f>
        <v>35.616200000000006</v>
      </c>
      <c r="D59" s="271">
        <f t="shared" si="11"/>
        <v>40.081200000000003</v>
      </c>
      <c r="E59" s="271">
        <f t="shared" si="11"/>
        <v>44.546199999999999</v>
      </c>
      <c r="F59" s="271">
        <f t="shared" si="11"/>
        <v>49.011200000000002</v>
      </c>
      <c r="G59" s="271">
        <f t="shared" si="11"/>
        <v>53.476200000000006</v>
      </c>
      <c r="H59" s="271">
        <f t="shared" si="11"/>
        <v>57.941200000000002</v>
      </c>
      <c r="I59" s="271">
        <f t="shared" si="11"/>
        <v>62.406200000000005</v>
      </c>
      <c r="J59" s="271">
        <f t="shared" si="11"/>
        <v>75.801200000000009</v>
      </c>
      <c r="K59" s="271">
        <f t="shared" si="11"/>
        <v>89.196200000000005</v>
      </c>
      <c r="L59" s="271">
        <f t="shared" si="11"/>
        <v>98.126200000000011</v>
      </c>
      <c r="M59" s="271">
        <f t="shared" si="11"/>
        <v>107.0562</v>
      </c>
      <c r="N59" s="271">
        <f t="shared" si="11"/>
        <v>115.98620000000001</v>
      </c>
      <c r="O59" s="271">
        <f t="shared" si="11"/>
        <v>142.77620000000002</v>
      </c>
      <c r="P59" s="271">
        <f t="shared" si="11"/>
        <v>169.56620000000001</v>
      </c>
      <c r="Q59" s="271">
        <f t="shared" si="11"/>
        <v>187.42620000000002</v>
      </c>
      <c r="R59" s="271">
        <f t="shared" si="11"/>
        <v>205.28620000000001</v>
      </c>
      <c r="S59" s="271">
        <f t="shared" si="11"/>
        <v>232.0762</v>
      </c>
      <c r="T59" s="271">
        <f t="shared" si="11"/>
        <v>258.86620000000005</v>
      </c>
      <c r="U59" s="271">
        <f t="shared" si="11"/>
        <v>276.72620000000006</v>
      </c>
    </row>
    <row r="60" spans="1:21" x14ac:dyDescent="0.2">
      <c r="A60" s="269" t="s">
        <v>343</v>
      </c>
      <c r="B60" s="283">
        <f>'Zehnder Charl. Tabelle'!C5</f>
        <v>27.9</v>
      </c>
      <c r="C60" s="283">
        <f>'Zehnder Charl. Tabelle'!D5</f>
        <v>32</v>
      </c>
      <c r="D60" s="283">
        <f>'Zehnder Charl. Tabelle'!E5</f>
        <v>37</v>
      </c>
      <c r="E60" s="283">
        <f>'Zehnder Charl. Tabelle'!F5</f>
        <v>41.9</v>
      </c>
      <c r="F60" s="283">
        <f>'Zehnder Charl. Tabelle'!G5</f>
        <v>46.8</v>
      </c>
      <c r="G60" s="283">
        <f>'Zehnder Charl. Tabelle'!H5</f>
        <v>51.6</v>
      </c>
      <c r="H60" s="283">
        <f>'Zehnder Charl. Tabelle'!I5</f>
        <v>56.3</v>
      </c>
      <c r="I60" s="283">
        <f>'Zehnder Charl. Tabelle'!J5</f>
        <v>60.9</v>
      </c>
      <c r="J60" s="283">
        <f>'Zehnder Charl. Tabelle'!K5</f>
        <v>74.3</v>
      </c>
      <c r="K60" s="283">
        <f>'Zehnder Charl. Tabelle'!L5</f>
        <v>87</v>
      </c>
      <c r="L60" s="283">
        <f>'Zehnder Charl. Tabelle'!M5</f>
        <v>95.1</v>
      </c>
      <c r="M60" s="283">
        <f>'Zehnder Charl. Tabelle'!N5</f>
        <v>103</v>
      </c>
      <c r="N60" s="283">
        <f>'Zehnder Charl. Tabelle'!O5</f>
        <v>115</v>
      </c>
      <c r="O60" s="283">
        <f>'Zehnder Charl. Tabelle'!P5</f>
        <v>140</v>
      </c>
      <c r="P60" s="283">
        <f>'Zehnder Charl. Tabelle'!Q5</f>
        <v>166</v>
      </c>
      <c r="Q60" s="283">
        <f>'Zehnder Charl. Tabelle'!R5</f>
        <v>183</v>
      </c>
      <c r="R60" s="283">
        <f>'Zehnder Charl. Tabelle'!S5</f>
        <v>200</v>
      </c>
      <c r="S60" s="283">
        <f>'Zehnder Charl. Tabelle'!T5</f>
        <v>225</v>
      </c>
      <c r="T60" s="283">
        <f>'Zehnder Charl. Tabelle'!U5</f>
        <v>251</v>
      </c>
      <c r="U60" s="283">
        <f>'Zehnder Charl. Tabelle'!V5</f>
        <v>269</v>
      </c>
    </row>
    <row r="61" spans="1:21" x14ac:dyDescent="0.2">
      <c r="A61" s="268" t="s">
        <v>422</v>
      </c>
      <c r="B61" s="271">
        <f t="shared" ref="B61:U61" si="12" xml:space="preserve"> 0.0874*B57 + 7.5286</f>
        <v>30.252600000000001</v>
      </c>
      <c r="C61" s="271">
        <f t="shared" si="12"/>
        <v>33.748600000000003</v>
      </c>
      <c r="D61" s="271">
        <f t="shared" si="12"/>
        <v>38.118600000000001</v>
      </c>
      <c r="E61" s="271">
        <f t="shared" si="12"/>
        <v>42.488599999999998</v>
      </c>
      <c r="F61" s="271">
        <f t="shared" si="12"/>
        <v>46.858600000000003</v>
      </c>
      <c r="G61" s="271">
        <f t="shared" si="12"/>
        <v>51.2286</v>
      </c>
      <c r="H61" s="271">
        <f t="shared" si="12"/>
        <v>55.598599999999998</v>
      </c>
      <c r="I61" s="271">
        <f t="shared" si="12"/>
        <v>59.968600000000002</v>
      </c>
      <c r="J61" s="271">
        <f t="shared" si="12"/>
        <v>73.078599999999994</v>
      </c>
      <c r="K61" s="271">
        <f t="shared" si="12"/>
        <v>86.188600000000008</v>
      </c>
      <c r="L61" s="271">
        <f t="shared" si="12"/>
        <v>94.928600000000003</v>
      </c>
      <c r="M61" s="271">
        <f t="shared" si="12"/>
        <v>103.6686</v>
      </c>
      <c r="N61" s="271">
        <f t="shared" si="12"/>
        <v>112.40860000000001</v>
      </c>
      <c r="O61" s="271">
        <f t="shared" si="12"/>
        <v>138.62860000000001</v>
      </c>
      <c r="P61" s="271">
        <f t="shared" si="12"/>
        <v>164.84860000000003</v>
      </c>
      <c r="Q61" s="271">
        <f t="shared" si="12"/>
        <v>182.32860000000002</v>
      </c>
      <c r="R61" s="271">
        <f t="shared" si="12"/>
        <v>199.80860000000001</v>
      </c>
      <c r="S61" s="271">
        <f t="shared" si="12"/>
        <v>226.02860000000001</v>
      </c>
      <c r="T61" s="271">
        <f t="shared" si="12"/>
        <v>252.24860000000004</v>
      </c>
      <c r="U61" s="271">
        <f t="shared" si="12"/>
        <v>269.72859999999997</v>
      </c>
    </row>
    <row r="62" spans="1:21" x14ac:dyDescent="0.2">
      <c r="A62" s="1" t="s">
        <v>441</v>
      </c>
      <c r="B62" s="29"/>
      <c r="C62" s="29">
        <f>'IRSAP Tabelle'!D4</f>
        <v>32.5</v>
      </c>
      <c r="D62" s="29">
        <f>'IRSAP Tabelle'!E4</f>
        <v>37.299999999999997</v>
      </c>
      <c r="E62" s="29">
        <f>'IRSAP Tabelle'!G4</f>
        <v>42</v>
      </c>
      <c r="F62" s="29">
        <f>'IRSAP Tabelle'!H4</f>
        <v>46.7</v>
      </c>
      <c r="G62" s="29">
        <f>'IRSAP Tabelle'!I4</f>
        <v>51.4</v>
      </c>
      <c r="H62" s="29">
        <f>'IRSAP Tabelle'!K4</f>
        <v>55.9</v>
      </c>
      <c r="I62" s="29">
        <f>'IRSAP Tabelle'!M4</f>
        <v>60.6</v>
      </c>
      <c r="J62" s="29">
        <f>'IRSAP Tabelle'!Q4</f>
        <v>74.400000000000006</v>
      </c>
      <c r="K62" s="29">
        <f>'IRSAP Tabelle'!V4</f>
        <v>87.8</v>
      </c>
      <c r="L62" s="29">
        <f>'IRSAP Tabelle'!W4</f>
        <v>96.8</v>
      </c>
      <c r="M62" s="187"/>
      <c r="N62" s="29">
        <f>'IRSAP Tabelle'!X4</f>
        <v>114.8</v>
      </c>
      <c r="O62" s="29">
        <f>'IRSAP Tabelle'!Y4</f>
        <v>141.69999999999999</v>
      </c>
      <c r="P62" s="29">
        <f>'IRSAP Tabelle'!Z4</f>
        <v>168.9</v>
      </c>
      <c r="Q62" s="29">
        <f>'IRSAP Tabelle'!AA4</f>
        <v>187.2</v>
      </c>
      <c r="R62" s="29">
        <f>'IRSAP Tabelle'!AB4</f>
        <v>205.7</v>
      </c>
      <c r="S62" s="29">
        <f>'IRSAP Tabelle'!AC4</f>
        <v>233.7</v>
      </c>
      <c r="T62" s="29"/>
      <c r="U62" s="29"/>
    </row>
    <row r="63" spans="1:21" x14ac:dyDescent="0.2">
      <c r="A63" s="1" t="s">
        <v>643</v>
      </c>
      <c r="B63" s="29"/>
      <c r="C63" s="29">
        <f>0.0912*C57 + 5.4758</f>
        <v>32.835799999999999</v>
      </c>
      <c r="D63" s="29">
        <f t="shared" ref="D63:S63" si="13">0.0912*D57 + 5.4758</f>
        <v>37.395800000000001</v>
      </c>
      <c r="E63" s="29">
        <f t="shared" si="13"/>
        <v>41.955800000000004</v>
      </c>
      <c r="F63" s="29">
        <f t="shared" si="13"/>
        <v>46.515799999999999</v>
      </c>
      <c r="G63" s="29">
        <f t="shared" si="13"/>
        <v>51.075800000000001</v>
      </c>
      <c r="H63" s="29">
        <f t="shared" si="13"/>
        <v>55.635800000000003</v>
      </c>
      <c r="I63" s="29">
        <f t="shared" si="13"/>
        <v>60.195799999999998</v>
      </c>
      <c r="J63" s="29">
        <f t="shared" si="13"/>
        <v>73.875799999999998</v>
      </c>
      <c r="K63" s="29">
        <f t="shared" si="13"/>
        <v>87.555800000000005</v>
      </c>
      <c r="L63" s="29">
        <f t="shared" si="13"/>
        <v>96.67580000000001</v>
      </c>
      <c r="M63" s="29">
        <f t="shared" si="13"/>
        <v>105.79580000000001</v>
      </c>
      <c r="N63" s="29">
        <f t="shared" si="13"/>
        <v>114.91579999999999</v>
      </c>
      <c r="O63" s="29">
        <f t="shared" si="13"/>
        <v>142.2758</v>
      </c>
      <c r="P63" s="29">
        <f t="shared" si="13"/>
        <v>169.63579999999999</v>
      </c>
      <c r="Q63" s="29">
        <f t="shared" si="13"/>
        <v>187.8758</v>
      </c>
      <c r="R63" s="29">
        <f t="shared" si="13"/>
        <v>206.11580000000001</v>
      </c>
      <c r="S63" s="29">
        <f t="shared" si="13"/>
        <v>233.47579999999999</v>
      </c>
      <c r="T63" s="29"/>
      <c r="U63" s="29"/>
    </row>
    <row r="64" spans="1:21" x14ac:dyDescent="0.2">
      <c r="A64" s="269" t="s">
        <v>635</v>
      </c>
      <c r="B64" s="270"/>
      <c r="C64" s="270">
        <f>'Cordivari Tabelle'!D4</f>
        <v>34.700000000000003</v>
      </c>
      <c r="D64" s="270"/>
      <c r="E64" s="270">
        <f>'Cordivari Tabelle'!E4</f>
        <v>45.1</v>
      </c>
      <c r="F64" s="270"/>
      <c r="G64" s="270">
        <f>'Cordivari Tabelle'!F4</f>
        <v>55.2</v>
      </c>
      <c r="H64" s="277">
        <f>'Cordivari Tabelle'!G4</f>
        <v>60.9</v>
      </c>
      <c r="I64" s="277">
        <f>'Cordivari Tabelle'!I4</f>
        <v>65.2</v>
      </c>
      <c r="J64" s="277">
        <f>'Cordivari Tabelle'!M4</f>
        <v>80</v>
      </c>
      <c r="K64" s="270"/>
      <c r="L64" s="277">
        <f>'Cordivari Tabelle'!S4</f>
        <v>104.3</v>
      </c>
      <c r="M64" s="270"/>
      <c r="N64" s="277">
        <f>'Cordivari Tabelle'!T4</f>
        <v>123.5</v>
      </c>
      <c r="O64" s="277">
        <f>'Cordivari Tabelle'!U4</f>
        <v>151.9</v>
      </c>
      <c r="P64" s="277">
        <f>'Cordivari Tabelle'!W4</f>
        <v>180.2</v>
      </c>
      <c r="Q64" s="277">
        <f>'Cordivari Tabelle'!Y4</f>
        <v>199</v>
      </c>
      <c r="R64" s="277">
        <f>'Cordivari Tabelle'!AA4</f>
        <v>217.8</v>
      </c>
      <c r="S64" s="277">
        <f>'Cordivari Tabelle'!AB4</f>
        <v>245.9</v>
      </c>
      <c r="T64" s="270"/>
      <c r="U64" s="270"/>
    </row>
    <row r="65" spans="1:21" x14ac:dyDescent="0.2">
      <c r="A65" s="268" t="s">
        <v>644</v>
      </c>
      <c r="B65" s="271"/>
      <c r="C65" s="271">
        <f>0.0959*C57 + 7.5701</f>
        <v>36.3401</v>
      </c>
      <c r="D65" s="271">
        <f t="shared" ref="D65:S65" si="14">0.0959*D57 + 7.5701</f>
        <v>41.135099999999994</v>
      </c>
      <c r="E65" s="271">
        <f t="shared" si="14"/>
        <v>45.930099999999996</v>
      </c>
      <c r="F65" s="271">
        <f t="shared" si="14"/>
        <v>50.725099999999998</v>
      </c>
      <c r="G65" s="271">
        <f t="shared" si="14"/>
        <v>55.520099999999999</v>
      </c>
      <c r="H65" s="271">
        <f t="shared" si="14"/>
        <v>60.315100000000001</v>
      </c>
      <c r="I65" s="271">
        <f t="shared" si="14"/>
        <v>65.110100000000003</v>
      </c>
      <c r="J65" s="271">
        <f t="shared" si="14"/>
        <v>79.495099999999994</v>
      </c>
      <c r="K65" s="271">
        <f t="shared" si="14"/>
        <v>93.880099999999999</v>
      </c>
      <c r="L65" s="271">
        <f t="shared" si="14"/>
        <v>103.4701</v>
      </c>
      <c r="M65" s="271">
        <f t="shared" si="14"/>
        <v>113.06009999999999</v>
      </c>
      <c r="N65" s="271">
        <f t="shared" si="14"/>
        <v>122.65009999999999</v>
      </c>
      <c r="O65" s="271">
        <f t="shared" si="14"/>
        <v>151.42009999999999</v>
      </c>
      <c r="P65" s="271">
        <f t="shared" si="14"/>
        <v>180.1901</v>
      </c>
      <c r="Q65" s="271">
        <f t="shared" si="14"/>
        <v>199.37010000000001</v>
      </c>
      <c r="R65" s="271">
        <f t="shared" si="14"/>
        <v>218.55009999999999</v>
      </c>
      <c r="S65" s="271">
        <f t="shared" si="14"/>
        <v>247.3201</v>
      </c>
      <c r="T65" s="271"/>
      <c r="U65" s="271"/>
    </row>
    <row r="66" spans="1:21" x14ac:dyDescent="0.2">
      <c r="A66" s="1" t="s">
        <v>634</v>
      </c>
      <c r="B66" s="29"/>
      <c r="C66" s="278">
        <f>'FIR Iron'!D4</f>
        <v>35.4</v>
      </c>
      <c r="D66" s="278">
        <f>'FIR Iron'!E4</f>
        <v>40.5</v>
      </c>
      <c r="E66" s="278">
        <f>'FIR Iron'!G4</f>
        <v>45.52</v>
      </c>
      <c r="F66" s="278">
        <f>'FIR Iron'!I4</f>
        <v>50.47</v>
      </c>
      <c r="G66" s="278">
        <f>'FIR Iron'!J4</f>
        <v>55.38</v>
      </c>
      <c r="H66" s="29">
        <f>'FIR Iron'!K4</f>
        <v>60.25</v>
      </c>
      <c r="I66" s="29">
        <f>'FIR Iron'!M4</f>
        <v>65.069999999999993</v>
      </c>
      <c r="J66" s="29">
        <f>'FIR Iron'!O4</f>
        <v>79.400000000000006</v>
      </c>
      <c r="K66" s="29">
        <f>'FIR Iron'!Q4</f>
        <v>93.57</v>
      </c>
      <c r="L66" s="29">
        <f>'FIR Iron'!S4</f>
        <v>102.97</v>
      </c>
      <c r="M66" s="29">
        <f>'FIR Iron'!U4</f>
        <v>112.34</v>
      </c>
      <c r="N66" s="29">
        <f>'FIR Iron'!V4</f>
        <v>121.7</v>
      </c>
      <c r="O66" s="29">
        <f>'FIR Iron'!W4</f>
        <v>149.80000000000001</v>
      </c>
      <c r="P66" s="29">
        <f>'FIR Iron'!X4</f>
        <v>178.08</v>
      </c>
      <c r="Q66" s="29">
        <f>'FIR Iron'!Y4</f>
        <v>197.1</v>
      </c>
      <c r="R66" s="29">
        <f>'FIR Iron'!Z4</f>
        <v>216.28</v>
      </c>
      <c r="S66" s="29">
        <f>'FIR Iron'!AA4</f>
        <v>245.44</v>
      </c>
      <c r="T66" s="29">
        <f>'FIR Iron'!AB4</f>
        <v>275.08999999999997</v>
      </c>
      <c r="U66" s="29">
        <f>'FIR Iron'!AC4</f>
        <v>295.18</v>
      </c>
    </row>
    <row r="67" spans="1:21" x14ac:dyDescent="0.2">
      <c r="A67" s="1" t="s">
        <v>645</v>
      </c>
      <c r="B67" s="29"/>
      <c r="C67" s="29">
        <f>0.0956*C57 + 6.9839</f>
        <v>35.663899999999998</v>
      </c>
      <c r="D67" s="29">
        <f t="shared" ref="D67:U67" si="15">0.0956*D57 + 6.9839</f>
        <v>40.443899999999999</v>
      </c>
      <c r="E67" s="29">
        <f t="shared" si="15"/>
        <v>45.2239</v>
      </c>
      <c r="F67" s="29">
        <f t="shared" si="15"/>
        <v>50.003900000000002</v>
      </c>
      <c r="G67" s="29">
        <f t="shared" si="15"/>
        <v>54.783900000000003</v>
      </c>
      <c r="H67" s="29">
        <f t="shared" si="15"/>
        <v>59.563900000000004</v>
      </c>
      <c r="I67" s="29">
        <f t="shared" si="15"/>
        <v>64.343900000000005</v>
      </c>
      <c r="J67" s="29">
        <f t="shared" si="15"/>
        <v>78.683900000000008</v>
      </c>
      <c r="K67" s="29">
        <f t="shared" si="15"/>
        <v>93.023900000000012</v>
      </c>
      <c r="L67" s="29">
        <f t="shared" si="15"/>
        <v>102.58390000000001</v>
      </c>
      <c r="M67" s="29">
        <f t="shared" si="15"/>
        <v>112.14390000000002</v>
      </c>
      <c r="N67" s="29">
        <f t="shared" si="15"/>
        <v>121.7039</v>
      </c>
      <c r="O67" s="29">
        <f t="shared" si="15"/>
        <v>150.38390000000001</v>
      </c>
      <c r="P67" s="29">
        <f t="shared" si="15"/>
        <v>179.06390000000002</v>
      </c>
      <c r="Q67" s="29">
        <f t="shared" si="15"/>
        <v>198.18390000000002</v>
      </c>
      <c r="R67" s="29">
        <f t="shared" si="15"/>
        <v>217.30390000000003</v>
      </c>
      <c r="S67" s="29">
        <f t="shared" si="15"/>
        <v>245.98390000000001</v>
      </c>
      <c r="T67" s="29">
        <f t="shared" si="15"/>
        <v>274.66390000000001</v>
      </c>
      <c r="U67" s="29">
        <f t="shared" si="15"/>
        <v>293.78390000000002</v>
      </c>
    </row>
    <row r="68" spans="1:21" x14ac:dyDescent="0.2">
      <c r="A68" s="269" t="s">
        <v>646</v>
      </c>
      <c r="B68" s="275">
        <f>AVERAGE(B58,B60,B62,B64,B66)</f>
        <v>27.95</v>
      </c>
      <c r="C68" s="275">
        <f t="shared" ref="C68:U68" si="16">AVERAGE(C58,C60,C62,C64,C66)</f>
        <v>33.519999999999996</v>
      </c>
      <c r="D68" s="275">
        <f t="shared" si="16"/>
        <v>38.200000000000003</v>
      </c>
      <c r="E68" s="275">
        <f t="shared" si="16"/>
        <v>43.504000000000005</v>
      </c>
      <c r="F68" s="275">
        <f t="shared" si="16"/>
        <v>47.9925</v>
      </c>
      <c r="G68" s="275">
        <f t="shared" si="16"/>
        <v>53.315999999999995</v>
      </c>
      <c r="H68" s="275">
        <f t="shared" si="16"/>
        <v>58.27</v>
      </c>
      <c r="I68" s="275">
        <f t="shared" si="16"/>
        <v>62.953999999999994</v>
      </c>
      <c r="J68" s="275">
        <f t="shared" si="16"/>
        <v>77.22</v>
      </c>
      <c r="K68" s="275">
        <f t="shared" si="16"/>
        <v>90.092500000000001</v>
      </c>
      <c r="L68" s="275">
        <f t="shared" si="16"/>
        <v>100.23399999999999</v>
      </c>
      <c r="M68" s="275">
        <f t="shared" si="16"/>
        <v>108.78000000000002</v>
      </c>
      <c r="N68" s="275">
        <f t="shared" si="16"/>
        <v>119</v>
      </c>
      <c r="O68" s="275">
        <f t="shared" si="16"/>
        <v>146.08000000000001</v>
      </c>
      <c r="P68" s="275">
        <f t="shared" si="16"/>
        <v>173.23599999999999</v>
      </c>
      <c r="Q68" s="275">
        <f t="shared" si="16"/>
        <v>191.26000000000002</v>
      </c>
      <c r="R68" s="275">
        <f t="shared" si="16"/>
        <v>209.35599999999999</v>
      </c>
      <c r="S68" s="275">
        <f t="shared" si="16"/>
        <v>236.208</v>
      </c>
      <c r="T68" s="275">
        <f t="shared" si="16"/>
        <v>260.36333333333329</v>
      </c>
      <c r="U68" s="275">
        <f t="shared" si="16"/>
        <v>278.06</v>
      </c>
    </row>
    <row r="69" spans="1:21" s="1" customFormat="1" x14ac:dyDescent="0.2">
      <c r="A69" s="268" t="s">
        <v>647</v>
      </c>
      <c r="B69" s="276">
        <f xml:space="preserve"> 0.0911*B57 + 7.6769</f>
        <v>31.3629</v>
      </c>
      <c r="C69" s="276">
        <f t="shared" ref="C69:U69" si="17" xml:space="preserve"> 0.0911*C57 + 7.6769</f>
        <v>35.006900000000002</v>
      </c>
      <c r="D69" s="276">
        <f t="shared" si="17"/>
        <v>39.561900000000001</v>
      </c>
      <c r="E69" s="276">
        <f t="shared" si="17"/>
        <v>44.116900000000001</v>
      </c>
      <c r="F69" s="276">
        <f t="shared" si="17"/>
        <v>48.671899999999994</v>
      </c>
      <c r="G69" s="276">
        <f t="shared" si="17"/>
        <v>53.226900000000001</v>
      </c>
      <c r="H69" s="276">
        <f t="shared" si="17"/>
        <v>57.781899999999993</v>
      </c>
      <c r="I69" s="276">
        <f t="shared" si="17"/>
        <v>62.3369</v>
      </c>
      <c r="J69" s="276">
        <f t="shared" si="17"/>
        <v>76.001900000000006</v>
      </c>
      <c r="K69" s="276">
        <f t="shared" si="17"/>
        <v>89.666899999999998</v>
      </c>
      <c r="L69" s="276">
        <f t="shared" si="17"/>
        <v>98.776899999999998</v>
      </c>
      <c r="M69" s="276">
        <f t="shared" si="17"/>
        <v>107.8869</v>
      </c>
      <c r="N69" s="276">
        <f t="shared" si="17"/>
        <v>116.99690000000001</v>
      </c>
      <c r="O69" s="276">
        <f t="shared" si="17"/>
        <v>144.32689999999999</v>
      </c>
      <c r="P69" s="276">
        <f t="shared" si="17"/>
        <v>171.65689999999998</v>
      </c>
      <c r="Q69" s="276">
        <f t="shared" si="17"/>
        <v>189.87689999999998</v>
      </c>
      <c r="R69" s="276">
        <f t="shared" si="17"/>
        <v>208.09689999999998</v>
      </c>
      <c r="S69" s="276">
        <f t="shared" si="17"/>
        <v>235.42689999999999</v>
      </c>
      <c r="T69" s="276">
        <f t="shared" si="17"/>
        <v>262.75690000000003</v>
      </c>
      <c r="U69" s="276">
        <f t="shared" si="17"/>
        <v>280.9769</v>
      </c>
    </row>
    <row r="70" spans="1:21" x14ac:dyDescent="0.2">
      <c r="B70" s="267">
        <f>(B69-B68)/B68</f>
        <v>0.12210733452593919</v>
      </c>
      <c r="C70" s="267">
        <f t="shared" ref="C70" si="18">(C69-C68)/C68</f>
        <v>4.4358591885441702E-2</v>
      </c>
      <c r="D70" s="267">
        <f t="shared" ref="D70" si="19">(D69-D68)/D68</f>
        <v>3.5651832460732946E-2</v>
      </c>
      <c r="E70" s="267">
        <f t="shared" ref="E70" si="20">(E69-E68)/E68</f>
        <v>1.4088359691062802E-2</v>
      </c>
      <c r="F70" s="267">
        <f t="shared" ref="F70" si="21">(F69-F68)/F68</f>
        <v>1.415637860082292E-2</v>
      </c>
      <c r="G70" s="267">
        <f t="shared" ref="G70" si="22">(G69-G68)/G68</f>
        <v>-1.6711681296420373E-3</v>
      </c>
      <c r="H70" s="267">
        <f t="shared" ref="H70" si="23">(H69-H68)/H68</f>
        <v>-8.3765230822037059E-3</v>
      </c>
      <c r="I70" s="267">
        <f t="shared" ref="I70" si="24">(I69-I68)/I68</f>
        <v>-9.8023953998156374E-3</v>
      </c>
      <c r="J70" s="267">
        <f t="shared" ref="J70" si="25">(J69-J68)/J68</f>
        <v>-1.5774410774410681E-2</v>
      </c>
      <c r="K70" s="267">
        <f t="shared" ref="K70" si="26">(K69-K68)/K68</f>
        <v>-4.7240336321003728E-3</v>
      </c>
      <c r="L70" s="267">
        <f t="shared" ref="L70" si="27">(L69-L68)/L68</f>
        <v>-1.4536983458706597E-2</v>
      </c>
      <c r="M70" s="267">
        <f t="shared" ref="M70" si="28">(M69-M68)/M68</f>
        <v>-8.2101489244348052E-3</v>
      </c>
      <c r="N70" s="267">
        <f t="shared" ref="N70" si="29">(N69-N68)/N68</f>
        <v>-1.6832773109243606E-2</v>
      </c>
      <c r="O70" s="267">
        <f t="shared" ref="O70" si="30">(O69-O68)/O68</f>
        <v>-1.2000958378970547E-2</v>
      </c>
      <c r="P70" s="267">
        <f t="shared" ref="P70" si="31">(P69-P68)/P68</f>
        <v>-9.1153109053546087E-3</v>
      </c>
      <c r="Q70" s="267">
        <f t="shared" ref="Q70" si="32">(Q69-Q68)/Q68</f>
        <v>-7.2315173062848549E-3</v>
      </c>
      <c r="R70" s="267">
        <f t="shared" ref="R70" si="33">(R69-R68)/R68</f>
        <v>-6.0141577026692232E-3</v>
      </c>
      <c r="S70" s="267">
        <f t="shared" ref="S70" si="34">(S69-S68)/S68</f>
        <v>-3.3068312673576222E-3</v>
      </c>
      <c r="T70" s="267">
        <f t="shared" ref="T70" si="35">(T69-T68)/T68</f>
        <v>9.1931787630109597E-3</v>
      </c>
      <c r="U70" s="267">
        <f t="shared" ref="U70" si="36">(U69-U68)/U68</f>
        <v>1.0490181975113278E-2</v>
      </c>
    </row>
    <row r="72" spans="1:21" x14ac:dyDescent="0.2">
      <c r="A72" s="1" t="s">
        <v>423</v>
      </c>
      <c r="B72" s="29">
        <f t="shared" ref="B72:U72" si="37">MAX(B58,B60,B62,B64,B66)</f>
        <v>28</v>
      </c>
      <c r="C72" s="29">
        <f t="shared" si="37"/>
        <v>35.4</v>
      </c>
      <c r="D72" s="29">
        <f t="shared" si="37"/>
        <v>40.5</v>
      </c>
      <c r="E72" s="29">
        <f t="shared" si="37"/>
        <v>45.52</v>
      </c>
      <c r="F72" s="29">
        <f t="shared" si="37"/>
        <v>50.47</v>
      </c>
      <c r="G72" s="29">
        <f t="shared" si="37"/>
        <v>55.38</v>
      </c>
      <c r="H72" s="29">
        <f t="shared" si="37"/>
        <v>60.9</v>
      </c>
      <c r="I72" s="29">
        <f t="shared" si="37"/>
        <v>65.2</v>
      </c>
      <c r="J72" s="29">
        <f t="shared" si="37"/>
        <v>80</v>
      </c>
      <c r="K72" s="29">
        <f t="shared" si="37"/>
        <v>93.57</v>
      </c>
      <c r="L72" s="29">
        <f t="shared" si="37"/>
        <v>104.3</v>
      </c>
      <c r="M72" s="29">
        <f t="shared" si="37"/>
        <v>112.34</v>
      </c>
      <c r="N72" s="29">
        <f t="shared" si="37"/>
        <v>123.5</v>
      </c>
      <c r="O72" s="29">
        <f t="shared" si="37"/>
        <v>151.9</v>
      </c>
      <c r="P72" s="29">
        <f t="shared" si="37"/>
        <v>180.2</v>
      </c>
      <c r="Q72" s="29">
        <f t="shared" si="37"/>
        <v>199</v>
      </c>
      <c r="R72" s="29">
        <f t="shared" si="37"/>
        <v>217.8</v>
      </c>
      <c r="S72" s="29">
        <f t="shared" si="37"/>
        <v>245.9</v>
      </c>
      <c r="T72" s="29">
        <f t="shared" si="37"/>
        <v>275.08999999999997</v>
      </c>
      <c r="U72" s="29">
        <f t="shared" si="37"/>
        <v>295.18</v>
      </c>
    </row>
    <row r="73" spans="1:21" x14ac:dyDescent="0.2">
      <c r="A73" s="1" t="s">
        <v>424</v>
      </c>
      <c r="B73" s="29">
        <f t="shared" ref="B73:U73" si="38">MIN(B58,B60,B62,B64,B66)</f>
        <v>27.9</v>
      </c>
      <c r="C73" s="29">
        <f t="shared" si="38"/>
        <v>32</v>
      </c>
      <c r="D73" s="29">
        <f t="shared" si="38"/>
        <v>37</v>
      </c>
      <c r="E73" s="29">
        <f t="shared" si="38"/>
        <v>41.9</v>
      </c>
      <c r="F73" s="29">
        <f t="shared" si="38"/>
        <v>46.7</v>
      </c>
      <c r="G73" s="29">
        <f t="shared" si="38"/>
        <v>51.4</v>
      </c>
      <c r="H73" s="29">
        <f t="shared" si="38"/>
        <v>55.9</v>
      </c>
      <c r="I73" s="29">
        <f t="shared" si="38"/>
        <v>60.6</v>
      </c>
      <c r="J73" s="29">
        <f t="shared" si="38"/>
        <v>74.3</v>
      </c>
      <c r="K73" s="29">
        <f t="shared" si="38"/>
        <v>87</v>
      </c>
      <c r="L73" s="29">
        <f t="shared" si="38"/>
        <v>95.1</v>
      </c>
      <c r="M73" s="29">
        <f t="shared" si="38"/>
        <v>103</v>
      </c>
      <c r="N73" s="29">
        <f t="shared" si="38"/>
        <v>114.8</v>
      </c>
      <c r="O73" s="29">
        <f t="shared" si="38"/>
        <v>140</v>
      </c>
      <c r="P73" s="29">
        <f t="shared" si="38"/>
        <v>166</v>
      </c>
      <c r="Q73" s="29">
        <f t="shared" si="38"/>
        <v>183</v>
      </c>
      <c r="R73" s="29">
        <f t="shared" si="38"/>
        <v>200</v>
      </c>
      <c r="S73" s="29">
        <f t="shared" si="38"/>
        <v>225</v>
      </c>
      <c r="T73" s="29">
        <f t="shared" si="38"/>
        <v>251</v>
      </c>
      <c r="U73" s="29">
        <f t="shared" si="38"/>
        <v>269</v>
      </c>
    </row>
    <row r="74" spans="1:21" x14ac:dyDescent="0.2">
      <c r="B74" s="173">
        <f t="shared" ref="B74:U74" si="39">(B72-B73)/B72</f>
        <v>3.5714285714286221E-3</v>
      </c>
      <c r="C74" s="173">
        <f t="shared" si="39"/>
        <v>9.6045197740112956E-2</v>
      </c>
      <c r="D74" s="173">
        <f t="shared" si="39"/>
        <v>8.6419753086419748E-2</v>
      </c>
      <c r="E74" s="173">
        <f t="shared" si="39"/>
        <v>7.9525483304042272E-2</v>
      </c>
      <c r="F74" s="173">
        <f t="shared" si="39"/>
        <v>7.4697840301168938E-2</v>
      </c>
      <c r="G74" s="173">
        <f t="shared" si="39"/>
        <v>7.1867100036114184E-2</v>
      </c>
      <c r="H74" s="173">
        <f t="shared" si="39"/>
        <v>8.2101806239737271E-2</v>
      </c>
      <c r="I74" s="173">
        <f t="shared" si="39"/>
        <v>7.0552147239263827E-2</v>
      </c>
      <c r="J74" s="173">
        <f t="shared" si="39"/>
        <v>7.1250000000000036E-2</v>
      </c>
      <c r="K74" s="173">
        <f t="shared" si="39"/>
        <v>7.0214812439884505E-2</v>
      </c>
      <c r="L74" s="173">
        <f t="shared" si="39"/>
        <v>8.8207094918504342E-2</v>
      </c>
      <c r="M74" s="173">
        <f t="shared" si="39"/>
        <v>8.3140466441160785E-2</v>
      </c>
      <c r="N74" s="173">
        <f t="shared" si="39"/>
        <v>7.044534412955468E-2</v>
      </c>
      <c r="O74" s="173">
        <f t="shared" si="39"/>
        <v>7.8341013824884828E-2</v>
      </c>
      <c r="P74" s="173">
        <f t="shared" si="39"/>
        <v>7.8801331853496054E-2</v>
      </c>
      <c r="Q74" s="173">
        <f t="shared" si="39"/>
        <v>8.0402010050251257E-2</v>
      </c>
      <c r="R74" s="173">
        <f t="shared" si="39"/>
        <v>8.1726354453627234E-2</v>
      </c>
      <c r="S74" s="173">
        <f t="shared" si="39"/>
        <v>8.4993899959333083E-2</v>
      </c>
      <c r="T74" s="173">
        <f t="shared" si="39"/>
        <v>8.7571340288632726E-2</v>
      </c>
      <c r="U74" s="173">
        <f t="shared" si="39"/>
        <v>8.8691645775459058E-2</v>
      </c>
    </row>
    <row r="76" spans="1:21" x14ac:dyDescent="0.2">
      <c r="A76" s="272" t="s">
        <v>413</v>
      </c>
      <c r="B76" s="273">
        <f>'Zehnder Charl. Tabelle'!C$3</f>
        <v>260</v>
      </c>
      <c r="C76" s="273">
        <f>'Zehnder Charl. Tabelle'!D$3</f>
        <v>300</v>
      </c>
      <c r="D76" s="273">
        <f>'Zehnder Charl. Tabelle'!E$3</f>
        <v>350</v>
      </c>
      <c r="E76" s="273">
        <f>'Zehnder Charl. Tabelle'!F$3</f>
        <v>400</v>
      </c>
      <c r="F76" s="273">
        <f>'Zehnder Charl. Tabelle'!G$3</f>
        <v>450</v>
      </c>
      <c r="G76" s="273">
        <f>'Zehnder Charl. Tabelle'!H$3</f>
        <v>500</v>
      </c>
      <c r="H76" s="273">
        <f>'Zehnder Charl. Tabelle'!I$3</f>
        <v>550</v>
      </c>
      <c r="I76" s="273">
        <f>'Zehnder Charl. Tabelle'!J$3</f>
        <v>600</v>
      </c>
      <c r="J76" s="273">
        <f>'Zehnder Charl. Tabelle'!K$3</f>
        <v>750</v>
      </c>
      <c r="K76" s="273">
        <f>'Zehnder Charl. Tabelle'!L$3</f>
        <v>900</v>
      </c>
      <c r="L76" s="273">
        <f>'Zehnder Charl. Tabelle'!M$3</f>
        <v>1000</v>
      </c>
      <c r="M76" s="273">
        <f>'Zehnder Charl. Tabelle'!N$3</f>
        <v>1100</v>
      </c>
      <c r="N76" s="273">
        <f>'Zehnder Charl. Tabelle'!O$3</f>
        <v>1200</v>
      </c>
      <c r="O76" s="273">
        <f>'Zehnder Charl. Tabelle'!P$3</f>
        <v>1500</v>
      </c>
      <c r="P76" s="273">
        <f>'Zehnder Charl. Tabelle'!Q$3</f>
        <v>1800</v>
      </c>
      <c r="Q76" s="273">
        <f>'Zehnder Charl. Tabelle'!R$3</f>
        <v>2000</v>
      </c>
      <c r="R76" s="273">
        <f>'Zehnder Charl. Tabelle'!S$3</f>
        <v>2200</v>
      </c>
      <c r="S76" s="273">
        <f>'Zehnder Charl. Tabelle'!T$3</f>
        <v>2500</v>
      </c>
      <c r="T76" s="273">
        <f>'Zehnder Charl. Tabelle'!U$3</f>
        <v>2800</v>
      </c>
      <c r="U76" s="273">
        <f>'Zehnder Charl. Tabelle'!V$3</f>
        <v>3000</v>
      </c>
    </row>
    <row r="77" spans="1:21" x14ac:dyDescent="0.2">
      <c r="A77" s="1" t="s">
        <v>399</v>
      </c>
      <c r="B77" s="282">
        <f>'Arbonia Tabelle'!E5</f>
        <v>36</v>
      </c>
      <c r="C77" s="29">
        <f>'Arbonia Tabelle'!F5</f>
        <v>43</v>
      </c>
      <c r="D77" s="29">
        <f>'Arbonia Tabelle'!G5</f>
        <v>49</v>
      </c>
      <c r="E77" s="29">
        <f>'Arbonia Tabelle'!H5</f>
        <v>56</v>
      </c>
      <c r="F77" s="29">
        <f>'Arbonia Tabelle'!I5</f>
        <v>62</v>
      </c>
      <c r="G77" s="29">
        <f>'Arbonia Tabelle'!J5</f>
        <v>69</v>
      </c>
      <c r="H77" s="29">
        <f>'Arbonia Tabelle'!K5</f>
        <v>75</v>
      </c>
      <c r="I77" s="29">
        <f>'Arbonia Tabelle'!L5</f>
        <v>81</v>
      </c>
      <c r="J77" s="29">
        <f>'Arbonia Tabelle'!M5</f>
        <v>100</v>
      </c>
      <c r="K77" s="29">
        <f>'Arbonia Tabelle'!N5</f>
        <v>117</v>
      </c>
      <c r="L77" s="29">
        <f>'Arbonia Tabelle'!O5</f>
        <v>129</v>
      </c>
      <c r="M77" s="29">
        <f>'Arbonia Tabelle'!P5</f>
        <v>141</v>
      </c>
      <c r="N77" s="29">
        <f>'Arbonia Tabelle'!Q5</f>
        <v>152</v>
      </c>
      <c r="O77" s="29">
        <f>'Arbonia Tabelle'!R5</f>
        <v>186</v>
      </c>
      <c r="P77" s="29">
        <f>'Arbonia Tabelle'!S5</f>
        <v>219</v>
      </c>
      <c r="Q77" s="29">
        <f>'Arbonia Tabelle'!T5</f>
        <v>241</v>
      </c>
      <c r="R77" s="29">
        <f>'Arbonia Tabelle'!U5</f>
        <v>262</v>
      </c>
      <c r="S77" s="29">
        <f>'Arbonia Tabelle'!V5</f>
        <v>293</v>
      </c>
      <c r="T77" s="282">
        <f>'Arbonia Tabelle'!W5</f>
        <v>323</v>
      </c>
      <c r="U77" s="282">
        <f>'Arbonia Tabelle'!X5</f>
        <v>343</v>
      </c>
    </row>
    <row r="78" spans="1:21" x14ac:dyDescent="0.2">
      <c r="A78" s="268" t="s">
        <v>421</v>
      </c>
      <c r="B78" s="271">
        <f xml:space="preserve">   0.1127*B76 + 12.391</f>
        <v>41.692999999999998</v>
      </c>
      <c r="C78" s="271">
        <f t="shared" ref="C78:U78" si="40" xml:space="preserve">   0.1127*C76 + 12.391</f>
        <v>46.200999999999993</v>
      </c>
      <c r="D78" s="271">
        <f t="shared" si="40"/>
        <v>51.835999999999999</v>
      </c>
      <c r="E78" s="271">
        <f t="shared" si="40"/>
        <v>57.470999999999997</v>
      </c>
      <c r="F78" s="271">
        <f t="shared" si="40"/>
        <v>63.105999999999995</v>
      </c>
      <c r="G78" s="271">
        <f t="shared" si="40"/>
        <v>68.741</v>
      </c>
      <c r="H78" s="271">
        <f t="shared" si="40"/>
        <v>74.376000000000005</v>
      </c>
      <c r="I78" s="271">
        <f t="shared" si="40"/>
        <v>80.010999999999996</v>
      </c>
      <c r="J78" s="271">
        <f t="shared" si="40"/>
        <v>96.915999999999997</v>
      </c>
      <c r="K78" s="271">
        <f t="shared" si="40"/>
        <v>113.821</v>
      </c>
      <c r="L78" s="271">
        <f t="shared" si="40"/>
        <v>125.09099999999999</v>
      </c>
      <c r="M78" s="271">
        <f t="shared" si="40"/>
        <v>136.36099999999999</v>
      </c>
      <c r="N78" s="271">
        <f t="shared" si="40"/>
        <v>147.63099999999997</v>
      </c>
      <c r="O78" s="271">
        <f t="shared" si="40"/>
        <v>181.44099999999997</v>
      </c>
      <c r="P78" s="271">
        <f t="shared" si="40"/>
        <v>215.25099999999998</v>
      </c>
      <c r="Q78" s="271">
        <f t="shared" si="40"/>
        <v>237.79099999999997</v>
      </c>
      <c r="R78" s="271">
        <f t="shared" si="40"/>
        <v>260.33100000000002</v>
      </c>
      <c r="S78" s="271">
        <f t="shared" si="40"/>
        <v>294.14100000000002</v>
      </c>
      <c r="T78" s="271">
        <f t="shared" si="40"/>
        <v>327.95100000000002</v>
      </c>
      <c r="U78" s="271">
        <f t="shared" si="40"/>
        <v>350.49099999999999</v>
      </c>
    </row>
    <row r="79" spans="1:21" x14ac:dyDescent="0.2">
      <c r="A79" s="280" t="s">
        <v>343</v>
      </c>
      <c r="B79" s="275">
        <f>'Zehnder Charl. Tabelle'!C6</f>
        <v>36.5</v>
      </c>
      <c r="C79" s="283">
        <f>'Zehnder Charl. Tabelle'!D6</f>
        <v>41.9</v>
      </c>
      <c r="D79" s="283">
        <f>'Zehnder Charl. Tabelle'!E6</f>
        <v>48.5</v>
      </c>
      <c r="E79" s="283">
        <f>'Zehnder Charl. Tabelle'!F6</f>
        <v>54.9</v>
      </c>
      <c r="F79" s="283">
        <f>'Zehnder Charl. Tabelle'!G6</f>
        <v>61.3</v>
      </c>
      <c r="G79" s="283">
        <f>'Zehnder Charl. Tabelle'!H6</f>
        <v>67.599999999999994</v>
      </c>
      <c r="H79" s="283">
        <f>'Zehnder Charl. Tabelle'!I6</f>
        <v>73.7</v>
      </c>
      <c r="I79" s="283">
        <f>'Zehnder Charl. Tabelle'!J6</f>
        <v>79.8</v>
      </c>
      <c r="J79" s="283">
        <f>'Zehnder Charl. Tabelle'!K6</f>
        <v>97.4</v>
      </c>
      <c r="K79" s="283">
        <f>'Zehnder Charl. Tabelle'!L6</f>
        <v>114</v>
      </c>
      <c r="L79" s="283">
        <f>'Zehnder Charl. Tabelle'!M6</f>
        <v>125</v>
      </c>
      <c r="M79" s="283">
        <f>'Zehnder Charl. Tabelle'!N6</f>
        <v>135</v>
      </c>
      <c r="N79" s="283">
        <f>'Zehnder Charl. Tabelle'!O6</f>
        <v>147</v>
      </c>
      <c r="O79" s="283">
        <f>'Zehnder Charl. Tabelle'!P6</f>
        <v>180</v>
      </c>
      <c r="P79" s="283">
        <f>'Zehnder Charl. Tabelle'!Q6</f>
        <v>213</v>
      </c>
      <c r="Q79" s="283">
        <f>'Zehnder Charl. Tabelle'!R6</f>
        <v>234</v>
      </c>
      <c r="R79" s="283">
        <f>'Zehnder Charl. Tabelle'!S6</f>
        <v>256</v>
      </c>
      <c r="S79" s="283">
        <f>'Zehnder Charl. Tabelle'!T6</f>
        <v>289</v>
      </c>
      <c r="T79" s="275">
        <f>'Zehnder Charl. Tabelle'!U6</f>
        <v>323</v>
      </c>
      <c r="U79" s="275">
        <f>'Zehnder Charl. Tabelle'!V6</f>
        <v>345</v>
      </c>
    </row>
    <row r="80" spans="1:21" x14ac:dyDescent="0.2">
      <c r="A80" s="268" t="s">
        <v>422</v>
      </c>
      <c r="B80" s="271">
        <f t="shared" ref="B80:U80" si="41" xml:space="preserve">  0.1116*B76 + 11.375</f>
        <v>40.391000000000005</v>
      </c>
      <c r="C80" s="271">
        <f t="shared" si="41"/>
        <v>44.855000000000004</v>
      </c>
      <c r="D80" s="271">
        <f t="shared" si="41"/>
        <v>50.435000000000002</v>
      </c>
      <c r="E80" s="271">
        <f t="shared" si="41"/>
        <v>56.015000000000001</v>
      </c>
      <c r="F80" s="271">
        <f t="shared" si="41"/>
        <v>61.594999999999999</v>
      </c>
      <c r="G80" s="271">
        <f t="shared" si="41"/>
        <v>67.175000000000011</v>
      </c>
      <c r="H80" s="271">
        <f t="shared" si="41"/>
        <v>72.754999999999995</v>
      </c>
      <c r="I80" s="271">
        <f t="shared" si="41"/>
        <v>78.335000000000008</v>
      </c>
      <c r="J80" s="271">
        <f t="shared" si="41"/>
        <v>95.075000000000003</v>
      </c>
      <c r="K80" s="271">
        <f t="shared" si="41"/>
        <v>111.815</v>
      </c>
      <c r="L80" s="271">
        <f t="shared" si="41"/>
        <v>122.97500000000001</v>
      </c>
      <c r="M80" s="271">
        <f t="shared" si="41"/>
        <v>134.13499999999999</v>
      </c>
      <c r="N80" s="271">
        <f t="shared" si="41"/>
        <v>145.29500000000002</v>
      </c>
      <c r="O80" s="271">
        <f t="shared" si="41"/>
        <v>178.77500000000001</v>
      </c>
      <c r="P80" s="271">
        <f t="shared" si="41"/>
        <v>212.255</v>
      </c>
      <c r="Q80" s="271">
        <f t="shared" si="41"/>
        <v>234.57500000000002</v>
      </c>
      <c r="R80" s="271">
        <f t="shared" si="41"/>
        <v>256.89499999999998</v>
      </c>
      <c r="S80" s="271">
        <f t="shared" si="41"/>
        <v>290.375</v>
      </c>
      <c r="T80" s="271">
        <f t="shared" si="41"/>
        <v>323.85500000000002</v>
      </c>
      <c r="U80" s="271">
        <f t="shared" si="41"/>
        <v>346.17500000000001</v>
      </c>
    </row>
    <row r="81" spans="1:21" x14ac:dyDescent="0.2">
      <c r="A81" s="1" t="s">
        <v>441</v>
      </c>
      <c r="B81" s="29"/>
      <c r="C81" s="29">
        <f>'IRSAP Tabelle'!D5</f>
        <v>42.1</v>
      </c>
      <c r="D81" s="29">
        <f>'IRSAP Tabelle'!E5</f>
        <v>48.4</v>
      </c>
      <c r="E81" s="29">
        <f>'IRSAP Tabelle'!G5</f>
        <v>54.6</v>
      </c>
      <c r="F81" s="29">
        <f>'IRSAP Tabelle'!H5</f>
        <v>60.8</v>
      </c>
      <c r="G81" s="29">
        <f>'IRSAP Tabelle'!I5</f>
        <v>66.900000000000006</v>
      </c>
      <c r="H81" s="29">
        <f>'IRSAP Tabelle'!K5</f>
        <v>73</v>
      </c>
      <c r="I81" s="29">
        <f>'IRSAP Tabelle'!M5</f>
        <v>79</v>
      </c>
      <c r="J81" s="29">
        <f>'IRSAP Tabelle'!Q5</f>
        <v>96.8</v>
      </c>
      <c r="K81" s="29">
        <f>'IRSAP Tabelle'!V5</f>
        <v>114.3</v>
      </c>
      <c r="L81" s="29">
        <f>'IRSAP Tabelle'!W5</f>
        <v>125.9</v>
      </c>
      <c r="M81" s="187"/>
      <c r="N81" s="29">
        <f>'IRSAP Tabelle'!X5</f>
        <v>148.80000000000001</v>
      </c>
      <c r="O81" s="29">
        <f>'IRSAP Tabelle'!Y5</f>
        <v>182.6</v>
      </c>
      <c r="P81" s="29">
        <f>'IRSAP Tabelle'!Z5</f>
        <v>216</v>
      </c>
      <c r="Q81" s="29">
        <f>'IRSAP Tabelle'!AA5</f>
        <v>238.1</v>
      </c>
      <c r="R81" s="29">
        <f>'IRSAP Tabelle'!AB5</f>
        <v>260</v>
      </c>
      <c r="S81" s="29">
        <f>'IRSAP Tabelle'!AC5</f>
        <v>292.8</v>
      </c>
      <c r="T81" s="29"/>
      <c r="U81" s="29"/>
    </row>
    <row r="82" spans="1:21" x14ac:dyDescent="0.2">
      <c r="A82" s="1" t="s">
        <v>643</v>
      </c>
      <c r="B82" s="29"/>
      <c r="C82" s="29">
        <f>0.1145*C76 + 9.7</f>
        <v>44.05</v>
      </c>
      <c r="D82" s="29">
        <f t="shared" ref="D82:S82" si="42">0.1145*D76 + 9.7</f>
        <v>49.775000000000006</v>
      </c>
      <c r="E82" s="29">
        <f t="shared" si="42"/>
        <v>55.5</v>
      </c>
      <c r="F82" s="29">
        <f t="shared" si="42"/>
        <v>61.224999999999994</v>
      </c>
      <c r="G82" s="29">
        <f t="shared" si="42"/>
        <v>66.95</v>
      </c>
      <c r="H82" s="29">
        <f t="shared" si="42"/>
        <v>72.674999999999997</v>
      </c>
      <c r="I82" s="29">
        <f t="shared" si="42"/>
        <v>78.400000000000006</v>
      </c>
      <c r="J82" s="29">
        <f t="shared" si="42"/>
        <v>95.575000000000003</v>
      </c>
      <c r="K82" s="29">
        <f t="shared" si="42"/>
        <v>112.75</v>
      </c>
      <c r="L82" s="29">
        <f t="shared" si="42"/>
        <v>124.2</v>
      </c>
      <c r="M82" s="29">
        <f t="shared" si="42"/>
        <v>135.65</v>
      </c>
      <c r="N82" s="29">
        <f t="shared" si="42"/>
        <v>147.1</v>
      </c>
      <c r="O82" s="29">
        <f t="shared" si="42"/>
        <v>181.45</v>
      </c>
      <c r="P82" s="29">
        <f t="shared" si="42"/>
        <v>215.79999999999998</v>
      </c>
      <c r="Q82" s="29">
        <f t="shared" si="42"/>
        <v>238.7</v>
      </c>
      <c r="R82" s="29">
        <f t="shared" si="42"/>
        <v>261.60000000000002</v>
      </c>
      <c r="S82" s="29">
        <f t="shared" si="42"/>
        <v>295.95</v>
      </c>
      <c r="T82" s="29"/>
      <c r="U82" s="29"/>
    </row>
    <row r="83" spans="1:21" x14ac:dyDescent="0.2">
      <c r="A83" s="269" t="s">
        <v>635</v>
      </c>
      <c r="B83" s="270"/>
      <c r="C83" s="277">
        <f>'Cordivari Tabelle'!D5</f>
        <v>46.8</v>
      </c>
      <c r="D83" s="277"/>
      <c r="E83" s="277">
        <f>'Cordivari Tabelle'!E5</f>
        <v>59.8</v>
      </c>
      <c r="F83" s="277"/>
      <c r="G83" s="277">
        <f>'Cordivari Tabelle'!F5</f>
        <v>72.400000000000006</v>
      </c>
      <c r="H83" s="277">
        <f>'Cordivari Tabelle'!G5</f>
        <v>79.3</v>
      </c>
      <c r="I83" s="277">
        <f>'Cordivari Tabelle'!I5</f>
        <v>84.7</v>
      </c>
      <c r="J83" s="277">
        <f>'Cordivari Tabelle'!M5</f>
        <v>102.9</v>
      </c>
      <c r="K83" s="277"/>
      <c r="L83" s="277">
        <f>'Cordivari Tabelle'!S5</f>
        <v>132.69999999999999</v>
      </c>
      <c r="M83" s="277"/>
      <c r="N83" s="277">
        <f>'Cordivari Tabelle'!T5</f>
        <v>156.19999999999999</v>
      </c>
      <c r="O83" s="277">
        <f>'Cordivari Tabelle'!U5</f>
        <v>191.4</v>
      </c>
      <c r="P83" s="277">
        <f>'Cordivari Tabelle'!W5</f>
        <v>226.6</v>
      </c>
      <c r="Q83" s="277">
        <f>'Cordivari Tabelle'!Y5</f>
        <v>250.3</v>
      </c>
      <c r="R83" s="277">
        <f>'Cordivari Tabelle'!AA5</f>
        <v>274.10000000000002</v>
      </c>
      <c r="S83" s="277">
        <f>'Cordivari Tabelle'!AB5</f>
        <v>310.2</v>
      </c>
      <c r="T83" s="270"/>
      <c r="U83" s="270"/>
    </row>
    <row r="84" spans="1:21" x14ac:dyDescent="0.2">
      <c r="A84" s="268" t="s">
        <v>644</v>
      </c>
      <c r="B84" s="271"/>
      <c r="C84" s="271">
        <f>0.1191*C76 + 12.684</f>
        <v>48.413999999999994</v>
      </c>
      <c r="D84" s="271">
        <f t="shared" ref="D84:S84" si="43">0.1191*D76 + 12.684</f>
        <v>54.369</v>
      </c>
      <c r="E84" s="271">
        <f t="shared" si="43"/>
        <v>60.323999999999998</v>
      </c>
      <c r="F84" s="271">
        <f t="shared" si="43"/>
        <v>66.278999999999996</v>
      </c>
      <c r="G84" s="271">
        <f t="shared" si="43"/>
        <v>72.233999999999995</v>
      </c>
      <c r="H84" s="271">
        <f t="shared" si="43"/>
        <v>78.188999999999993</v>
      </c>
      <c r="I84" s="271">
        <f t="shared" si="43"/>
        <v>84.143999999999991</v>
      </c>
      <c r="J84" s="271">
        <f t="shared" si="43"/>
        <v>102.009</v>
      </c>
      <c r="K84" s="271">
        <f t="shared" si="43"/>
        <v>119.874</v>
      </c>
      <c r="L84" s="271">
        <f t="shared" si="43"/>
        <v>131.78399999999999</v>
      </c>
      <c r="M84" s="271">
        <f t="shared" si="43"/>
        <v>143.69399999999999</v>
      </c>
      <c r="N84" s="271">
        <f t="shared" si="43"/>
        <v>155.60399999999998</v>
      </c>
      <c r="O84" s="271">
        <f t="shared" si="43"/>
        <v>191.334</v>
      </c>
      <c r="P84" s="271">
        <f t="shared" si="43"/>
        <v>227.06399999999999</v>
      </c>
      <c r="Q84" s="271">
        <f t="shared" si="43"/>
        <v>250.88399999999999</v>
      </c>
      <c r="R84" s="271">
        <f t="shared" si="43"/>
        <v>274.70400000000001</v>
      </c>
      <c r="S84" s="271">
        <f t="shared" si="43"/>
        <v>310.43400000000003</v>
      </c>
      <c r="T84" s="271"/>
      <c r="U84" s="271"/>
    </row>
    <row r="85" spans="1:21" x14ac:dyDescent="0.2">
      <c r="A85" s="1" t="s">
        <v>634</v>
      </c>
      <c r="B85" s="29"/>
      <c r="C85" s="29">
        <f>'FIR Iron'!D5</f>
        <v>45.56</v>
      </c>
      <c r="D85" s="29">
        <f>'FIR Iron'!E5</f>
        <v>52.04</v>
      </c>
      <c r="E85" s="29">
        <f>'FIR Iron'!G5</f>
        <v>58.4</v>
      </c>
      <c r="F85" s="29">
        <f>'FIR Iron'!I5</f>
        <v>64.680000000000007</v>
      </c>
      <c r="G85" s="29">
        <f>'FIR Iron'!J5</f>
        <v>70.88</v>
      </c>
      <c r="H85" s="29">
        <f>'FIR Iron'!K5</f>
        <v>77.03</v>
      </c>
      <c r="I85" s="29">
        <f>'FIR Iron'!M5</f>
        <v>83.12</v>
      </c>
      <c r="J85" s="29">
        <f>'FIR Iron'!O5</f>
        <v>101.15</v>
      </c>
      <c r="K85" s="29">
        <f>'FIR Iron'!Q5</f>
        <v>118.92</v>
      </c>
      <c r="L85" s="29">
        <f>'FIR Iron'!S5</f>
        <v>130.66999999999999</v>
      </c>
      <c r="M85" s="29">
        <f>'FIR Iron'!U5</f>
        <v>142.38</v>
      </c>
      <c r="N85" s="29">
        <f>'FIR Iron'!V5</f>
        <v>154.04</v>
      </c>
      <c r="O85" s="29">
        <f>'FIR Iron'!W5</f>
        <v>188.95</v>
      </c>
      <c r="P85" s="29">
        <f>'FIR Iron'!X5</f>
        <v>223.92</v>
      </c>
      <c r="Q85" s="29">
        <f>'FIR Iron'!Y5</f>
        <v>247.36</v>
      </c>
      <c r="R85" s="29">
        <f>'FIR Iron'!Z5</f>
        <v>270.93</v>
      </c>
      <c r="S85" s="29">
        <f>'FIR Iron'!AA5</f>
        <v>306.3</v>
      </c>
      <c r="T85" s="29">
        <f>'FIR Iron'!AB5</f>
        <v>342.82</v>
      </c>
      <c r="U85" s="29">
        <f>'FIR Iron'!AC5</f>
        <v>367.25</v>
      </c>
    </row>
    <row r="86" spans="1:21" x14ac:dyDescent="0.2">
      <c r="A86" s="1" t="s">
        <v>645</v>
      </c>
      <c r="B86" s="29"/>
      <c r="C86" s="29">
        <f xml:space="preserve"> 0.1186*C76 + 11.012</f>
        <v>46.591999999999999</v>
      </c>
      <c r="D86" s="29">
        <f t="shared" ref="D86:U86" si="44" xml:space="preserve"> 0.1186*D76 + 11.012</f>
        <v>52.521999999999998</v>
      </c>
      <c r="E86" s="29">
        <f t="shared" si="44"/>
        <v>58.451999999999998</v>
      </c>
      <c r="F86" s="29">
        <f t="shared" si="44"/>
        <v>64.382000000000005</v>
      </c>
      <c r="G86" s="29">
        <f t="shared" si="44"/>
        <v>70.311999999999998</v>
      </c>
      <c r="H86" s="29">
        <f t="shared" si="44"/>
        <v>76.242000000000004</v>
      </c>
      <c r="I86" s="29">
        <f t="shared" si="44"/>
        <v>82.171999999999997</v>
      </c>
      <c r="J86" s="29">
        <f t="shared" si="44"/>
        <v>99.962000000000003</v>
      </c>
      <c r="K86" s="29">
        <f t="shared" si="44"/>
        <v>117.752</v>
      </c>
      <c r="L86" s="29">
        <f t="shared" si="44"/>
        <v>129.61199999999999</v>
      </c>
      <c r="M86" s="29">
        <f t="shared" si="44"/>
        <v>141.47200000000001</v>
      </c>
      <c r="N86" s="29">
        <f t="shared" si="44"/>
        <v>153.33199999999999</v>
      </c>
      <c r="O86" s="29">
        <f t="shared" si="44"/>
        <v>188.91200000000001</v>
      </c>
      <c r="P86" s="29">
        <f t="shared" si="44"/>
        <v>224.49199999999999</v>
      </c>
      <c r="Q86" s="29">
        <f t="shared" si="44"/>
        <v>248.21199999999999</v>
      </c>
      <c r="R86" s="29">
        <f t="shared" si="44"/>
        <v>271.93200000000002</v>
      </c>
      <c r="S86" s="29">
        <f t="shared" si="44"/>
        <v>307.512</v>
      </c>
      <c r="T86" s="29">
        <f t="shared" si="44"/>
        <v>343.09199999999998</v>
      </c>
      <c r="U86" s="29">
        <f t="shared" si="44"/>
        <v>366.81200000000001</v>
      </c>
    </row>
    <row r="87" spans="1:21" x14ac:dyDescent="0.2">
      <c r="A87" s="269" t="s">
        <v>646</v>
      </c>
      <c r="B87" s="275">
        <f>AVERAGE(B77,B79,B81,B83,B85)</f>
        <v>36.25</v>
      </c>
      <c r="C87" s="275">
        <f t="shared" ref="C87:U87" si="45">AVERAGE(C77,C79,C81,C83,C85)</f>
        <v>43.872</v>
      </c>
      <c r="D87" s="275">
        <f t="shared" si="45"/>
        <v>49.484999999999999</v>
      </c>
      <c r="E87" s="275">
        <f t="shared" si="45"/>
        <v>56.739999999999995</v>
      </c>
      <c r="F87" s="275">
        <f t="shared" si="45"/>
        <v>62.195</v>
      </c>
      <c r="G87" s="275">
        <f t="shared" si="45"/>
        <v>69.355999999999995</v>
      </c>
      <c r="H87" s="275">
        <f t="shared" si="45"/>
        <v>75.605999999999995</v>
      </c>
      <c r="I87" s="275">
        <f t="shared" si="45"/>
        <v>81.524000000000001</v>
      </c>
      <c r="J87" s="275">
        <f t="shared" si="45"/>
        <v>99.65</v>
      </c>
      <c r="K87" s="275">
        <f t="shared" si="45"/>
        <v>116.05500000000001</v>
      </c>
      <c r="L87" s="275">
        <f t="shared" si="45"/>
        <v>128.65399999999997</v>
      </c>
      <c r="M87" s="275">
        <f t="shared" si="45"/>
        <v>139.46</v>
      </c>
      <c r="N87" s="275">
        <f t="shared" si="45"/>
        <v>151.608</v>
      </c>
      <c r="O87" s="275">
        <f t="shared" si="45"/>
        <v>185.79000000000002</v>
      </c>
      <c r="P87" s="275">
        <f t="shared" si="45"/>
        <v>219.70400000000001</v>
      </c>
      <c r="Q87" s="275">
        <f t="shared" si="45"/>
        <v>242.15200000000004</v>
      </c>
      <c r="R87" s="275">
        <f t="shared" si="45"/>
        <v>264.60599999999999</v>
      </c>
      <c r="S87" s="275">
        <f t="shared" si="45"/>
        <v>298.26</v>
      </c>
      <c r="T87" s="275">
        <f t="shared" si="45"/>
        <v>329.60666666666663</v>
      </c>
      <c r="U87" s="275">
        <f t="shared" si="45"/>
        <v>351.75</v>
      </c>
    </row>
    <row r="88" spans="1:21" s="1" customFormat="1" x14ac:dyDescent="0.2">
      <c r="A88" s="268" t="s">
        <v>647</v>
      </c>
      <c r="B88" s="276">
        <f>0.1145*B76 + 11.758</f>
        <v>41.527999999999999</v>
      </c>
      <c r="C88" s="276">
        <f t="shared" ref="C88:U88" si="46">0.1145*C76 + 11.758</f>
        <v>46.108000000000004</v>
      </c>
      <c r="D88" s="276">
        <f t="shared" si="46"/>
        <v>51.832999999999998</v>
      </c>
      <c r="E88" s="276">
        <f t="shared" si="46"/>
        <v>57.558000000000007</v>
      </c>
      <c r="F88" s="276">
        <f t="shared" si="46"/>
        <v>63.283000000000001</v>
      </c>
      <c r="G88" s="276">
        <f t="shared" si="46"/>
        <v>69.007999999999996</v>
      </c>
      <c r="H88" s="276">
        <f t="shared" si="46"/>
        <v>74.733000000000004</v>
      </c>
      <c r="I88" s="276">
        <f t="shared" si="46"/>
        <v>80.457999999999998</v>
      </c>
      <c r="J88" s="276">
        <f t="shared" si="46"/>
        <v>97.632999999999996</v>
      </c>
      <c r="K88" s="276">
        <f t="shared" si="46"/>
        <v>114.80799999999999</v>
      </c>
      <c r="L88" s="276">
        <f t="shared" si="46"/>
        <v>126.258</v>
      </c>
      <c r="M88" s="276">
        <f t="shared" si="46"/>
        <v>137.708</v>
      </c>
      <c r="N88" s="276">
        <f t="shared" si="46"/>
        <v>149.15800000000002</v>
      </c>
      <c r="O88" s="276">
        <f t="shared" si="46"/>
        <v>183.50800000000001</v>
      </c>
      <c r="P88" s="276">
        <f t="shared" si="46"/>
        <v>217.858</v>
      </c>
      <c r="Q88" s="276">
        <f t="shared" si="46"/>
        <v>240.75800000000001</v>
      </c>
      <c r="R88" s="276">
        <f t="shared" si="46"/>
        <v>263.65800000000002</v>
      </c>
      <c r="S88" s="276">
        <f t="shared" si="46"/>
        <v>298.00799999999998</v>
      </c>
      <c r="T88" s="276">
        <f t="shared" si="46"/>
        <v>332.358</v>
      </c>
      <c r="U88" s="276">
        <f t="shared" si="46"/>
        <v>355.25799999999998</v>
      </c>
    </row>
    <row r="89" spans="1:21" x14ac:dyDescent="0.2">
      <c r="B89" s="267">
        <f>(B88-B87)/B87</f>
        <v>0.14559999999999995</v>
      </c>
      <c r="C89" s="267">
        <f t="shared" ref="C89" si="47">(C88-C87)/C87</f>
        <v>5.0966447848286016E-2</v>
      </c>
      <c r="D89" s="267">
        <f t="shared" ref="D89" si="48">(D88-D87)/D87</f>
        <v>4.7448721834899447E-2</v>
      </c>
      <c r="E89" s="267">
        <f t="shared" ref="E89" si="49">(E88-E87)/E87</f>
        <v>1.4416637292915264E-2</v>
      </c>
      <c r="F89" s="267">
        <f t="shared" ref="F89" si="50">(F88-F87)/F87</f>
        <v>1.7493367634054201E-2</v>
      </c>
      <c r="G89" s="267">
        <f t="shared" ref="G89" si="51">(G88-G87)/G87</f>
        <v>-5.0175904031374216E-3</v>
      </c>
      <c r="H89" s="267">
        <f t="shared" ref="H89" si="52">(H88-H87)/H87</f>
        <v>-1.1546702642647283E-2</v>
      </c>
      <c r="I89" s="267">
        <f t="shared" ref="I89" si="53">(I88-I87)/I87</f>
        <v>-1.3075904028261648E-2</v>
      </c>
      <c r="J89" s="267">
        <f t="shared" ref="J89" si="54">(J88-J87)/J87</f>
        <v>-2.0240842950326243E-2</v>
      </c>
      <c r="K89" s="267">
        <f t="shared" ref="K89" si="55">(K88-K87)/K87</f>
        <v>-1.0744905432769066E-2</v>
      </c>
      <c r="L89" s="267">
        <f t="shared" ref="L89" si="56">(L88-L87)/L87</f>
        <v>-1.8623595068944402E-2</v>
      </c>
      <c r="M89" s="267">
        <f t="shared" ref="M89" si="57">(M88-M87)/M87</f>
        <v>-1.2562742004876018E-2</v>
      </c>
      <c r="N89" s="267">
        <f t="shared" ref="N89" si="58">(N88-N87)/N87</f>
        <v>-1.616009709250164E-2</v>
      </c>
      <c r="O89" s="267">
        <f t="shared" ref="O89" si="59">(O88-O87)/O87</f>
        <v>-1.2282684751601327E-2</v>
      </c>
      <c r="P89" s="267">
        <f t="shared" ref="P89" si="60">(P88-P87)/P87</f>
        <v>-8.4022138877762973E-3</v>
      </c>
      <c r="Q89" s="267">
        <f t="shared" ref="Q89" si="61">(Q88-Q87)/Q87</f>
        <v>-5.7567147907101063E-3</v>
      </c>
      <c r="R89" s="267">
        <f t="shared" ref="R89" si="62">(R88-R87)/R87</f>
        <v>-3.5826851998820098E-3</v>
      </c>
      <c r="S89" s="267">
        <f t="shared" ref="S89" si="63">(S88-S87)/S87</f>
        <v>-8.4490042245024329E-4</v>
      </c>
      <c r="T89" s="267">
        <f t="shared" ref="T89" si="64">(T88-T87)/T87</f>
        <v>8.3473230719444732E-3</v>
      </c>
      <c r="U89" s="267">
        <f t="shared" ref="U89" si="65">(U88-U87)/U87</f>
        <v>9.972992181947353E-3</v>
      </c>
    </row>
    <row r="91" spans="1:21" x14ac:dyDescent="0.2">
      <c r="A91" s="1" t="s">
        <v>423</v>
      </c>
      <c r="B91" s="29">
        <f t="shared" ref="B91:U91" si="66">MAX(B77,B79,B81,B83,B85)</f>
        <v>36.5</v>
      </c>
      <c r="C91" s="29">
        <f t="shared" si="66"/>
        <v>46.8</v>
      </c>
      <c r="D91" s="29">
        <f t="shared" si="66"/>
        <v>52.04</v>
      </c>
      <c r="E91" s="29">
        <f t="shared" si="66"/>
        <v>59.8</v>
      </c>
      <c r="F91" s="29">
        <f t="shared" si="66"/>
        <v>64.680000000000007</v>
      </c>
      <c r="G91" s="29">
        <f t="shared" si="66"/>
        <v>72.400000000000006</v>
      </c>
      <c r="H91" s="29">
        <f t="shared" si="66"/>
        <v>79.3</v>
      </c>
      <c r="I91" s="29">
        <f t="shared" si="66"/>
        <v>84.7</v>
      </c>
      <c r="J91" s="29">
        <f t="shared" si="66"/>
        <v>102.9</v>
      </c>
      <c r="K91" s="29">
        <f t="shared" si="66"/>
        <v>118.92</v>
      </c>
      <c r="L91" s="29">
        <f t="shared" si="66"/>
        <v>132.69999999999999</v>
      </c>
      <c r="M91" s="29">
        <f t="shared" si="66"/>
        <v>142.38</v>
      </c>
      <c r="N91" s="29">
        <f t="shared" si="66"/>
        <v>156.19999999999999</v>
      </c>
      <c r="O91" s="29">
        <f t="shared" si="66"/>
        <v>191.4</v>
      </c>
      <c r="P91" s="29">
        <f t="shared" si="66"/>
        <v>226.6</v>
      </c>
      <c r="Q91" s="29">
        <f t="shared" si="66"/>
        <v>250.3</v>
      </c>
      <c r="R91" s="29">
        <f t="shared" si="66"/>
        <v>274.10000000000002</v>
      </c>
      <c r="S91" s="29">
        <f t="shared" si="66"/>
        <v>310.2</v>
      </c>
      <c r="T91" s="29">
        <f t="shared" si="66"/>
        <v>342.82</v>
      </c>
      <c r="U91" s="29">
        <f t="shared" si="66"/>
        <v>367.25</v>
      </c>
    </row>
    <row r="92" spans="1:21" x14ac:dyDescent="0.2">
      <c r="A92" s="1" t="s">
        <v>424</v>
      </c>
      <c r="B92" s="29">
        <f t="shared" ref="B92:U92" si="67">MIN(B77,B79,B81,B83,B85)</f>
        <v>36</v>
      </c>
      <c r="C92" s="29">
        <f t="shared" si="67"/>
        <v>41.9</v>
      </c>
      <c r="D92" s="29">
        <f t="shared" si="67"/>
        <v>48.4</v>
      </c>
      <c r="E92" s="29">
        <f t="shared" si="67"/>
        <v>54.6</v>
      </c>
      <c r="F92" s="29">
        <f t="shared" si="67"/>
        <v>60.8</v>
      </c>
      <c r="G92" s="29">
        <f t="shared" si="67"/>
        <v>66.900000000000006</v>
      </c>
      <c r="H92" s="29">
        <f t="shared" si="67"/>
        <v>73</v>
      </c>
      <c r="I92" s="29">
        <f t="shared" si="67"/>
        <v>79</v>
      </c>
      <c r="J92" s="29">
        <f t="shared" si="67"/>
        <v>96.8</v>
      </c>
      <c r="K92" s="29">
        <f t="shared" si="67"/>
        <v>114</v>
      </c>
      <c r="L92" s="29">
        <f t="shared" si="67"/>
        <v>125</v>
      </c>
      <c r="M92" s="29">
        <f t="shared" si="67"/>
        <v>135</v>
      </c>
      <c r="N92" s="29">
        <f t="shared" si="67"/>
        <v>147</v>
      </c>
      <c r="O92" s="29">
        <f t="shared" si="67"/>
        <v>180</v>
      </c>
      <c r="P92" s="29">
        <f t="shared" si="67"/>
        <v>213</v>
      </c>
      <c r="Q92" s="29">
        <f t="shared" si="67"/>
        <v>234</v>
      </c>
      <c r="R92" s="29">
        <f t="shared" si="67"/>
        <v>256</v>
      </c>
      <c r="S92" s="29">
        <f t="shared" si="67"/>
        <v>289</v>
      </c>
      <c r="T92" s="29">
        <f t="shared" si="67"/>
        <v>323</v>
      </c>
      <c r="U92" s="29">
        <f t="shared" si="67"/>
        <v>343</v>
      </c>
    </row>
    <row r="93" spans="1:21" x14ac:dyDescent="0.2">
      <c r="B93" s="173">
        <f t="shared" ref="B93:U93" si="68">(B91-B92)/B91</f>
        <v>1.3698630136986301E-2</v>
      </c>
      <c r="C93" s="173">
        <f t="shared" si="68"/>
        <v>0.10470085470085468</v>
      </c>
      <c r="D93" s="173">
        <f t="shared" si="68"/>
        <v>6.9946195234435057E-2</v>
      </c>
      <c r="E93" s="173">
        <f t="shared" si="68"/>
        <v>8.6956521739130363E-2</v>
      </c>
      <c r="F93" s="173">
        <f t="shared" si="68"/>
        <v>5.9987631416202988E-2</v>
      </c>
      <c r="G93" s="173">
        <f t="shared" si="68"/>
        <v>7.5966850828729282E-2</v>
      </c>
      <c r="H93" s="173">
        <f t="shared" si="68"/>
        <v>7.9445145018915475E-2</v>
      </c>
      <c r="I93" s="173">
        <f t="shared" si="68"/>
        <v>6.7296340023612788E-2</v>
      </c>
      <c r="J93" s="173">
        <f t="shared" si="68"/>
        <v>5.9280855199222625E-2</v>
      </c>
      <c r="K93" s="173">
        <f t="shared" si="68"/>
        <v>4.1372351160444007E-2</v>
      </c>
      <c r="L93" s="173">
        <f t="shared" si="68"/>
        <v>5.8025621703089593E-2</v>
      </c>
      <c r="M93" s="173">
        <f t="shared" si="68"/>
        <v>5.1833122629582777E-2</v>
      </c>
      <c r="N93" s="173">
        <f t="shared" si="68"/>
        <v>5.8898847631241931E-2</v>
      </c>
      <c r="O93" s="173">
        <f t="shared" si="68"/>
        <v>5.9561128526645794E-2</v>
      </c>
      <c r="P93" s="173">
        <f t="shared" si="68"/>
        <v>6.0017652250661933E-2</v>
      </c>
      <c r="Q93" s="173">
        <f t="shared" si="68"/>
        <v>6.5121853775469474E-2</v>
      </c>
      <c r="R93" s="173">
        <f t="shared" si="68"/>
        <v>6.6034294053265302E-2</v>
      </c>
      <c r="S93" s="173">
        <f t="shared" si="68"/>
        <v>6.8343004513217245E-2</v>
      </c>
      <c r="T93" s="173">
        <f t="shared" si="68"/>
        <v>5.7814596581296292E-2</v>
      </c>
      <c r="U93" s="173">
        <f t="shared" si="68"/>
        <v>6.6031313818924436E-2</v>
      </c>
    </row>
    <row r="95" spans="1:21" x14ac:dyDescent="0.2">
      <c r="A95" s="272" t="s">
        <v>417</v>
      </c>
      <c r="B95" s="273">
        <f>'Zehnder Charl. Tabelle'!C$3</f>
        <v>260</v>
      </c>
      <c r="C95" s="273">
        <f>'Zehnder Charl. Tabelle'!D$3</f>
        <v>300</v>
      </c>
      <c r="D95" s="273">
        <f>'Zehnder Charl. Tabelle'!E$3</f>
        <v>350</v>
      </c>
      <c r="E95" s="273">
        <f>'Zehnder Charl. Tabelle'!F$3</f>
        <v>400</v>
      </c>
      <c r="F95" s="273">
        <f>'Zehnder Charl. Tabelle'!G$3</f>
        <v>450</v>
      </c>
      <c r="G95" s="273">
        <f>'Zehnder Charl. Tabelle'!H$3</f>
        <v>500</v>
      </c>
      <c r="H95" s="273">
        <f>'Zehnder Charl. Tabelle'!I$3</f>
        <v>550</v>
      </c>
      <c r="I95" s="273">
        <f>'Zehnder Charl. Tabelle'!J$3</f>
        <v>600</v>
      </c>
      <c r="J95" s="273">
        <f>'Zehnder Charl. Tabelle'!K$3</f>
        <v>750</v>
      </c>
      <c r="K95" s="273">
        <f>'Zehnder Charl. Tabelle'!L$3</f>
        <v>900</v>
      </c>
      <c r="L95" s="273">
        <f>'Zehnder Charl. Tabelle'!M$3</f>
        <v>1000</v>
      </c>
      <c r="M95" s="273">
        <f>'Zehnder Charl. Tabelle'!N$3</f>
        <v>1100</v>
      </c>
      <c r="N95" s="273">
        <f>'Zehnder Charl. Tabelle'!O$3</f>
        <v>1200</v>
      </c>
      <c r="O95" s="273">
        <f>'Zehnder Charl. Tabelle'!P$3</f>
        <v>1500</v>
      </c>
      <c r="P95" s="273">
        <f>'Zehnder Charl. Tabelle'!Q$3</f>
        <v>1800</v>
      </c>
      <c r="Q95" s="273">
        <f>'Zehnder Charl. Tabelle'!R$3</f>
        <v>2000</v>
      </c>
      <c r="R95" s="273">
        <f>'Zehnder Charl. Tabelle'!S$3</f>
        <v>2200</v>
      </c>
      <c r="S95" s="273">
        <f>'Zehnder Charl. Tabelle'!T$3</f>
        <v>2500</v>
      </c>
      <c r="T95" s="273">
        <f>'Zehnder Charl. Tabelle'!U$3</f>
        <v>2800</v>
      </c>
      <c r="U95" s="273">
        <f>'Zehnder Charl. Tabelle'!V$3</f>
        <v>3000</v>
      </c>
    </row>
    <row r="96" spans="1:21" x14ac:dyDescent="0.2">
      <c r="A96" s="1" t="s">
        <v>399</v>
      </c>
      <c r="B96" s="282">
        <f>'Arbonia Tabelle'!E6</f>
        <v>45</v>
      </c>
      <c r="C96" s="29">
        <f>'Arbonia Tabelle'!F6</f>
        <v>53</v>
      </c>
      <c r="D96" s="29">
        <f>'Arbonia Tabelle'!G6</f>
        <v>61</v>
      </c>
      <c r="E96" s="29">
        <f>'Arbonia Tabelle'!H6</f>
        <v>69</v>
      </c>
      <c r="F96" s="29">
        <f>'Arbonia Tabelle'!I6</f>
        <v>77</v>
      </c>
      <c r="G96" s="29">
        <f>'Arbonia Tabelle'!J6</f>
        <v>85</v>
      </c>
      <c r="H96" s="29">
        <f>'Arbonia Tabelle'!K6</f>
        <v>93</v>
      </c>
      <c r="I96" s="29">
        <f>'Arbonia Tabelle'!L6</f>
        <v>100</v>
      </c>
      <c r="J96" s="29">
        <f>'Arbonia Tabelle'!M6</f>
        <v>123</v>
      </c>
      <c r="K96" s="29">
        <f>'Arbonia Tabelle'!N6</f>
        <v>144</v>
      </c>
      <c r="L96" s="29">
        <f>'Arbonia Tabelle'!O6</f>
        <v>158</v>
      </c>
      <c r="M96" s="29">
        <f>'Arbonia Tabelle'!P6</f>
        <v>172</v>
      </c>
      <c r="N96" s="29">
        <f>'Arbonia Tabelle'!Q6</f>
        <v>186</v>
      </c>
      <c r="O96" s="29">
        <f>'Arbonia Tabelle'!R6</f>
        <v>225</v>
      </c>
      <c r="P96" s="29">
        <f>'Arbonia Tabelle'!S6</f>
        <v>263</v>
      </c>
      <c r="Q96" s="29">
        <f>'Arbonia Tabelle'!T6</f>
        <v>287</v>
      </c>
      <c r="R96" s="282">
        <f>'Arbonia Tabelle'!U6</f>
        <v>310</v>
      </c>
      <c r="S96" s="282">
        <f>'Arbonia Tabelle'!V6</f>
        <v>343</v>
      </c>
      <c r="T96" s="282">
        <f>'Arbonia Tabelle'!W6</f>
        <v>374</v>
      </c>
      <c r="U96" s="282">
        <f>'Arbonia Tabelle'!X6</f>
        <v>394</v>
      </c>
    </row>
    <row r="97" spans="1:21" x14ac:dyDescent="0.2">
      <c r="A97" s="268" t="s">
        <v>421</v>
      </c>
      <c r="B97" s="271">
        <f t="shared" ref="B97:U97" si="69" xml:space="preserve">  0.1288*B95 + 22.511</f>
        <v>55.998999999999995</v>
      </c>
      <c r="C97" s="271">
        <f t="shared" si="69"/>
        <v>61.150999999999996</v>
      </c>
      <c r="D97" s="271">
        <f t="shared" si="69"/>
        <v>67.590999999999994</v>
      </c>
      <c r="E97" s="271">
        <f t="shared" si="69"/>
        <v>74.030999999999992</v>
      </c>
      <c r="F97" s="271">
        <f t="shared" si="69"/>
        <v>80.471000000000004</v>
      </c>
      <c r="G97" s="271">
        <f t="shared" si="69"/>
        <v>86.911000000000001</v>
      </c>
      <c r="H97" s="271">
        <f t="shared" si="69"/>
        <v>93.350999999999999</v>
      </c>
      <c r="I97" s="271">
        <f t="shared" si="69"/>
        <v>99.790999999999997</v>
      </c>
      <c r="J97" s="271">
        <f t="shared" si="69"/>
        <v>119.11099999999999</v>
      </c>
      <c r="K97" s="271">
        <f t="shared" si="69"/>
        <v>138.43100000000001</v>
      </c>
      <c r="L97" s="271">
        <f t="shared" si="69"/>
        <v>151.31100000000001</v>
      </c>
      <c r="M97" s="271">
        <f t="shared" si="69"/>
        <v>164.191</v>
      </c>
      <c r="N97" s="271">
        <f t="shared" si="69"/>
        <v>177.071</v>
      </c>
      <c r="O97" s="271">
        <f t="shared" si="69"/>
        <v>215.71099999999998</v>
      </c>
      <c r="P97" s="271">
        <f t="shared" si="69"/>
        <v>254.351</v>
      </c>
      <c r="Q97" s="271">
        <f t="shared" si="69"/>
        <v>280.11100000000005</v>
      </c>
      <c r="R97" s="271">
        <f t="shared" si="69"/>
        <v>305.87100000000004</v>
      </c>
      <c r="S97" s="271">
        <f t="shared" si="69"/>
        <v>344.51100000000002</v>
      </c>
      <c r="T97" s="271">
        <f t="shared" si="69"/>
        <v>383.15100000000001</v>
      </c>
      <c r="U97" s="271">
        <f t="shared" si="69"/>
        <v>408.911</v>
      </c>
    </row>
    <row r="98" spans="1:21" x14ac:dyDescent="0.2">
      <c r="A98" s="269" t="s">
        <v>343</v>
      </c>
      <c r="B98" s="275">
        <f>'Zehnder Charl. Tabelle'!C7</f>
        <v>45.1</v>
      </c>
      <c r="C98" s="283">
        <f>'Zehnder Charl. Tabelle'!D7</f>
        <v>51.7</v>
      </c>
      <c r="D98" s="283">
        <f>'Zehnder Charl. Tabelle'!E7</f>
        <v>59.9</v>
      </c>
      <c r="E98" s="283">
        <f>'Zehnder Charl. Tabelle'!F7</f>
        <v>67.900000000000006</v>
      </c>
      <c r="F98" s="283">
        <f>'Zehnder Charl. Tabelle'!G7</f>
        <v>75.8</v>
      </c>
      <c r="G98" s="283">
        <f>'Zehnder Charl. Tabelle'!H7</f>
        <v>83.5</v>
      </c>
      <c r="H98" s="283">
        <f>'Zehnder Charl. Tabelle'!I7</f>
        <v>91.1</v>
      </c>
      <c r="I98" s="283">
        <f>'Zehnder Charl. Tabelle'!J7</f>
        <v>98.6</v>
      </c>
      <c r="J98" s="283">
        <f>'Zehnder Charl. Tabelle'!K7</f>
        <v>120</v>
      </c>
      <c r="K98" s="283">
        <f>'Zehnder Charl. Tabelle'!L7</f>
        <v>141</v>
      </c>
      <c r="L98" s="283">
        <f>'Zehnder Charl. Tabelle'!M7</f>
        <v>154</v>
      </c>
      <c r="M98" s="283">
        <f>'Zehnder Charl. Tabelle'!N7</f>
        <v>167</v>
      </c>
      <c r="N98" s="283">
        <f>'Zehnder Charl. Tabelle'!O7</f>
        <v>179</v>
      </c>
      <c r="O98" s="283">
        <f>'Zehnder Charl. Tabelle'!P7</f>
        <v>219</v>
      </c>
      <c r="P98" s="283">
        <f>'Zehnder Charl. Tabelle'!Q7</f>
        <v>259</v>
      </c>
      <c r="Q98" s="283">
        <f>'Zehnder Charl. Tabelle'!R7</f>
        <v>285</v>
      </c>
      <c r="R98" s="275">
        <f>'Zehnder Charl. Tabelle'!S7</f>
        <v>312</v>
      </c>
      <c r="S98" s="275">
        <f>'Zehnder Charl. Tabelle'!T7</f>
        <v>352</v>
      </c>
      <c r="T98" s="275">
        <f>'Zehnder Charl. Tabelle'!U7</f>
        <v>392</v>
      </c>
      <c r="U98" s="275">
        <f>'Zehnder Charl. Tabelle'!V7</f>
        <v>420</v>
      </c>
    </row>
    <row r="99" spans="1:21" x14ac:dyDescent="0.2">
      <c r="A99" s="268" t="s">
        <v>422</v>
      </c>
      <c r="B99" s="271">
        <f t="shared" ref="B99:U99" si="70" xml:space="preserve"> 0.1351*B95 + 15.436</f>
        <v>50.561999999999998</v>
      </c>
      <c r="C99" s="271">
        <f t="shared" si="70"/>
        <v>55.966000000000001</v>
      </c>
      <c r="D99" s="271">
        <f t="shared" si="70"/>
        <v>62.720999999999997</v>
      </c>
      <c r="E99" s="271">
        <f t="shared" si="70"/>
        <v>69.475999999999999</v>
      </c>
      <c r="F99" s="271">
        <f t="shared" si="70"/>
        <v>76.230999999999995</v>
      </c>
      <c r="G99" s="271">
        <f t="shared" si="70"/>
        <v>82.98599999999999</v>
      </c>
      <c r="H99" s="271">
        <f t="shared" si="70"/>
        <v>89.740999999999985</v>
      </c>
      <c r="I99" s="271">
        <f t="shared" si="70"/>
        <v>96.496000000000009</v>
      </c>
      <c r="J99" s="271">
        <f t="shared" si="70"/>
        <v>116.761</v>
      </c>
      <c r="K99" s="271">
        <f t="shared" si="70"/>
        <v>137.02600000000001</v>
      </c>
      <c r="L99" s="271">
        <f t="shared" si="70"/>
        <v>150.536</v>
      </c>
      <c r="M99" s="271">
        <f t="shared" si="70"/>
        <v>164.04599999999999</v>
      </c>
      <c r="N99" s="271">
        <f t="shared" si="70"/>
        <v>177.55600000000001</v>
      </c>
      <c r="O99" s="271">
        <f t="shared" si="70"/>
        <v>218.08600000000001</v>
      </c>
      <c r="P99" s="271">
        <f t="shared" si="70"/>
        <v>258.61599999999999</v>
      </c>
      <c r="Q99" s="271">
        <f t="shared" si="70"/>
        <v>285.63599999999997</v>
      </c>
      <c r="R99" s="271">
        <f t="shared" si="70"/>
        <v>312.65599999999995</v>
      </c>
      <c r="S99" s="271">
        <f t="shared" si="70"/>
        <v>353.18599999999998</v>
      </c>
      <c r="T99" s="271">
        <f t="shared" si="70"/>
        <v>393.71599999999995</v>
      </c>
      <c r="U99" s="271">
        <f t="shared" si="70"/>
        <v>420.73599999999999</v>
      </c>
    </row>
    <row r="100" spans="1:21" x14ac:dyDescent="0.2">
      <c r="A100" s="1" t="s">
        <v>441</v>
      </c>
      <c r="B100" s="29"/>
      <c r="C100" s="29">
        <f>'IRSAP Tabelle'!D6</f>
        <v>51.4</v>
      </c>
      <c r="D100" s="29">
        <f>'IRSAP Tabelle'!E6</f>
        <v>59</v>
      </c>
      <c r="E100" s="29">
        <f>'IRSAP Tabelle'!G6</f>
        <v>66.5</v>
      </c>
      <c r="F100" s="29">
        <f>'IRSAP Tabelle'!H6</f>
        <v>74</v>
      </c>
      <c r="G100" s="29">
        <f>'IRSAP Tabelle'!I6</f>
        <v>81.3</v>
      </c>
      <c r="H100" s="29">
        <f>'IRSAP Tabelle'!K6</f>
        <v>88.7</v>
      </c>
      <c r="I100" s="29">
        <f>'IRSAP Tabelle'!M6</f>
        <v>95.9</v>
      </c>
      <c r="J100" s="29">
        <f>'IRSAP Tabelle'!Q6</f>
        <v>117.4</v>
      </c>
      <c r="K100" s="29">
        <f>'IRSAP Tabelle'!V6</f>
        <v>138.5</v>
      </c>
      <c r="L100" s="29">
        <f>'IRSAP Tabelle'!W6</f>
        <v>152.4</v>
      </c>
      <c r="M100" s="187"/>
      <c r="N100" s="29">
        <f>'IRSAP Tabelle'!X6</f>
        <v>180</v>
      </c>
      <c r="O100" s="29">
        <f>'IRSAP Tabelle'!Y6</f>
        <v>220.9</v>
      </c>
      <c r="P100" s="29">
        <f>'IRSAP Tabelle'!Z6</f>
        <v>261.3</v>
      </c>
      <c r="Q100" s="29">
        <f>'IRSAP Tabelle'!AA6</f>
        <v>288</v>
      </c>
      <c r="R100" s="29">
        <f>'IRSAP Tabelle'!AB6</f>
        <v>314.7</v>
      </c>
      <c r="S100" s="29">
        <f>'IRSAP Tabelle'!AC6</f>
        <v>354.5</v>
      </c>
      <c r="T100" s="29"/>
      <c r="U100" s="29"/>
    </row>
    <row r="101" spans="1:21" x14ac:dyDescent="0.2">
      <c r="A101" s="1" t="s">
        <v>643</v>
      </c>
      <c r="B101" s="29"/>
      <c r="C101" s="29">
        <f>0.1383*C95 + 12.141</f>
        <v>53.631</v>
      </c>
      <c r="D101" s="29">
        <f t="shared" ref="D101:S101" si="71">0.1383*D95 + 12.141</f>
        <v>60.545999999999999</v>
      </c>
      <c r="E101" s="29">
        <f t="shared" si="71"/>
        <v>67.460999999999999</v>
      </c>
      <c r="F101" s="29">
        <f t="shared" si="71"/>
        <v>74.376000000000005</v>
      </c>
      <c r="G101" s="29">
        <f t="shared" si="71"/>
        <v>81.291000000000011</v>
      </c>
      <c r="H101" s="29">
        <f t="shared" si="71"/>
        <v>88.206000000000003</v>
      </c>
      <c r="I101" s="29">
        <f t="shared" si="71"/>
        <v>95.121000000000009</v>
      </c>
      <c r="J101" s="29">
        <f t="shared" si="71"/>
        <v>115.86600000000001</v>
      </c>
      <c r="K101" s="29">
        <f t="shared" si="71"/>
        <v>136.61099999999999</v>
      </c>
      <c r="L101" s="29">
        <f t="shared" si="71"/>
        <v>150.441</v>
      </c>
      <c r="M101" s="29">
        <f t="shared" si="71"/>
        <v>164.27099999999999</v>
      </c>
      <c r="N101" s="29">
        <f t="shared" si="71"/>
        <v>178.101</v>
      </c>
      <c r="O101" s="29">
        <f t="shared" si="71"/>
        <v>219.59100000000001</v>
      </c>
      <c r="P101" s="29">
        <f t="shared" si="71"/>
        <v>261.08100000000002</v>
      </c>
      <c r="Q101" s="29">
        <f t="shared" si="71"/>
        <v>288.74100000000004</v>
      </c>
      <c r="R101" s="29">
        <f t="shared" si="71"/>
        <v>316.40100000000001</v>
      </c>
      <c r="S101" s="29">
        <f t="shared" si="71"/>
        <v>357.89100000000002</v>
      </c>
      <c r="T101" s="29"/>
      <c r="U101" s="29"/>
    </row>
    <row r="102" spans="1:21" x14ac:dyDescent="0.2">
      <c r="A102" s="269" t="s">
        <v>635</v>
      </c>
      <c r="B102" s="270"/>
      <c r="C102" s="277">
        <f>'Cordivari Tabelle'!D6</f>
        <v>56.5</v>
      </c>
      <c r="D102" s="277"/>
      <c r="E102" s="277">
        <f>'Cordivari Tabelle'!E6</f>
        <v>72.400000000000006</v>
      </c>
      <c r="F102" s="277"/>
      <c r="G102" s="277">
        <f>'Cordivari Tabelle'!F6</f>
        <v>87.7</v>
      </c>
      <c r="H102" s="277">
        <f>'Cordivari Tabelle'!G6</f>
        <v>96.2</v>
      </c>
      <c r="I102" s="277">
        <f>'Cordivari Tabelle'!I6</f>
        <v>102.7</v>
      </c>
      <c r="J102" s="277">
        <f>'Cordivari Tabelle'!M6</f>
        <v>124.8</v>
      </c>
      <c r="K102" s="270"/>
      <c r="L102" s="270">
        <f>'Cordivari Tabelle'!S6</f>
        <v>160.6</v>
      </c>
      <c r="M102" s="270"/>
      <c r="N102" s="270">
        <f>'Cordivari Tabelle'!T6</f>
        <v>188.8</v>
      </c>
      <c r="O102" s="270">
        <f>'Cordivari Tabelle'!U6</f>
        <v>230.4</v>
      </c>
      <c r="P102" s="270">
        <f>'Cordivari Tabelle'!W6</f>
        <v>271.60000000000002</v>
      </c>
      <c r="Q102" s="270">
        <f>'Cordivari Tabelle'!Y6</f>
        <v>299</v>
      </c>
      <c r="R102" s="270">
        <f>'Cordivari Tabelle'!AA6</f>
        <v>326.39999999999998</v>
      </c>
      <c r="S102" s="270">
        <f>'Cordivari Tabelle'!AB6</f>
        <v>367.4</v>
      </c>
      <c r="T102" s="270"/>
      <c r="U102" s="270"/>
    </row>
    <row r="103" spans="1:21" x14ac:dyDescent="0.2">
      <c r="A103" s="268" t="s">
        <v>644</v>
      </c>
      <c r="B103" s="271"/>
      <c r="C103" s="271">
        <f xml:space="preserve"> 0.141*C95 + 17.647</f>
        <v>59.946999999999996</v>
      </c>
      <c r="D103" s="271">
        <f t="shared" ref="D103:S103" si="72" xml:space="preserve"> 0.141*D95 + 17.647</f>
        <v>66.996999999999986</v>
      </c>
      <c r="E103" s="271">
        <f t="shared" si="72"/>
        <v>74.046999999999997</v>
      </c>
      <c r="F103" s="271">
        <f t="shared" si="72"/>
        <v>81.096999999999994</v>
      </c>
      <c r="G103" s="271">
        <f t="shared" si="72"/>
        <v>88.146999999999991</v>
      </c>
      <c r="H103" s="271">
        <f t="shared" si="72"/>
        <v>95.197000000000003</v>
      </c>
      <c r="I103" s="271">
        <f t="shared" si="72"/>
        <v>102.24699999999999</v>
      </c>
      <c r="J103" s="271">
        <f t="shared" si="72"/>
        <v>123.39699999999999</v>
      </c>
      <c r="K103" s="271">
        <f t="shared" si="72"/>
        <v>144.547</v>
      </c>
      <c r="L103" s="271">
        <f t="shared" si="72"/>
        <v>158.64699999999999</v>
      </c>
      <c r="M103" s="271">
        <f t="shared" si="72"/>
        <v>172.74699999999999</v>
      </c>
      <c r="N103" s="271">
        <f t="shared" si="72"/>
        <v>186.84699999999998</v>
      </c>
      <c r="O103" s="271">
        <f t="shared" si="72"/>
        <v>229.14699999999996</v>
      </c>
      <c r="P103" s="271">
        <f t="shared" si="72"/>
        <v>271.447</v>
      </c>
      <c r="Q103" s="271">
        <f t="shared" si="72"/>
        <v>299.64699999999999</v>
      </c>
      <c r="R103" s="271">
        <f t="shared" si="72"/>
        <v>327.84699999999998</v>
      </c>
      <c r="S103" s="271">
        <f t="shared" si="72"/>
        <v>370.14699999999993</v>
      </c>
      <c r="T103" s="271"/>
      <c r="U103" s="271"/>
    </row>
    <row r="104" spans="1:21" x14ac:dyDescent="0.2">
      <c r="A104" s="1" t="s">
        <v>634</v>
      </c>
      <c r="B104" s="29"/>
      <c r="C104" s="29">
        <f>'FIR Iron'!D6</f>
        <v>55.98</v>
      </c>
      <c r="D104" s="29">
        <f>'FIR Iron'!E6</f>
        <v>63.99</v>
      </c>
      <c r="E104" s="29">
        <f>'FIR Iron'!G6</f>
        <v>71.87</v>
      </c>
      <c r="F104" s="29">
        <f>'FIR Iron'!I6</f>
        <v>79.64</v>
      </c>
      <c r="G104" s="29">
        <f>'FIR Iron'!J6</f>
        <v>87.32</v>
      </c>
      <c r="H104" s="29">
        <f>'FIR Iron'!K6</f>
        <v>94.93</v>
      </c>
      <c r="I104" s="29">
        <f>'FIR Iron'!M6</f>
        <v>102.48</v>
      </c>
      <c r="J104" s="29">
        <f>'FIR Iron'!O6</f>
        <v>124.8</v>
      </c>
      <c r="K104" s="278">
        <f>'FIR Iron'!Q6</f>
        <v>146.79</v>
      </c>
      <c r="L104" s="278">
        <f>'FIR Iron'!S6</f>
        <v>161.31</v>
      </c>
      <c r="M104" s="278">
        <f>'FIR Iron'!U6</f>
        <v>175.77</v>
      </c>
      <c r="N104" s="278">
        <f>'FIR Iron'!V6</f>
        <v>190.17</v>
      </c>
      <c r="O104" s="278">
        <f>'FIR Iron'!W6</f>
        <v>233.18</v>
      </c>
      <c r="P104" s="278">
        <f>'FIR Iron'!X6</f>
        <v>276.14</v>
      </c>
      <c r="Q104" s="278">
        <f>'FIR Iron'!Y6</f>
        <v>304.85000000000002</v>
      </c>
      <c r="R104" s="278">
        <f>'FIR Iron'!Z6</f>
        <v>333.68</v>
      </c>
      <c r="S104" s="278">
        <f>'FIR Iron'!AA6</f>
        <v>377.21</v>
      </c>
      <c r="T104" s="278">
        <f>'FIR Iron'!AB6</f>
        <v>421.18</v>
      </c>
      <c r="U104" s="278">
        <f>'FIR Iron'!AC6</f>
        <v>450.78</v>
      </c>
    </row>
    <row r="105" spans="1:21" x14ac:dyDescent="0.2">
      <c r="A105" s="1" t="s">
        <v>645</v>
      </c>
      <c r="B105" s="29"/>
      <c r="C105" s="29">
        <f>0.1458*C95 + 13.878</f>
        <v>57.618000000000002</v>
      </c>
      <c r="D105" s="29">
        <f t="shared" ref="D105:U105" si="73">0.1458*D95 + 13.878</f>
        <v>64.908000000000001</v>
      </c>
      <c r="E105" s="29">
        <f t="shared" si="73"/>
        <v>72.198000000000008</v>
      </c>
      <c r="F105" s="29">
        <f t="shared" si="73"/>
        <v>79.488</v>
      </c>
      <c r="G105" s="29">
        <f t="shared" si="73"/>
        <v>86.778000000000006</v>
      </c>
      <c r="H105" s="29">
        <f t="shared" si="73"/>
        <v>94.068000000000012</v>
      </c>
      <c r="I105" s="29">
        <f t="shared" si="73"/>
        <v>101.358</v>
      </c>
      <c r="J105" s="29">
        <f t="shared" si="73"/>
        <v>123.22800000000001</v>
      </c>
      <c r="K105" s="29">
        <f t="shared" si="73"/>
        <v>145.09800000000001</v>
      </c>
      <c r="L105" s="29">
        <f t="shared" si="73"/>
        <v>159.678</v>
      </c>
      <c r="M105" s="29">
        <f t="shared" si="73"/>
        <v>174.25800000000004</v>
      </c>
      <c r="N105" s="29">
        <f t="shared" si="73"/>
        <v>188.83800000000002</v>
      </c>
      <c r="O105" s="29">
        <f t="shared" si="73"/>
        <v>232.57800000000003</v>
      </c>
      <c r="P105" s="29">
        <f t="shared" si="73"/>
        <v>276.31799999999998</v>
      </c>
      <c r="Q105" s="29">
        <f t="shared" si="73"/>
        <v>305.47800000000001</v>
      </c>
      <c r="R105" s="29">
        <f t="shared" si="73"/>
        <v>334.63800000000003</v>
      </c>
      <c r="S105" s="29">
        <f t="shared" si="73"/>
        <v>378.37800000000004</v>
      </c>
      <c r="T105" s="29">
        <f t="shared" si="73"/>
        <v>422.11799999999999</v>
      </c>
      <c r="U105" s="29">
        <f t="shared" si="73"/>
        <v>451.27800000000002</v>
      </c>
    </row>
    <row r="106" spans="1:21" x14ac:dyDescent="0.2">
      <c r="A106" s="269" t="s">
        <v>646</v>
      </c>
      <c r="B106" s="275">
        <f>AVERAGE(B96,B98,B100,B102,B104)</f>
        <v>45.05</v>
      </c>
      <c r="C106" s="275">
        <f t="shared" ref="C106:U106" si="74">AVERAGE(C96,C98,C100,C102,C104)</f>
        <v>53.715999999999994</v>
      </c>
      <c r="D106" s="275">
        <f t="shared" si="74"/>
        <v>60.972500000000004</v>
      </c>
      <c r="E106" s="275">
        <f t="shared" si="74"/>
        <v>69.534000000000006</v>
      </c>
      <c r="F106" s="275">
        <f t="shared" si="74"/>
        <v>76.61</v>
      </c>
      <c r="G106" s="275">
        <f t="shared" si="74"/>
        <v>84.963999999999999</v>
      </c>
      <c r="H106" s="275">
        <f t="shared" si="74"/>
        <v>92.786000000000001</v>
      </c>
      <c r="I106" s="275">
        <f t="shared" si="74"/>
        <v>99.936000000000007</v>
      </c>
      <c r="J106" s="275">
        <f t="shared" si="74"/>
        <v>122</v>
      </c>
      <c r="K106" s="275">
        <f t="shared" si="74"/>
        <v>142.57249999999999</v>
      </c>
      <c r="L106" s="275">
        <f t="shared" si="74"/>
        <v>157.262</v>
      </c>
      <c r="M106" s="275">
        <f t="shared" si="74"/>
        <v>171.59</v>
      </c>
      <c r="N106" s="275">
        <f t="shared" si="74"/>
        <v>184.79399999999998</v>
      </c>
      <c r="O106" s="275">
        <f t="shared" si="74"/>
        <v>225.696</v>
      </c>
      <c r="P106" s="275">
        <f t="shared" si="74"/>
        <v>266.20799999999997</v>
      </c>
      <c r="Q106" s="275">
        <f t="shared" si="74"/>
        <v>292.77</v>
      </c>
      <c r="R106" s="275">
        <f t="shared" si="74"/>
        <v>319.35599999999999</v>
      </c>
      <c r="S106" s="275">
        <f t="shared" si="74"/>
        <v>358.822</v>
      </c>
      <c r="T106" s="275">
        <f t="shared" si="74"/>
        <v>395.72666666666669</v>
      </c>
      <c r="U106" s="275">
        <f t="shared" si="74"/>
        <v>421.59333333333331</v>
      </c>
    </row>
    <row r="107" spans="1:21" s="1" customFormat="1" x14ac:dyDescent="0.2">
      <c r="A107" s="268" t="s">
        <v>647</v>
      </c>
      <c r="B107" s="276">
        <f>0.137*B95 + 16.647</f>
        <v>52.267000000000003</v>
      </c>
      <c r="C107" s="276">
        <f t="shared" ref="C107:U107" si="75">0.137*C95 + 16.647</f>
        <v>57.747</v>
      </c>
      <c r="D107" s="276">
        <f t="shared" si="75"/>
        <v>64.597000000000008</v>
      </c>
      <c r="E107" s="276">
        <f t="shared" si="75"/>
        <v>71.447000000000003</v>
      </c>
      <c r="F107" s="276">
        <f t="shared" si="75"/>
        <v>78.296999999999997</v>
      </c>
      <c r="G107" s="276">
        <f t="shared" si="75"/>
        <v>85.146999999999991</v>
      </c>
      <c r="H107" s="276">
        <f t="shared" si="75"/>
        <v>91.997000000000014</v>
      </c>
      <c r="I107" s="276">
        <f t="shared" si="75"/>
        <v>98.847000000000008</v>
      </c>
      <c r="J107" s="276">
        <f t="shared" si="75"/>
        <v>119.39700000000002</v>
      </c>
      <c r="K107" s="276">
        <f t="shared" si="75"/>
        <v>139.947</v>
      </c>
      <c r="L107" s="276">
        <f t="shared" si="75"/>
        <v>153.64699999999999</v>
      </c>
      <c r="M107" s="276">
        <f t="shared" si="75"/>
        <v>167.34700000000001</v>
      </c>
      <c r="N107" s="276">
        <f t="shared" si="75"/>
        <v>181.047</v>
      </c>
      <c r="O107" s="276">
        <f t="shared" si="75"/>
        <v>222.14700000000002</v>
      </c>
      <c r="P107" s="276">
        <f t="shared" si="75"/>
        <v>263.24700000000001</v>
      </c>
      <c r="Q107" s="276">
        <f t="shared" si="75"/>
        <v>290.64699999999999</v>
      </c>
      <c r="R107" s="276">
        <f t="shared" si="75"/>
        <v>318.04700000000003</v>
      </c>
      <c r="S107" s="276">
        <f t="shared" si="75"/>
        <v>359.14699999999999</v>
      </c>
      <c r="T107" s="276">
        <f t="shared" si="75"/>
        <v>400.24700000000001</v>
      </c>
      <c r="U107" s="276">
        <f t="shared" si="75"/>
        <v>427.64700000000005</v>
      </c>
    </row>
    <row r="108" spans="1:21" x14ac:dyDescent="0.2">
      <c r="B108" s="267">
        <f>(B107-B106)/B106</f>
        <v>0.16019977802441746</v>
      </c>
      <c r="C108" s="267">
        <f t="shared" ref="C108" si="76">(C107-C106)/C106</f>
        <v>7.5042817782411314E-2</v>
      </c>
      <c r="D108" s="267">
        <f t="shared" ref="D108" si="77">(D107-D106)/D106</f>
        <v>5.944483168641608E-2</v>
      </c>
      <c r="E108" s="267">
        <f t="shared" ref="E108" si="78">(E107-E106)/E106</f>
        <v>2.751172088474698E-2</v>
      </c>
      <c r="F108" s="267">
        <f t="shared" ref="F108" si="79">(F107-F106)/F106</f>
        <v>2.2020623939433465E-2</v>
      </c>
      <c r="G108" s="267">
        <f t="shared" ref="G108" si="80">(G107-G106)/G106</f>
        <v>2.1538533967326483E-3</v>
      </c>
      <c r="H108" s="267">
        <f t="shared" ref="H108" si="81">(H107-H106)/H106</f>
        <v>-8.5034380186664715E-3</v>
      </c>
      <c r="I108" s="267">
        <f t="shared" ref="I108" si="82">(I107-I106)/I106</f>
        <v>-1.0896974063400561E-2</v>
      </c>
      <c r="J108" s="267">
        <f t="shared" ref="J108" si="83">(J107-J106)/J106</f>
        <v>-2.1336065573770331E-2</v>
      </c>
      <c r="K108" s="267">
        <f t="shared" ref="K108" si="84">(K107-K106)/K106</f>
        <v>-1.8415192270599089E-2</v>
      </c>
      <c r="L108" s="267">
        <f t="shared" ref="L108" si="85">(L107-L106)/L106</f>
        <v>-2.2987117040353101E-2</v>
      </c>
      <c r="M108" s="267">
        <f t="shared" ref="M108" si="86">(M107-M106)/M106</f>
        <v>-2.4727548225421031E-2</v>
      </c>
      <c r="N108" s="267">
        <f t="shared" ref="N108" si="87">(N107-N106)/N106</f>
        <v>-2.0276632358193374E-2</v>
      </c>
      <c r="O108" s="267">
        <f t="shared" ref="O108" si="88">(O107-O106)/O106</f>
        <v>-1.5724691620586886E-2</v>
      </c>
      <c r="P108" s="267">
        <f t="shared" ref="P108" si="89">(P107-P106)/P106</f>
        <v>-1.1122881355932038E-2</v>
      </c>
      <c r="Q108" s="267">
        <f t="shared" ref="Q108" si="90">(Q107-Q106)/Q106</f>
        <v>-7.2514260340881603E-3</v>
      </c>
      <c r="R108" s="267">
        <f t="shared" ref="R108" si="91">(R107-R106)/R106</f>
        <v>-4.0988739838924869E-3</v>
      </c>
      <c r="S108" s="267">
        <f t="shared" ref="S108" si="92">(S107-S106)/S106</f>
        <v>9.0574156545582111E-4</v>
      </c>
      <c r="T108" s="267">
        <f t="shared" ref="T108" si="93">(T107-T106)/T106</f>
        <v>1.1422867635910289E-2</v>
      </c>
      <c r="U108" s="267">
        <f t="shared" ref="U108" si="94">(U107-U106)/U106</f>
        <v>1.4359018959819281E-2</v>
      </c>
    </row>
    <row r="110" spans="1:21" x14ac:dyDescent="0.2">
      <c r="A110" s="1" t="s">
        <v>423</v>
      </c>
      <c r="B110" s="29">
        <f t="shared" ref="B110:U110" si="95">MAX(B96,B98,B100,B102,B104)</f>
        <v>45.1</v>
      </c>
      <c r="C110" s="29">
        <f t="shared" si="95"/>
        <v>56.5</v>
      </c>
      <c r="D110" s="29">
        <f t="shared" si="95"/>
        <v>63.99</v>
      </c>
      <c r="E110" s="29">
        <f t="shared" si="95"/>
        <v>72.400000000000006</v>
      </c>
      <c r="F110" s="29">
        <f t="shared" si="95"/>
        <v>79.64</v>
      </c>
      <c r="G110" s="29">
        <f t="shared" si="95"/>
        <v>87.7</v>
      </c>
      <c r="H110" s="29">
        <f t="shared" si="95"/>
        <v>96.2</v>
      </c>
      <c r="I110" s="29">
        <f t="shared" si="95"/>
        <v>102.7</v>
      </c>
      <c r="J110" s="29">
        <f t="shared" si="95"/>
        <v>124.8</v>
      </c>
      <c r="K110" s="29">
        <f t="shared" si="95"/>
        <v>146.79</v>
      </c>
      <c r="L110" s="29">
        <f t="shared" si="95"/>
        <v>161.31</v>
      </c>
      <c r="M110" s="29">
        <f t="shared" si="95"/>
        <v>175.77</v>
      </c>
      <c r="N110" s="29">
        <f t="shared" si="95"/>
        <v>190.17</v>
      </c>
      <c r="O110" s="29">
        <f t="shared" si="95"/>
        <v>233.18</v>
      </c>
      <c r="P110" s="29">
        <f t="shared" si="95"/>
        <v>276.14</v>
      </c>
      <c r="Q110" s="29">
        <f t="shared" si="95"/>
        <v>304.85000000000002</v>
      </c>
      <c r="R110" s="29">
        <f t="shared" si="95"/>
        <v>333.68</v>
      </c>
      <c r="S110" s="29">
        <f t="shared" si="95"/>
        <v>377.21</v>
      </c>
      <c r="T110" s="29">
        <f t="shared" si="95"/>
        <v>421.18</v>
      </c>
      <c r="U110" s="29">
        <f t="shared" si="95"/>
        <v>450.78</v>
      </c>
    </row>
    <row r="111" spans="1:21" x14ac:dyDescent="0.2">
      <c r="A111" s="1" t="s">
        <v>424</v>
      </c>
      <c r="B111" s="29">
        <f t="shared" ref="B111:U111" si="96">MIN(B96,B98,B100,B102,B104)</f>
        <v>45</v>
      </c>
      <c r="C111" s="29">
        <f t="shared" si="96"/>
        <v>51.4</v>
      </c>
      <c r="D111" s="29">
        <f t="shared" si="96"/>
        <v>59</v>
      </c>
      <c r="E111" s="29">
        <f t="shared" si="96"/>
        <v>66.5</v>
      </c>
      <c r="F111" s="29">
        <f t="shared" si="96"/>
        <v>74</v>
      </c>
      <c r="G111" s="29">
        <f t="shared" si="96"/>
        <v>81.3</v>
      </c>
      <c r="H111" s="29">
        <f t="shared" si="96"/>
        <v>88.7</v>
      </c>
      <c r="I111" s="29">
        <f t="shared" si="96"/>
        <v>95.9</v>
      </c>
      <c r="J111" s="29">
        <f t="shared" si="96"/>
        <v>117.4</v>
      </c>
      <c r="K111" s="29">
        <f t="shared" si="96"/>
        <v>138.5</v>
      </c>
      <c r="L111" s="29">
        <f t="shared" si="96"/>
        <v>152.4</v>
      </c>
      <c r="M111" s="29">
        <f t="shared" si="96"/>
        <v>167</v>
      </c>
      <c r="N111" s="29">
        <f t="shared" si="96"/>
        <v>179</v>
      </c>
      <c r="O111" s="29">
        <f t="shared" si="96"/>
        <v>219</v>
      </c>
      <c r="P111" s="29">
        <f t="shared" si="96"/>
        <v>259</v>
      </c>
      <c r="Q111" s="29">
        <f t="shared" si="96"/>
        <v>285</v>
      </c>
      <c r="R111" s="29">
        <f t="shared" si="96"/>
        <v>310</v>
      </c>
      <c r="S111" s="29">
        <f t="shared" si="96"/>
        <v>343</v>
      </c>
      <c r="T111" s="29">
        <f t="shared" si="96"/>
        <v>374</v>
      </c>
      <c r="U111" s="29">
        <f t="shared" si="96"/>
        <v>394</v>
      </c>
    </row>
    <row r="112" spans="1:21" x14ac:dyDescent="0.2">
      <c r="B112" s="173">
        <f t="shared" ref="B112:U112" si="97">(B110-B111)/B110</f>
        <v>2.2172949002217607E-3</v>
      </c>
      <c r="C112" s="173">
        <f t="shared" si="97"/>
        <v>9.0265486725663743E-2</v>
      </c>
      <c r="D112" s="173">
        <f t="shared" si="97"/>
        <v>7.7980934521018938E-2</v>
      </c>
      <c r="E112" s="173">
        <f t="shared" si="97"/>
        <v>8.149171270718239E-2</v>
      </c>
      <c r="F112" s="173">
        <f t="shared" si="97"/>
        <v>7.0818684078352595E-2</v>
      </c>
      <c r="G112" s="173">
        <f t="shared" si="97"/>
        <v>7.2976054732041107E-2</v>
      </c>
      <c r="H112" s="173">
        <f t="shared" si="97"/>
        <v>7.7962577962577967E-2</v>
      </c>
      <c r="I112" s="173">
        <f t="shared" si="97"/>
        <v>6.6212268743914282E-2</v>
      </c>
      <c r="J112" s="173">
        <f t="shared" si="97"/>
        <v>5.929487179487173E-2</v>
      </c>
      <c r="K112" s="173">
        <f t="shared" si="97"/>
        <v>5.6475236732747409E-2</v>
      </c>
      <c r="L112" s="173">
        <f t="shared" si="97"/>
        <v>5.5235261298121605E-2</v>
      </c>
      <c r="M112" s="173">
        <f t="shared" si="97"/>
        <v>4.9894748819480056E-2</v>
      </c>
      <c r="N112" s="173">
        <f t="shared" si="97"/>
        <v>5.8736919598254132E-2</v>
      </c>
      <c r="O112" s="173">
        <f t="shared" si="97"/>
        <v>6.0811390342224915E-2</v>
      </c>
      <c r="P112" s="173">
        <f t="shared" si="97"/>
        <v>6.2069964510755367E-2</v>
      </c>
      <c r="Q112" s="173">
        <f t="shared" si="97"/>
        <v>6.5113990487124879E-2</v>
      </c>
      <c r="R112" s="173">
        <f t="shared" si="97"/>
        <v>7.0966195157036699E-2</v>
      </c>
      <c r="S112" s="173">
        <f t="shared" si="97"/>
        <v>9.06921873757323E-2</v>
      </c>
      <c r="T112" s="173">
        <f t="shared" si="97"/>
        <v>0.11201861436915335</v>
      </c>
      <c r="U112" s="173">
        <f t="shared" si="97"/>
        <v>0.12595944806779355</v>
      </c>
    </row>
    <row r="114" spans="1:21" x14ac:dyDescent="0.2">
      <c r="A114" s="272" t="s">
        <v>418</v>
      </c>
      <c r="B114" s="273">
        <f>'Zehnder Charl. Tabelle'!C$3</f>
        <v>260</v>
      </c>
      <c r="C114" s="273">
        <f>'Zehnder Charl. Tabelle'!D$3</f>
        <v>300</v>
      </c>
      <c r="D114" s="273">
        <f>'Zehnder Charl. Tabelle'!E$3</f>
        <v>350</v>
      </c>
      <c r="E114" s="273">
        <f>'Zehnder Charl. Tabelle'!F$3</f>
        <v>400</v>
      </c>
      <c r="F114" s="273">
        <f>'Zehnder Charl. Tabelle'!G$3</f>
        <v>450</v>
      </c>
      <c r="G114" s="273">
        <f>'Zehnder Charl. Tabelle'!H$3</f>
        <v>500</v>
      </c>
      <c r="H114" s="273">
        <f>'Zehnder Charl. Tabelle'!I$3</f>
        <v>550</v>
      </c>
      <c r="I114" s="273">
        <f>'Zehnder Charl. Tabelle'!J$3</f>
        <v>600</v>
      </c>
      <c r="J114" s="273">
        <f>'Zehnder Charl. Tabelle'!K$3</f>
        <v>750</v>
      </c>
      <c r="K114" s="273">
        <f>'Zehnder Charl. Tabelle'!L$3</f>
        <v>900</v>
      </c>
      <c r="L114" s="273">
        <f>'Zehnder Charl. Tabelle'!M$3</f>
        <v>1000</v>
      </c>
      <c r="M114" s="273">
        <f>'Zehnder Charl. Tabelle'!N$3</f>
        <v>1100</v>
      </c>
      <c r="N114" s="273">
        <f>'Zehnder Charl. Tabelle'!O$3</f>
        <v>1200</v>
      </c>
      <c r="O114" s="273">
        <f>'Zehnder Charl. Tabelle'!P$3</f>
        <v>1500</v>
      </c>
      <c r="P114" s="273">
        <f>'Zehnder Charl. Tabelle'!Q$3</f>
        <v>1800</v>
      </c>
      <c r="Q114" s="273">
        <f>'Zehnder Charl. Tabelle'!R$3</f>
        <v>2000</v>
      </c>
      <c r="R114" s="273">
        <f>'Zehnder Charl. Tabelle'!S$3</f>
        <v>2200</v>
      </c>
      <c r="S114" s="273">
        <f>'Zehnder Charl. Tabelle'!T$3</f>
        <v>2500</v>
      </c>
      <c r="T114" s="273">
        <f>'Zehnder Charl. Tabelle'!U$3</f>
        <v>2800</v>
      </c>
      <c r="U114" s="273">
        <f>'Zehnder Charl. Tabelle'!V$3</f>
        <v>3000</v>
      </c>
    </row>
    <row r="115" spans="1:21" x14ac:dyDescent="0.2">
      <c r="A115" s="1" t="s">
        <v>399</v>
      </c>
      <c r="B115" s="282">
        <f>'Arbonia Tabelle'!E7</f>
        <v>53</v>
      </c>
      <c r="C115" s="29">
        <f>'Arbonia Tabelle'!F7</f>
        <v>62</v>
      </c>
      <c r="D115" s="29">
        <f>'Arbonia Tabelle'!G7</f>
        <v>72</v>
      </c>
      <c r="E115" s="29">
        <f>'Arbonia Tabelle'!H7</f>
        <v>81</v>
      </c>
      <c r="F115" s="29">
        <f>'Arbonia Tabelle'!I7</f>
        <v>90</v>
      </c>
      <c r="G115" s="29">
        <f>'Arbonia Tabelle'!J7</f>
        <v>99</v>
      </c>
      <c r="H115" s="29">
        <f>'Arbonia Tabelle'!K7</f>
        <v>108</v>
      </c>
      <c r="I115" s="29">
        <f>'Arbonia Tabelle'!L7</f>
        <v>117</v>
      </c>
      <c r="J115" s="29">
        <f>'Arbonia Tabelle'!M7</f>
        <v>143</v>
      </c>
      <c r="K115" s="29">
        <f>'Arbonia Tabelle'!N7</f>
        <v>168</v>
      </c>
      <c r="L115" s="29">
        <f>'Arbonia Tabelle'!O7</f>
        <v>185</v>
      </c>
      <c r="M115" s="29">
        <f>'Arbonia Tabelle'!P7</f>
        <v>201</v>
      </c>
      <c r="N115" s="29">
        <f>'Arbonia Tabelle'!Q7</f>
        <v>217</v>
      </c>
      <c r="O115" s="29">
        <f>'Arbonia Tabelle'!R7</f>
        <v>264</v>
      </c>
      <c r="P115" s="29">
        <f>'Arbonia Tabelle'!S7</f>
        <v>309</v>
      </c>
      <c r="Q115" s="29">
        <f>'Arbonia Tabelle'!T7</f>
        <v>339</v>
      </c>
      <c r="R115" s="29">
        <f>'Arbonia Tabelle'!U7</f>
        <v>367</v>
      </c>
      <c r="S115" s="282">
        <f>'Arbonia Tabelle'!V7</f>
        <v>408</v>
      </c>
      <c r="T115" s="282">
        <f>'Arbonia Tabelle'!W7</f>
        <v>448</v>
      </c>
      <c r="U115" s="282">
        <f>'Arbonia Tabelle'!X7</f>
        <v>474</v>
      </c>
    </row>
    <row r="116" spans="1:21" x14ac:dyDescent="0.2">
      <c r="A116" s="268" t="s">
        <v>421</v>
      </c>
      <c r="B116" s="271">
        <f xml:space="preserve">  0.1578*B114 + 17.294</f>
        <v>58.322000000000003</v>
      </c>
      <c r="C116" s="271">
        <f t="shared" ref="C116:U116" si="98" xml:space="preserve">  0.1578*C114 + 17.294</f>
        <v>64.634</v>
      </c>
      <c r="D116" s="271">
        <f t="shared" si="98"/>
        <v>72.524000000000001</v>
      </c>
      <c r="E116" s="271">
        <f t="shared" si="98"/>
        <v>80.414000000000001</v>
      </c>
      <c r="F116" s="271">
        <f t="shared" si="98"/>
        <v>88.304000000000002</v>
      </c>
      <c r="G116" s="271">
        <f t="shared" si="98"/>
        <v>96.193999999999988</v>
      </c>
      <c r="H116" s="271">
        <f t="shared" si="98"/>
        <v>104.08399999999999</v>
      </c>
      <c r="I116" s="271">
        <f t="shared" si="98"/>
        <v>111.97399999999999</v>
      </c>
      <c r="J116" s="271">
        <f t="shared" si="98"/>
        <v>135.64400000000001</v>
      </c>
      <c r="K116" s="271">
        <f t="shared" si="98"/>
        <v>159.31400000000002</v>
      </c>
      <c r="L116" s="271">
        <f t="shared" si="98"/>
        <v>175.09399999999999</v>
      </c>
      <c r="M116" s="271">
        <f t="shared" si="98"/>
        <v>190.874</v>
      </c>
      <c r="N116" s="271">
        <f t="shared" si="98"/>
        <v>206.654</v>
      </c>
      <c r="O116" s="271">
        <f t="shared" si="98"/>
        <v>253.994</v>
      </c>
      <c r="P116" s="271">
        <f t="shared" si="98"/>
        <v>301.334</v>
      </c>
      <c r="Q116" s="271">
        <f t="shared" si="98"/>
        <v>332.89399999999995</v>
      </c>
      <c r="R116" s="271">
        <f t="shared" si="98"/>
        <v>364.45399999999995</v>
      </c>
      <c r="S116" s="271">
        <f t="shared" si="98"/>
        <v>411.79399999999998</v>
      </c>
      <c r="T116" s="271">
        <f t="shared" si="98"/>
        <v>459.13399999999996</v>
      </c>
      <c r="U116" s="271">
        <f t="shared" si="98"/>
        <v>490.69399999999996</v>
      </c>
    </row>
    <row r="117" spans="1:21" x14ac:dyDescent="0.2">
      <c r="A117" s="269" t="s">
        <v>343</v>
      </c>
      <c r="B117" s="275">
        <f>'Zehnder Charl. Tabelle'!C8</f>
        <v>53.5</v>
      </c>
      <c r="C117" s="283">
        <f>'Zehnder Charl. Tabelle'!D8</f>
        <v>61.3</v>
      </c>
      <c r="D117" s="283">
        <f>'Zehnder Charl. Tabelle'!E8</f>
        <v>71</v>
      </c>
      <c r="E117" s="283">
        <f>'Zehnder Charl. Tabelle'!F8</f>
        <v>80.5</v>
      </c>
      <c r="F117" s="283">
        <f>'Zehnder Charl. Tabelle'!G8</f>
        <v>89.8</v>
      </c>
      <c r="G117" s="283">
        <f>'Zehnder Charl. Tabelle'!H8</f>
        <v>99</v>
      </c>
      <c r="H117" s="283">
        <f>'Zehnder Charl. Tabelle'!I8</f>
        <v>108</v>
      </c>
      <c r="I117" s="283">
        <f>'Zehnder Charl. Tabelle'!J8</f>
        <v>117</v>
      </c>
      <c r="J117" s="283">
        <f>'Zehnder Charl. Tabelle'!K8</f>
        <v>143</v>
      </c>
      <c r="K117" s="283">
        <f>'Zehnder Charl. Tabelle'!L8</f>
        <v>167</v>
      </c>
      <c r="L117" s="283">
        <f>'Zehnder Charl. Tabelle'!M8</f>
        <v>183</v>
      </c>
      <c r="M117" s="283">
        <f>'Zehnder Charl. Tabelle'!N8</f>
        <v>198</v>
      </c>
      <c r="N117" s="283">
        <f>'Zehnder Charl. Tabelle'!O8</f>
        <v>210</v>
      </c>
      <c r="O117" s="283">
        <f>'Zehnder Charl. Tabelle'!P8</f>
        <v>256</v>
      </c>
      <c r="P117" s="283">
        <f>'Zehnder Charl. Tabelle'!Q8</f>
        <v>303</v>
      </c>
      <c r="Q117" s="283">
        <f>'Zehnder Charl. Tabelle'!R8</f>
        <v>334</v>
      </c>
      <c r="R117" s="283">
        <f>'Zehnder Charl. Tabelle'!S8</f>
        <v>365</v>
      </c>
      <c r="S117" s="275">
        <f>'Zehnder Charl. Tabelle'!T8</f>
        <v>412</v>
      </c>
      <c r="T117" s="275">
        <f>'Zehnder Charl. Tabelle'!U8</f>
        <v>459</v>
      </c>
      <c r="U117" s="275">
        <f>'Zehnder Charl. Tabelle'!V8</f>
        <v>491</v>
      </c>
    </row>
    <row r="118" spans="1:21" x14ac:dyDescent="0.2">
      <c r="A118" s="268" t="s">
        <v>422</v>
      </c>
      <c r="B118" s="271">
        <f t="shared" ref="B118:U118" si="99" xml:space="preserve"> 0.1575*B114 + 19.8</f>
        <v>60.75</v>
      </c>
      <c r="C118" s="271">
        <f t="shared" si="99"/>
        <v>67.05</v>
      </c>
      <c r="D118" s="271">
        <f t="shared" si="99"/>
        <v>74.924999999999997</v>
      </c>
      <c r="E118" s="271">
        <f t="shared" si="99"/>
        <v>82.8</v>
      </c>
      <c r="F118" s="271">
        <f t="shared" si="99"/>
        <v>90.674999999999997</v>
      </c>
      <c r="G118" s="271">
        <f t="shared" si="99"/>
        <v>98.55</v>
      </c>
      <c r="H118" s="271">
        <f t="shared" si="99"/>
        <v>106.425</v>
      </c>
      <c r="I118" s="271">
        <f t="shared" si="99"/>
        <v>114.3</v>
      </c>
      <c r="J118" s="271">
        <f t="shared" si="99"/>
        <v>137.92500000000001</v>
      </c>
      <c r="K118" s="271">
        <f t="shared" si="99"/>
        <v>161.55000000000001</v>
      </c>
      <c r="L118" s="271">
        <f t="shared" si="99"/>
        <v>177.3</v>
      </c>
      <c r="M118" s="271">
        <f t="shared" si="99"/>
        <v>193.05</v>
      </c>
      <c r="N118" s="271">
        <f t="shared" si="99"/>
        <v>208.8</v>
      </c>
      <c r="O118" s="271">
        <f t="shared" si="99"/>
        <v>256.05</v>
      </c>
      <c r="P118" s="271">
        <f t="shared" si="99"/>
        <v>303.3</v>
      </c>
      <c r="Q118" s="271">
        <f t="shared" si="99"/>
        <v>334.8</v>
      </c>
      <c r="R118" s="271">
        <f t="shared" si="99"/>
        <v>366.3</v>
      </c>
      <c r="S118" s="271">
        <f t="shared" si="99"/>
        <v>413.55</v>
      </c>
      <c r="T118" s="271">
        <f t="shared" si="99"/>
        <v>460.8</v>
      </c>
      <c r="U118" s="271">
        <f t="shared" si="99"/>
        <v>492.3</v>
      </c>
    </row>
    <row r="119" spans="1:21" x14ac:dyDescent="0.2">
      <c r="A119" s="1" t="s">
        <v>441</v>
      </c>
      <c r="B119" s="29"/>
      <c r="C119" s="29">
        <f>'IRSAP Tabelle'!D7</f>
        <v>60.7</v>
      </c>
      <c r="D119" s="29">
        <f>'IRSAP Tabelle'!E7</f>
        <v>69.599999999999994</v>
      </c>
      <c r="E119" s="29">
        <f>'IRSAP Tabelle'!G7</f>
        <v>78.5</v>
      </c>
      <c r="F119" s="29">
        <f>'IRSAP Tabelle'!H7</f>
        <v>87.2</v>
      </c>
      <c r="G119" s="29">
        <f>'IRSAP Tabelle'!I7</f>
        <v>95.8</v>
      </c>
      <c r="H119" s="29">
        <f>'IRSAP Tabelle'!K7</f>
        <v>104.3</v>
      </c>
      <c r="I119" s="29">
        <f>'IRSAP Tabelle'!M7</f>
        <v>112.8</v>
      </c>
      <c r="J119" s="29">
        <f>'IRSAP Tabelle'!Q7</f>
        <v>137.9</v>
      </c>
      <c r="K119" s="29">
        <f>'IRSAP Tabelle'!V7</f>
        <v>162.6</v>
      </c>
      <c r="L119" s="29">
        <f>'IRSAP Tabelle'!W7</f>
        <v>178.9</v>
      </c>
      <c r="M119" s="187"/>
      <c r="N119" s="29">
        <f>'IRSAP Tabelle'!X7</f>
        <v>211.2</v>
      </c>
      <c r="O119" s="29">
        <f>'IRSAP Tabelle'!Y7</f>
        <v>259.10000000000002</v>
      </c>
      <c r="P119" s="29">
        <f>'IRSAP Tabelle'!Z7</f>
        <v>306.5</v>
      </c>
      <c r="Q119" s="29">
        <f>'IRSAP Tabelle'!AA7</f>
        <v>337.9</v>
      </c>
      <c r="R119" s="29">
        <f>'IRSAP Tabelle'!AB7</f>
        <v>369.3</v>
      </c>
      <c r="S119" s="29">
        <f>'IRSAP Tabelle'!AC7</f>
        <v>416.2</v>
      </c>
      <c r="T119" s="29"/>
      <c r="U119" s="29"/>
    </row>
    <row r="120" spans="1:21" x14ac:dyDescent="0.2">
      <c r="A120" s="1" t="s">
        <v>643</v>
      </c>
      <c r="B120" s="29"/>
      <c r="C120" s="29">
        <f>0.1621*C114 + 14.609</f>
        <v>63.238999999999997</v>
      </c>
      <c r="D120" s="29">
        <f t="shared" ref="D120:S120" si="100">0.1621*D114 + 14.609</f>
        <v>71.343999999999994</v>
      </c>
      <c r="E120" s="29">
        <f t="shared" si="100"/>
        <v>79.448999999999998</v>
      </c>
      <c r="F120" s="29">
        <f t="shared" si="100"/>
        <v>87.553999999999988</v>
      </c>
      <c r="G120" s="29">
        <f t="shared" si="100"/>
        <v>95.658999999999992</v>
      </c>
      <c r="H120" s="29">
        <f t="shared" si="100"/>
        <v>103.764</v>
      </c>
      <c r="I120" s="29">
        <f t="shared" si="100"/>
        <v>111.86899999999999</v>
      </c>
      <c r="J120" s="29">
        <f t="shared" si="100"/>
        <v>136.184</v>
      </c>
      <c r="K120" s="29">
        <f t="shared" si="100"/>
        <v>160.499</v>
      </c>
      <c r="L120" s="29">
        <f t="shared" si="100"/>
        <v>176.709</v>
      </c>
      <c r="M120" s="29">
        <f t="shared" si="100"/>
        <v>192.91900000000001</v>
      </c>
      <c r="N120" s="29">
        <f t="shared" si="100"/>
        <v>209.12899999999999</v>
      </c>
      <c r="O120" s="29">
        <f t="shared" si="100"/>
        <v>257.75899999999996</v>
      </c>
      <c r="P120" s="29">
        <f t="shared" si="100"/>
        <v>306.38899999999995</v>
      </c>
      <c r="Q120" s="29">
        <f t="shared" si="100"/>
        <v>338.80899999999997</v>
      </c>
      <c r="R120" s="29">
        <f t="shared" si="100"/>
        <v>371.22899999999998</v>
      </c>
      <c r="S120" s="29">
        <f t="shared" si="100"/>
        <v>419.85899999999998</v>
      </c>
      <c r="T120" s="29"/>
      <c r="U120" s="29"/>
    </row>
    <row r="121" spans="1:21" x14ac:dyDescent="0.2">
      <c r="A121" s="269" t="s">
        <v>635</v>
      </c>
      <c r="B121" s="270"/>
      <c r="C121" s="277">
        <f>'Cordivari Tabelle'!D7</f>
        <v>67.7</v>
      </c>
      <c r="D121" s="270"/>
      <c r="E121" s="277">
        <f>'Cordivari Tabelle'!E7</f>
        <v>87.3</v>
      </c>
      <c r="F121" s="270"/>
      <c r="G121" s="277">
        <f>'Cordivari Tabelle'!F7</f>
        <v>106.2</v>
      </c>
      <c r="H121" s="277">
        <f>'Cordivari Tabelle'!G7</f>
        <v>116.5</v>
      </c>
      <c r="I121" s="277">
        <f>'Cordivari Tabelle'!I7</f>
        <v>124.5</v>
      </c>
      <c r="J121" s="277">
        <f>'Cordivari Tabelle'!M7</f>
        <v>150.9</v>
      </c>
      <c r="K121" s="270"/>
      <c r="L121" s="277">
        <f>'Cordivari Tabelle'!S7</f>
        <v>192.9</v>
      </c>
      <c r="M121" s="270"/>
      <c r="N121" s="270">
        <f>'Cordivari Tabelle'!T7</f>
        <v>224.7</v>
      </c>
      <c r="O121" s="270">
        <f>'Cordivari Tabelle'!U7</f>
        <v>270</v>
      </c>
      <c r="P121" s="270">
        <f>'Cordivari Tabelle'!W7</f>
        <v>312.7</v>
      </c>
      <c r="Q121" s="270">
        <f>'Cordivari Tabelle'!Y7</f>
        <v>339.8</v>
      </c>
      <c r="R121" s="270">
        <f>'Cordivari Tabelle'!AA7</f>
        <v>366</v>
      </c>
      <c r="S121" s="270">
        <f>'Cordivari Tabelle'!AB7</f>
        <v>403.4</v>
      </c>
      <c r="T121" s="270"/>
      <c r="U121" s="270"/>
    </row>
    <row r="122" spans="1:21" x14ac:dyDescent="0.2">
      <c r="A122" s="268" t="s">
        <v>644</v>
      </c>
      <c r="B122" s="271"/>
      <c r="C122" s="271">
        <f>0.1544*C114 + 31.894</f>
        <v>78.213999999999999</v>
      </c>
      <c r="D122" s="271">
        <f t="shared" ref="D122:S122" si="101">0.1544*D114 + 31.894</f>
        <v>85.933999999999997</v>
      </c>
      <c r="E122" s="271">
        <f t="shared" si="101"/>
        <v>93.653999999999996</v>
      </c>
      <c r="F122" s="271">
        <f t="shared" si="101"/>
        <v>101.374</v>
      </c>
      <c r="G122" s="271">
        <f t="shared" si="101"/>
        <v>109.09399999999999</v>
      </c>
      <c r="H122" s="271">
        <f t="shared" si="101"/>
        <v>116.81399999999999</v>
      </c>
      <c r="I122" s="271">
        <f t="shared" si="101"/>
        <v>124.53399999999999</v>
      </c>
      <c r="J122" s="271">
        <f t="shared" si="101"/>
        <v>147.69400000000002</v>
      </c>
      <c r="K122" s="271">
        <f t="shared" si="101"/>
        <v>170.85400000000001</v>
      </c>
      <c r="L122" s="271">
        <f t="shared" si="101"/>
        <v>186.29400000000001</v>
      </c>
      <c r="M122" s="271">
        <f t="shared" si="101"/>
        <v>201.73400000000001</v>
      </c>
      <c r="N122" s="271">
        <f t="shared" si="101"/>
        <v>217.17400000000001</v>
      </c>
      <c r="O122" s="271">
        <f t="shared" si="101"/>
        <v>263.49400000000003</v>
      </c>
      <c r="P122" s="271">
        <f t="shared" si="101"/>
        <v>309.81400000000002</v>
      </c>
      <c r="Q122" s="271">
        <f t="shared" si="101"/>
        <v>340.69400000000002</v>
      </c>
      <c r="R122" s="271">
        <f t="shared" si="101"/>
        <v>371.57400000000001</v>
      </c>
      <c r="S122" s="271">
        <f t="shared" si="101"/>
        <v>417.89400000000001</v>
      </c>
      <c r="T122" s="271"/>
      <c r="U122" s="271"/>
    </row>
    <row r="123" spans="1:21" x14ac:dyDescent="0.2">
      <c r="A123" s="1" t="s">
        <v>634</v>
      </c>
      <c r="B123" s="29"/>
      <c r="C123" s="29">
        <f>'FIR Iron'!D7</f>
        <v>66.39</v>
      </c>
      <c r="D123" s="29">
        <f>'FIR Iron'!E7</f>
        <v>75.930000000000007</v>
      </c>
      <c r="E123" s="29">
        <f>'FIR Iron'!G7</f>
        <v>85.33</v>
      </c>
      <c r="F123" s="29">
        <f>'FIR Iron'!I7</f>
        <v>94.6</v>
      </c>
      <c r="G123" s="29">
        <f>'FIR Iron'!J7</f>
        <v>103.76</v>
      </c>
      <c r="H123" s="29">
        <f>'FIR Iron'!K7</f>
        <v>112.83</v>
      </c>
      <c r="I123" s="29">
        <f>'FIR Iron'!M7</f>
        <v>121.83</v>
      </c>
      <c r="J123" s="29">
        <f>'FIR Iron'!O7</f>
        <v>148.44999999999999</v>
      </c>
      <c r="K123" s="29">
        <f>'FIR Iron'!Q7</f>
        <v>174.65</v>
      </c>
      <c r="L123" s="29">
        <f>'FIR Iron'!S7</f>
        <v>191.95</v>
      </c>
      <c r="M123" s="29">
        <f>'FIR Iron'!U7</f>
        <v>209.16</v>
      </c>
      <c r="N123" s="278">
        <f>'FIR Iron'!V7</f>
        <v>226.29</v>
      </c>
      <c r="O123" s="278">
        <f>'FIR Iron'!W7</f>
        <v>277.41000000000003</v>
      </c>
      <c r="P123" s="278">
        <f>'FIR Iron'!X7</f>
        <v>328.35</v>
      </c>
      <c r="Q123" s="278">
        <f>'FIR Iron'!Y7</f>
        <v>362.34</v>
      </c>
      <c r="R123" s="278">
        <f>'FIR Iron'!Z7</f>
        <v>396.42</v>
      </c>
      <c r="S123" s="278">
        <f>'FIR Iron'!AA7</f>
        <v>447.78</v>
      </c>
      <c r="T123" s="278">
        <f>'FIR Iron'!AB7</f>
        <v>499.53</v>
      </c>
      <c r="U123" s="278">
        <f>'FIR Iron'!AC7</f>
        <v>534.29999999999995</v>
      </c>
    </row>
    <row r="124" spans="1:21" x14ac:dyDescent="0.2">
      <c r="A124" s="1" t="s">
        <v>645</v>
      </c>
      <c r="B124" s="29"/>
      <c r="C124" s="29">
        <f xml:space="preserve"> 0.173*C114 + 16.889</f>
        <v>68.789000000000001</v>
      </c>
      <c r="D124" s="29">
        <f t="shared" ref="D124:U124" si="102" xml:space="preserve"> 0.173*D114 + 16.889</f>
        <v>77.438999999999993</v>
      </c>
      <c r="E124" s="29">
        <f t="shared" si="102"/>
        <v>86.088999999999984</v>
      </c>
      <c r="F124" s="29">
        <f t="shared" si="102"/>
        <v>94.73899999999999</v>
      </c>
      <c r="G124" s="29">
        <f t="shared" si="102"/>
        <v>103.389</v>
      </c>
      <c r="H124" s="29">
        <f t="shared" si="102"/>
        <v>112.03899999999999</v>
      </c>
      <c r="I124" s="29">
        <f t="shared" si="102"/>
        <v>120.68899999999999</v>
      </c>
      <c r="J124" s="29">
        <f t="shared" si="102"/>
        <v>146.63900000000001</v>
      </c>
      <c r="K124" s="29">
        <f t="shared" si="102"/>
        <v>172.589</v>
      </c>
      <c r="L124" s="29">
        <f t="shared" si="102"/>
        <v>189.88900000000001</v>
      </c>
      <c r="M124" s="29">
        <f t="shared" si="102"/>
        <v>207.18899999999999</v>
      </c>
      <c r="N124" s="29">
        <f t="shared" si="102"/>
        <v>224.489</v>
      </c>
      <c r="O124" s="29">
        <f t="shared" si="102"/>
        <v>276.38900000000001</v>
      </c>
      <c r="P124" s="29">
        <f t="shared" si="102"/>
        <v>328.28899999999999</v>
      </c>
      <c r="Q124" s="29">
        <f t="shared" si="102"/>
        <v>362.88900000000001</v>
      </c>
      <c r="R124" s="29">
        <f t="shared" si="102"/>
        <v>397.48899999999998</v>
      </c>
      <c r="S124" s="29">
        <f t="shared" si="102"/>
        <v>449.38899999999995</v>
      </c>
      <c r="T124" s="29">
        <f t="shared" si="102"/>
        <v>501.28899999999999</v>
      </c>
      <c r="U124" s="29">
        <f t="shared" si="102"/>
        <v>535.88900000000001</v>
      </c>
    </row>
    <row r="125" spans="1:21" x14ac:dyDescent="0.2">
      <c r="A125" s="269" t="s">
        <v>646</v>
      </c>
      <c r="B125" s="275">
        <f>AVERAGE(B115,B117,B119,B121,B123)</f>
        <v>53.25</v>
      </c>
      <c r="C125" s="275">
        <f t="shared" ref="C125:U125" si="103">AVERAGE(C115,C117,C119,C121,C123)</f>
        <v>63.617999999999995</v>
      </c>
      <c r="D125" s="275">
        <f t="shared" si="103"/>
        <v>72.132499999999993</v>
      </c>
      <c r="E125" s="275">
        <f t="shared" si="103"/>
        <v>82.525999999999996</v>
      </c>
      <c r="F125" s="275">
        <f t="shared" si="103"/>
        <v>90.4</v>
      </c>
      <c r="G125" s="275">
        <f t="shared" si="103"/>
        <v>100.752</v>
      </c>
      <c r="H125" s="275">
        <f t="shared" si="103"/>
        <v>109.926</v>
      </c>
      <c r="I125" s="275">
        <f t="shared" si="103"/>
        <v>118.626</v>
      </c>
      <c r="J125" s="275">
        <f t="shared" si="103"/>
        <v>144.65</v>
      </c>
      <c r="K125" s="275">
        <f t="shared" si="103"/>
        <v>168.0625</v>
      </c>
      <c r="L125" s="275">
        <f t="shared" si="103"/>
        <v>186.35</v>
      </c>
      <c r="M125" s="275">
        <f t="shared" si="103"/>
        <v>202.72</v>
      </c>
      <c r="N125" s="275">
        <f t="shared" si="103"/>
        <v>217.83800000000002</v>
      </c>
      <c r="O125" s="275">
        <f t="shared" si="103"/>
        <v>265.30200000000002</v>
      </c>
      <c r="P125" s="275">
        <f t="shared" si="103"/>
        <v>311.91000000000003</v>
      </c>
      <c r="Q125" s="275">
        <f t="shared" si="103"/>
        <v>342.608</v>
      </c>
      <c r="R125" s="275">
        <f t="shared" si="103"/>
        <v>372.74400000000003</v>
      </c>
      <c r="S125" s="275">
        <f t="shared" si="103"/>
        <v>417.476</v>
      </c>
      <c r="T125" s="275">
        <f t="shared" si="103"/>
        <v>468.84333333333331</v>
      </c>
      <c r="U125" s="275">
        <f t="shared" si="103"/>
        <v>499.76666666666665</v>
      </c>
    </row>
    <row r="126" spans="1:21" s="1" customFormat="1" x14ac:dyDescent="0.2">
      <c r="A126" s="268" t="s">
        <v>647</v>
      </c>
      <c r="B126" s="276">
        <f>0.1609*B114 + 20.129</f>
        <v>61.962999999999994</v>
      </c>
      <c r="C126" s="276">
        <f t="shared" ref="C126:U126" si="104">0.1609*C114 + 20.129</f>
        <v>68.399000000000001</v>
      </c>
      <c r="D126" s="276">
        <f t="shared" si="104"/>
        <v>76.444000000000003</v>
      </c>
      <c r="E126" s="276">
        <f t="shared" si="104"/>
        <v>84.489000000000004</v>
      </c>
      <c r="F126" s="276">
        <f t="shared" si="104"/>
        <v>92.534000000000006</v>
      </c>
      <c r="G126" s="276">
        <f t="shared" si="104"/>
        <v>100.57899999999999</v>
      </c>
      <c r="H126" s="276">
        <f t="shared" si="104"/>
        <v>108.624</v>
      </c>
      <c r="I126" s="276">
        <f t="shared" si="104"/>
        <v>116.669</v>
      </c>
      <c r="J126" s="276">
        <f t="shared" si="104"/>
        <v>140.804</v>
      </c>
      <c r="K126" s="276">
        <f t="shared" si="104"/>
        <v>164.93899999999999</v>
      </c>
      <c r="L126" s="276">
        <f t="shared" si="104"/>
        <v>181.02899999999997</v>
      </c>
      <c r="M126" s="276">
        <f t="shared" si="104"/>
        <v>197.11899999999997</v>
      </c>
      <c r="N126" s="276">
        <f t="shared" si="104"/>
        <v>213.20899999999997</v>
      </c>
      <c r="O126" s="276">
        <f t="shared" si="104"/>
        <v>261.47899999999998</v>
      </c>
      <c r="P126" s="276">
        <f t="shared" si="104"/>
        <v>309.74900000000002</v>
      </c>
      <c r="Q126" s="276">
        <f t="shared" si="104"/>
        <v>341.92899999999997</v>
      </c>
      <c r="R126" s="276">
        <f t="shared" si="104"/>
        <v>374.10899999999998</v>
      </c>
      <c r="S126" s="276">
        <f t="shared" si="104"/>
        <v>422.37899999999996</v>
      </c>
      <c r="T126" s="276">
        <f t="shared" si="104"/>
        <v>470.649</v>
      </c>
      <c r="U126" s="276">
        <f t="shared" si="104"/>
        <v>502.82900000000001</v>
      </c>
    </row>
    <row r="127" spans="1:21" x14ac:dyDescent="0.2">
      <c r="B127" s="267">
        <f>(B126-B125)/B125</f>
        <v>0.1636244131455398</v>
      </c>
      <c r="C127" s="267">
        <f t="shared" ref="C127" si="105">(C126-C125)/C125</f>
        <v>7.515168662957035E-2</v>
      </c>
      <c r="D127" s="267">
        <f t="shared" ref="D127" si="106">(D126-D125)/D125</f>
        <v>5.9771947457803482E-2</v>
      </c>
      <c r="E127" s="267">
        <f t="shared" ref="E127" si="107">(E126-E125)/E125</f>
        <v>2.3786443060368954E-2</v>
      </c>
      <c r="F127" s="267">
        <f t="shared" ref="F127" si="108">(F126-F125)/F125</f>
        <v>2.3606194690265488E-2</v>
      </c>
      <c r="G127" s="267">
        <f t="shared" ref="G127" si="109">(G126-G125)/G125</f>
        <v>-1.7170875019850904E-3</v>
      </c>
      <c r="H127" s="267">
        <f t="shared" ref="H127" si="110">(H126-H125)/H125</f>
        <v>-1.1844331641286017E-2</v>
      </c>
      <c r="I127" s="267">
        <f t="shared" ref="I127" si="111">(I126-I125)/I125</f>
        <v>-1.6497226577647461E-2</v>
      </c>
      <c r="J127" s="267">
        <f t="shared" ref="J127" si="112">(J126-J125)/J125</f>
        <v>-2.6588316626339464E-2</v>
      </c>
      <c r="K127" s="267">
        <f t="shared" ref="K127" si="113">(K126-K125)/K125</f>
        <v>-1.8585347712904467E-2</v>
      </c>
      <c r="L127" s="267">
        <f t="shared" ref="L127" si="114">(L126-L125)/L125</f>
        <v>-2.8553796619264965E-2</v>
      </c>
      <c r="M127" s="267">
        <f t="shared" ref="M127" si="115">(M126-M125)/M125</f>
        <v>-2.7629242304656805E-2</v>
      </c>
      <c r="N127" s="267">
        <f t="shared" ref="N127" si="116">(N126-N125)/N125</f>
        <v>-2.1249736042380334E-2</v>
      </c>
      <c r="O127" s="267">
        <f t="shared" ref="O127" si="117">(O126-O125)/O125</f>
        <v>-1.4409993139893539E-2</v>
      </c>
      <c r="P127" s="267">
        <f t="shared" ref="P127" si="118">(P126-P125)/P125</f>
        <v>-6.9282805937610249E-3</v>
      </c>
      <c r="Q127" s="267">
        <f t="shared" ref="Q127" si="119">(Q126-Q125)/Q125</f>
        <v>-1.9818568159530145E-3</v>
      </c>
      <c r="R127" s="267">
        <f t="shared" ref="R127" si="120">(R126-R125)/R125</f>
        <v>3.6620307771552383E-3</v>
      </c>
      <c r="S127" s="267">
        <f t="shared" ref="S127" si="121">(S126-S125)/S125</f>
        <v>1.1744387701328851E-2</v>
      </c>
      <c r="T127" s="267">
        <f t="shared" ref="T127" si="122">(T126-T125)/T125</f>
        <v>3.8513220478767515E-3</v>
      </c>
      <c r="U127" s="267">
        <f t="shared" ref="U127" si="123">(U126-U125)/U125</f>
        <v>6.1275261788835246E-3</v>
      </c>
    </row>
    <row r="129" spans="1:21" x14ac:dyDescent="0.2">
      <c r="A129" s="1" t="s">
        <v>423</v>
      </c>
      <c r="B129" s="29">
        <f t="shared" ref="B129:U129" si="124">MAX(B115,B117,B119,B121,B123)</f>
        <v>53.5</v>
      </c>
      <c r="C129" s="29">
        <f t="shared" si="124"/>
        <v>67.7</v>
      </c>
      <c r="D129" s="29">
        <f t="shared" si="124"/>
        <v>75.930000000000007</v>
      </c>
      <c r="E129" s="29">
        <f t="shared" si="124"/>
        <v>87.3</v>
      </c>
      <c r="F129" s="29">
        <f t="shared" si="124"/>
        <v>94.6</v>
      </c>
      <c r="G129" s="29">
        <f t="shared" si="124"/>
        <v>106.2</v>
      </c>
      <c r="H129" s="29">
        <f t="shared" si="124"/>
        <v>116.5</v>
      </c>
      <c r="I129" s="29">
        <f t="shared" si="124"/>
        <v>124.5</v>
      </c>
      <c r="J129" s="29">
        <f t="shared" si="124"/>
        <v>150.9</v>
      </c>
      <c r="K129" s="29">
        <f t="shared" si="124"/>
        <v>174.65</v>
      </c>
      <c r="L129" s="29">
        <f t="shared" si="124"/>
        <v>192.9</v>
      </c>
      <c r="M129" s="29">
        <f t="shared" si="124"/>
        <v>209.16</v>
      </c>
      <c r="N129" s="29">
        <f t="shared" si="124"/>
        <v>226.29</v>
      </c>
      <c r="O129" s="29">
        <f t="shared" si="124"/>
        <v>277.41000000000003</v>
      </c>
      <c r="P129" s="29">
        <f t="shared" si="124"/>
        <v>328.35</v>
      </c>
      <c r="Q129" s="29">
        <f t="shared" si="124"/>
        <v>362.34</v>
      </c>
      <c r="R129" s="29">
        <f t="shared" si="124"/>
        <v>396.42</v>
      </c>
      <c r="S129" s="29">
        <f t="shared" si="124"/>
        <v>447.78</v>
      </c>
      <c r="T129" s="29">
        <f t="shared" si="124"/>
        <v>499.53</v>
      </c>
      <c r="U129" s="29">
        <f t="shared" si="124"/>
        <v>534.29999999999995</v>
      </c>
    </row>
    <row r="130" spans="1:21" x14ac:dyDescent="0.2">
      <c r="A130" s="1" t="s">
        <v>424</v>
      </c>
      <c r="B130" s="29">
        <f t="shared" ref="B130:U130" si="125">MIN(B115,B117,B119,B121,B123)</f>
        <v>53</v>
      </c>
      <c r="C130" s="29">
        <f t="shared" si="125"/>
        <v>60.7</v>
      </c>
      <c r="D130" s="29">
        <f t="shared" si="125"/>
        <v>69.599999999999994</v>
      </c>
      <c r="E130" s="29">
        <f t="shared" si="125"/>
        <v>78.5</v>
      </c>
      <c r="F130" s="29">
        <f t="shared" si="125"/>
        <v>87.2</v>
      </c>
      <c r="G130" s="29">
        <f t="shared" si="125"/>
        <v>95.8</v>
      </c>
      <c r="H130" s="29">
        <f t="shared" si="125"/>
        <v>104.3</v>
      </c>
      <c r="I130" s="29">
        <f t="shared" si="125"/>
        <v>112.8</v>
      </c>
      <c r="J130" s="29">
        <f t="shared" si="125"/>
        <v>137.9</v>
      </c>
      <c r="K130" s="29">
        <f t="shared" si="125"/>
        <v>162.6</v>
      </c>
      <c r="L130" s="29">
        <f t="shared" si="125"/>
        <v>178.9</v>
      </c>
      <c r="M130" s="29">
        <f t="shared" si="125"/>
        <v>198</v>
      </c>
      <c r="N130" s="29">
        <f t="shared" si="125"/>
        <v>210</v>
      </c>
      <c r="O130" s="29">
        <f t="shared" si="125"/>
        <v>256</v>
      </c>
      <c r="P130" s="29">
        <f t="shared" si="125"/>
        <v>303</v>
      </c>
      <c r="Q130" s="29">
        <f t="shared" si="125"/>
        <v>334</v>
      </c>
      <c r="R130" s="29">
        <f t="shared" si="125"/>
        <v>365</v>
      </c>
      <c r="S130" s="29">
        <f t="shared" si="125"/>
        <v>403.4</v>
      </c>
      <c r="T130" s="29">
        <f t="shared" si="125"/>
        <v>448</v>
      </c>
      <c r="U130" s="29">
        <f t="shared" si="125"/>
        <v>474</v>
      </c>
    </row>
    <row r="131" spans="1:21" x14ac:dyDescent="0.2">
      <c r="B131" s="173">
        <f t="shared" ref="B131:U131" si="126">(B129-B130)/B129</f>
        <v>9.3457943925233638E-3</v>
      </c>
      <c r="C131" s="173">
        <f t="shared" si="126"/>
        <v>0.103397341211226</v>
      </c>
      <c r="D131" s="173">
        <f t="shared" si="126"/>
        <v>8.336625839589111E-2</v>
      </c>
      <c r="E131" s="173">
        <f t="shared" si="126"/>
        <v>0.10080183276059562</v>
      </c>
      <c r="F131" s="173">
        <f t="shared" si="126"/>
        <v>7.8224101479915348E-2</v>
      </c>
      <c r="G131" s="173">
        <f t="shared" si="126"/>
        <v>9.7928436911487809E-2</v>
      </c>
      <c r="H131" s="173">
        <f t="shared" si="126"/>
        <v>0.10472103004291848</v>
      </c>
      <c r="I131" s="173">
        <f t="shared" si="126"/>
        <v>9.3975903614457859E-2</v>
      </c>
      <c r="J131" s="173">
        <f t="shared" si="126"/>
        <v>8.614976805831677E-2</v>
      </c>
      <c r="K131" s="173">
        <f t="shared" si="126"/>
        <v>6.8995133123389701E-2</v>
      </c>
      <c r="L131" s="173">
        <f t="shared" si="126"/>
        <v>7.257646448937273E-2</v>
      </c>
      <c r="M131" s="173">
        <f t="shared" si="126"/>
        <v>5.3356282271944909E-2</v>
      </c>
      <c r="N131" s="173">
        <f t="shared" si="126"/>
        <v>7.1987272968314961E-2</v>
      </c>
      <c r="O131" s="173">
        <f t="shared" si="126"/>
        <v>7.7178183915504212E-2</v>
      </c>
      <c r="P131" s="173">
        <f t="shared" si="126"/>
        <v>7.7204202832343596E-2</v>
      </c>
      <c r="Q131" s="173">
        <f t="shared" si="126"/>
        <v>7.8213832312192907E-2</v>
      </c>
      <c r="R131" s="173">
        <f t="shared" si="126"/>
        <v>7.9259371373795504E-2</v>
      </c>
      <c r="S131" s="173">
        <f t="shared" si="126"/>
        <v>9.9111170664165429E-2</v>
      </c>
      <c r="T131" s="173">
        <f t="shared" si="126"/>
        <v>0.10315696754949648</v>
      </c>
      <c r="U131" s="173">
        <f t="shared" si="126"/>
        <v>0.11285794497473323</v>
      </c>
    </row>
  </sheetData>
  <conditionalFormatting sqref="B54:U54">
    <cfRule type="cellIs" dxfId="30" priority="20" operator="greaterThan">
      <formula>$A$55</formula>
    </cfRule>
  </conditionalFormatting>
  <conditionalFormatting sqref="B70:U70">
    <cfRule type="cellIs" dxfId="29" priority="4" operator="greaterThan">
      <formula>$A$55</formula>
    </cfRule>
  </conditionalFormatting>
  <conditionalFormatting sqref="B74:U74">
    <cfRule type="cellIs" dxfId="28" priority="9" operator="greaterThan">
      <formula>$A$55</formula>
    </cfRule>
  </conditionalFormatting>
  <conditionalFormatting sqref="B89:U89">
    <cfRule type="cellIs" dxfId="27" priority="3" operator="greaterThan">
      <formula>$A$55</formula>
    </cfRule>
  </conditionalFormatting>
  <conditionalFormatting sqref="B93:U93">
    <cfRule type="cellIs" dxfId="26" priority="8" operator="greaterThan">
      <formula>$A$55</formula>
    </cfRule>
  </conditionalFormatting>
  <conditionalFormatting sqref="B108:U108">
    <cfRule type="cellIs" dxfId="25" priority="2" operator="greaterThan">
      <formula>$A$55</formula>
    </cfRule>
  </conditionalFormatting>
  <conditionalFormatting sqref="B112:U112">
    <cfRule type="cellIs" dxfId="24" priority="7" operator="greaterThan">
      <formula>$A$55</formula>
    </cfRule>
  </conditionalFormatting>
  <conditionalFormatting sqref="B127:U127">
    <cfRule type="cellIs" dxfId="23" priority="1" operator="greaterThan">
      <formula>$A$55</formula>
    </cfRule>
  </conditionalFormatting>
  <conditionalFormatting sqref="B131:U131">
    <cfRule type="cellIs" dxfId="22" priority="6" operator="greaterThan">
      <formula>$A$55</formula>
    </cfRule>
  </conditionalFormatting>
  <conditionalFormatting sqref="C50:U50 B50:B51">
    <cfRule type="cellIs" dxfId="21" priority="5" operator="greaterThan">
      <formula>$A$55</formula>
    </cfRule>
  </conditionalFormatting>
  <pageMargins left="0.7" right="0.7" top="0.78740157499999996" bottom="0.78740157499999996"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F06CC-0071-4B3A-850D-24278FAE3312}">
  <sheetPr>
    <tabColor rgb="FFFFFF00"/>
  </sheetPr>
  <dimension ref="A1:AC131"/>
  <sheetViews>
    <sheetView topLeftCell="A49" zoomScale="70" zoomScaleNormal="70" workbookViewId="0">
      <selection activeCell="G23" sqref="G23:G32"/>
    </sheetView>
  </sheetViews>
  <sheetFormatPr baseColWidth="10" defaultRowHeight="12.75" x14ac:dyDescent="0.2"/>
  <sheetData>
    <row r="1" spans="1:23" x14ac:dyDescent="0.2">
      <c r="A1" s="1" t="s">
        <v>5</v>
      </c>
      <c r="W1" s="1"/>
    </row>
    <row r="23" spans="1:28" x14ac:dyDescent="0.2">
      <c r="B23" s="1" t="s">
        <v>399</v>
      </c>
      <c r="C23" s="1" t="s">
        <v>343</v>
      </c>
      <c r="D23" s="1"/>
      <c r="E23" s="1" t="s">
        <v>635</v>
      </c>
      <c r="F23" s="1"/>
      <c r="G23" s="1" t="s">
        <v>646</v>
      </c>
      <c r="I23" s="2"/>
      <c r="J23" s="2"/>
    </row>
    <row r="24" spans="1:28" x14ac:dyDescent="0.2">
      <c r="A24" s="1" t="s">
        <v>410</v>
      </c>
      <c r="B24" s="2" t="s">
        <v>678</v>
      </c>
      <c r="C24" s="2" t="s">
        <v>679</v>
      </c>
      <c r="E24" s="2" t="s">
        <v>677</v>
      </c>
      <c r="G24" s="2" t="s">
        <v>692</v>
      </c>
      <c r="I24" t="s">
        <v>635</v>
      </c>
      <c r="K24" t="s">
        <v>399</v>
      </c>
      <c r="M24" t="s">
        <v>343</v>
      </c>
      <c r="X24" t="s">
        <v>342</v>
      </c>
      <c r="Y24" t="s">
        <v>343</v>
      </c>
      <c r="Z24" t="s">
        <v>605</v>
      </c>
      <c r="AA24" t="s">
        <v>604</v>
      </c>
      <c r="AB24" t="s">
        <v>603</v>
      </c>
    </row>
    <row r="25" spans="1:28" x14ac:dyDescent="0.2">
      <c r="A25" s="1"/>
      <c r="B25" s="2"/>
      <c r="C25" s="2"/>
      <c r="I25">
        <v>66</v>
      </c>
      <c r="K25">
        <v>65</v>
      </c>
      <c r="M25">
        <v>62</v>
      </c>
    </row>
    <row r="26" spans="1:28" x14ac:dyDescent="0.2">
      <c r="A26" s="1" t="s">
        <v>412</v>
      </c>
      <c r="B26" s="2" t="s">
        <v>681</v>
      </c>
      <c r="C26" s="2" t="s">
        <v>687</v>
      </c>
      <c r="D26" s="2"/>
      <c r="E26" s="2" t="s">
        <v>691</v>
      </c>
      <c r="F26" s="2"/>
      <c r="G26" s="2" t="s">
        <v>693</v>
      </c>
      <c r="I26" s="2" t="s">
        <v>635</v>
      </c>
      <c r="J26" s="2"/>
      <c r="K26" s="2" t="s">
        <v>399</v>
      </c>
      <c r="L26" s="2"/>
      <c r="M26" s="2" t="s">
        <v>343</v>
      </c>
      <c r="X26">
        <v>65</v>
      </c>
      <c r="Y26">
        <v>62</v>
      </c>
      <c r="Z26">
        <v>65</v>
      </c>
      <c r="AA26">
        <v>66</v>
      </c>
      <c r="AB26">
        <v>63</v>
      </c>
    </row>
    <row r="27" spans="1:28" x14ac:dyDescent="0.2">
      <c r="A27" s="1"/>
      <c r="B27" s="2"/>
      <c r="C27" s="2"/>
      <c r="I27">
        <v>107</v>
      </c>
      <c r="K27">
        <v>105</v>
      </c>
      <c r="M27">
        <v>100</v>
      </c>
    </row>
    <row r="28" spans="1:28" ht="12.6" customHeight="1" x14ac:dyDescent="0.2">
      <c r="A28" s="1" t="s">
        <v>413</v>
      </c>
      <c r="B28" s="2" t="s">
        <v>680</v>
      </c>
      <c r="C28" s="2" t="s">
        <v>686</v>
      </c>
      <c r="D28" s="2"/>
      <c r="E28" s="2" t="s">
        <v>690</v>
      </c>
      <c r="F28" s="2"/>
      <c r="G28" s="2" t="s">
        <v>694</v>
      </c>
      <c r="X28">
        <v>105</v>
      </c>
      <c r="Y28">
        <v>100</v>
      </c>
      <c r="Z28">
        <v>101</v>
      </c>
      <c r="AA28">
        <v>107</v>
      </c>
      <c r="AB28">
        <v>101</v>
      </c>
    </row>
    <row r="29" spans="1:28" ht="12.6" customHeight="1" x14ac:dyDescent="0.2">
      <c r="A29" s="1"/>
      <c r="B29" s="2"/>
      <c r="C29" s="2"/>
    </row>
    <row r="30" spans="1:28" x14ac:dyDescent="0.2">
      <c r="A30" s="1" t="s">
        <v>417</v>
      </c>
      <c r="B30" s="2" t="s">
        <v>682</v>
      </c>
      <c r="C30" s="2" t="s">
        <v>685</v>
      </c>
      <c r="D30" s="2"/>
      <c r="E30" s="2" t="s">
        <v>689</v>
      </c>
      <c r="F30" s="2"/>
      <c r="G30" s="2" t="s">
        <v>695</v>
      </c>
      <c r="H30" s="284"/>
      <c r="X30">
        <v>145</v>
      </c>
      <c r="Y30">
        <v>136</v>
      </c>
      <c r="Z30">
        <v>139</v>
      </c>
      <c r="AA30">
        <v>148</v>
      </c>
      <c r="AB30">
        <v>139</v>
      </c>
    </row>
    <row r="31" spans="1:28" x14ac:dyDescent="0.2">
      <c r="A31" s="1"/>
      <c r="B31" s="2"/>
      <c r="C31" s="2"/>
    </row>
    <row r="32" spans="1:28" x14ac:dyDescent="0.2">
      <c r="A32" s="1" t="s">
        <v>418</v>
      </c>
      <c r="B32" s="2" t="s">
        <v>683</v>
      </c>
      <c r="C32" s="2" t="s">
        <v>684</v>
      </c>
      <c r="D32" s="2"/>
      <c r="E32" s="2" t="s">
        <v>688</v>
      </c>
      <c r="F32" s="2"/>
      <c r="G32" s="2" t="s">
        <v>696</v>
      </c>
      <c r="X32">
        <v>185</v>
      </c>
      <c r="Y32">
        <v>173</v>
      </c>
      <c r="Z32">
        <v>177</v>
      </c>
      <c r="AA32">
        <v>189</v>
      </c>
      <c r="AB32">
        <v>177</v>
      </c>
    </row>
    <row r="33" spans="1:29" x14ac:dyDescent="0.2">
      <c r="X33">
        <v>225</v>
      </c>
      <c r="Y33">
        <v>210</v>
      </c>
      <c r="Z33">
        <v>215</v>
      </c>
      <c r="AA33">
        <v>230</v>
      </c>
      <c r="AB33">
        <v>215</v>
      </c>
    </row>
    <row r="34" spans="1:29" x14ac:dyDescent="0.2">
      <c r="B34" s="284"/>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row>
    <row r="35" spans="1:29" x14ac:dyDescent="0.2">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row>
    <row r="36" spans="1:29" x14ac:dyDescent="0.2">
      <c r="B36" s="30"/>
      <c r="C36" s="30"/>
      <c r="D36" s="30"/>
      <c r="E36" s="30"/>
      <c r="F36" s="30"/>
      <c r="G36" s="30"/>
      <c r="H36" s="30"/>
      <c r="I36" s="30"/>
      <c r="J36" s="30"/>
      <c r="K36" s="30"/>
    </row>
    <row r="37" spans="1:29" x14ac:dyDescent="0.2">
      <c r="A37" s="272" t="s">
        <v>410</v>
      </c>
      <c r="B37" s="273">
        <f>'Zehnder Charl. Tabelle'!C$3</f>
        <v>260</v>
      </c>
      <c r="C37" s="273">
        <f>'Zehnder Charl. Tabelle'!D$3</f>
        <v>300</v>
      </c>
      <c r="D37" s="273">
        <f>'Zehnder Charl. Tabelle'!E$3</f>
        <v>350</v>
      </c>
      <c r="E37" s="273">
        <f>'Zehnder Charl. Tabelle'!F$3</f>
        <v>400</v>
      </c>
      <c r="F37" s="273">
        <f>'Zehnder Charl. Tabelle'!G$3</f>
        <v>450</v>
      </c>
      <c r="G37" s="273">
        <f>'Zehnder Charl. Tabelle'!H$3</f>
        <v>500</v>
      </c>
      <c r="H37" s="273">
        <f>'Zehnder Charl. Tabelle'!I$3</f>
        <v>550</v>
      </c>
      <c r="I37" s="273">
        <f>'Zehnder Charl. Tabelle'!J$3</f>
        <v>600</v>
      </c>
      <c r="J37" s="273">
        <f>'Zehnder Charl. Tabelle'!K$3</f>
        <v>750</v>
      </c>
      <c r="K37" s="273">
        <f>'Zehnder Charl. Tabelle'!L$3</f>
        <v>900</v>
      </c>
      <c r="L37" s="273">
        <f>'Zehnder Charl. Tabelle'!M$3</f>
        <v>1000</v>
      </c>
      <c r="M37" s="273">
        <f>'Zehnder Charl. Tabelle'!N$3</f>
        <v>1100</v>
      </c>
      <c r="N37" s="273">
        <f>'Zehnder Charl. Tabelle'!O$3</f>
        <v>1200</v>
      </c>
      <c r="O37" s="273">
        <f>'Zehnder Charl. Tabelle'!P$3</f>
        <v>1500</v>
      </c>
      <c r="P37" s="273">
        <f>'Zehnder Charl. Tabelle'!Q$3</f>
        <v>1800</v>
      </c>
      <c r="Q37" s="273">
        <f>'Zehnder Charl. Tabelle'!R$3</f>
        <v>2000</v>
      </c>
      <c r="R37" s="273">
        <f>'Zehnder Charl. Tabelle'!S$3</f>
        <v>2200</v>
      </c>
      <c r="S37" s="273">
        <f>'Zehnder Charl. Tabelle'!T$3</f>
        <v>2500</v>
      </c>
      <c r="T37" s="273">
        <f>'Zehnder Charl. Tabelle'!U$3</f>
        <v>2800</v>
      </c>
      <c r="U37" s="273">
        <f>'Zehnder Charl. Tabelle'!V$3</f>
        <v>3000</v>
      </c>
    </row>
    <row r="38" spans="1:29" x14ac:dyDescent="0.2">
      <c r="A38" s="1" t="s">
        <v>399</v>
      </c>
      <c r="B38" s="51">
        <f>'Arbonia Tabelle'!E75</f>
        <v>0.47829599999999994</v>
      </c>
      <c r="C38" s="51">
        <f>'Arbonia Tabelle'!F75</f>
        <v>0.55771999999999999</v>
      </c>
      <c r="D38" s="51">
        <f>'Arbonia Tabelle'!G75</f>
        <v>0.64444400000000002</v>
      </c>
      <c r="E38" s="51">
        <f>'Arbonia Tabelle'!H75</f>
        <v>0.73116800000000004</v>
      </c>
      <c r="F38" s="51">
        <f>'Arbonia Tabelle'!I75</f>
        <v>0.7749680000000001</v>
      </c>
      <c r="G38" s="51">
        <f>'Arbonia Tabelle'!J75</f>
        <v>0.8616919999999999</v>
      </c>
      <c r="H38" s="51">
        <f>'Arbonia Tabelle'!K75</f>
        <v>0.94841599999999993</v>
      </c>
      <c r="I38" s="51">
        <f>'Arbonia Tabelle'!L75</f>
        <v>1.0351399999999999</v>
      </c>
      <c r="J38" s="51">
        <f>'Arbonia Tabelle'!M75</f>
        <v>1.2596879999999999</v>
      </c>
      <c r="K38" s="51">
        <f>'Arbonia Tabelle'!N75</f>
        <v>1.51986</v>
      </c>
      <c r="L38" s="51">
        <f>'Arbonia Tabelle'!O75</f>
        <v>1.6503839999999999</v>
      </c>
      <c r="M38" s="51">
        <f>'Arbonia Tabelle'!P75</f>
        <v>1.8238319999999999</v>
      </c>
      <c r="N38" s="51">
        <f>'Arbonia Tabelle'!Q75</f>
        <v>1.9543560000000002</v>
      </c>
      <c r="O38" s="287">
        <f>'Arbonia Tabelle'!R75</f>
        <v>2.439076</v>
      </c>
      <c r="P38" s="287">
        <f>'Arbonia Tabelle'!S75</f>
        <v>2.9164959999999995</v>
      </c>
      <c r="Q38" s="287">
        <f>'Arbonia Tabelle'!T75</f>
        <v>3.2204679999999994</v>
      </c>
      <c r="R38" s="287">
        <f>'Arbonia Tabelle'!U75</f>
        <v>3.5317400000000001</v>
      </c>
      <c r="S38" s="287">
        <f>'Arbonia Tabelle'!V75</f>
        <v>4.0091599999999996</v>
      </c>
      <c r="T38" s="287">
        <f>'Arbonia Tabelle'!W75</f>
        <v>4.4436559999999998</v>
      </c>
      <c r="U38" s="287">
        <f>'Arbonia Tabelle'!X75</f>
        <v>4.7978519999999998</v>
      </c>
    </row>
    <row r="39" spans="1:29" x14ac:dyDescent="0.2">
      <c r="A39" s="268" t="s">
        <v>421</v>
      </c>
      <c r="B39" s="279">
        <f xml:space="preserve">  0.0016*B37 + 0.0868</f>
        <v>0.50280000000000002</v>
      </c>
      <c r="C39" s="279">
        <f t="shared" ref="C39:U39" si="0" xml:space="preserve">  0.0016*C37 + 0.0868</f>
        <v>0.56680000000000008</v>
      </c>
      <c r="D39" s="279">
        <f t="shared" si="0"/>
        <v>0.64680000000000004</v>
      </c>
      <c r="E39" s="279">
        <f t="shared" si="0"/>
        <v>0.7268</v>
      </c>
      <c r="F39" s="279">
        <f t="shared" si="0"/>
        <v>0.80680000000000007</v>
      </c>
      <c r="G39" s="279">
        <f t="shared" si="0"/>
        <v>0.88680000000000003</v>
      </c>
      <c r="H39" s="279">
        <f t="shared" si="0"/>
        <v>0.96679999999999999</v>
      </c>
      <c r="I39" s="279">
        <f t="shared" si="0"/>
        <v>1.0468000000000002</v>
      </c>
      <c r="J39" s="279">
        <f t="shared" si="0"/>
        <v>1.2867999999999999</v>
      </c>
      <c r="K39" s="279">
        <f t="shared" si="0"/>
        <v>1.5268000000000002</v>
      </c>
      <c r="L39" s="279">
        <f t="shared" si="0"/>
        <v>1.6868000000000001</v>
      </c>
      <c r="M39" s="279">
        <f t="shared" si="0"/>
        <v>1.8468</v>
      </c>
      <c r="N39" s="279">
        <f t="shared" si="0"/>
        <v>2.0068000000000001</v>
      </c>
      <c r="O39" s="279">
        <f t="shared" si="0"/>
        <v>2.4868000000000001</v>
      </c>
      <c r="P39" s="279">
        <f t="shared" si="0"/>
        <v>2.9668000000000005</v>
      </c>
      <c r="Q39" s="279">
        <f t="shared" si="0"/>
        <v>3.2868000000000004</v>
      </c>
      <c r="R39" s="279">
        <f t="shared" si="0"/>
        <v>3.6068000000000002</v>
      </c>
      <c r="S39" s="279">
        <f t="shared" si="0"/>
        <v>4.0868000000000002</v>
      </c>
      <c r="T39" s="279">
        <f t="shared" si="0"/>
        <v>4.5668000000000006</v>
      </c>
      <c r="U39" s="279">
        <f t="shared" si="0"/>
        <v>4.8868</v>
      </c>
    </row>
    <row r="40" spans="1:29" ht="12.6" customHeight="1" x14ac:dyDescent="0.2">
      <c r="A40" s="269" t="s">
        <v>343</v>
      </c>
      <c r="B40" s="274">
        <f>'Zehnder Charl. Tabelle'!C85</f>
        <v>0.463696</v>
      </c>
      <c r="C40" s="287">
        <f>'Zehnder Charl. Tabelle'!D85</f>
        <v>0.492896</v>
      </c>
      <c r="D40" s="287">
        <f>'Zehnder Charl. Tabelle'!E85</f>
        <v>0.58692</v>
      </c>
      <c r="E40" s="287">
        <f>'Zehnder Charl. Tabelle'!F85</f>
        <v>0.65904399999999996</v>
      </c>
      <c r="F40" s="287">
        <f>'Zehnder Charl. Tabelle'!G85</f>
        <v>0.75306800000000007</v>
      </c>
      <c r="G40" s="287">
        <f>'Zehnder Charl. Tabelle'!H85</f>
        <v>0.80416799999999999</v>
      </c>
      <c r="H40" s="287">
        <f>'Zehnder Charl. Tabelle'!I85</f>
        <v>0.89089200000000002</v>
      </c>
      <c r="I40" s="287">
        <f>'Zehnder Charl. Tabelle'!J85</f>
        <v>0.9849159999999999</v>
      </c>
      <c r="J40" s="287">
        <f>'Zehnder Charl. Tabelle'!K85</f>
        <v>1.2094640000000001</v>
      </c>
      <c r="K40" s="287">
        <f>'Zehnder Charl. Tabelle'!L85</f>
        <v>1.4842360000000001</v>
      </c>
      <c r="L40" s="287">
        <f>'Zehnder Charl. Tabelle'!M85</f>
        <v>1.6220599999999998</v>
      </c>
      <c r="M40" s="287">
        <f>'Zehnder Charl. Tabelle'!N85</f>
        <v>1.8028080000000002</v>
      </c>
      <c r="N40" s="287">
        <f>'Zehnder Charl. Tabelle'!O85</f>
        <v>1.9406319999999999</v>
      </c>
      <c r="O40" s="274">
        <f>'Zehnder Charl. Tabelle'!P85</f>
        <v>2.4472519999999998</v>
      </c>
      <c r="P40" s="274">
        <f>'Zehnder Charl. Tabelle'!Q85</f>
        <v>2.9465720000000006</v>
      </c>
      <c r="Q40" s="274">
        <f>'Zehnder Charl. Tabelle'!R85</f>
        <v>3.2651439999999998</v>
      </c>
      <c r="R40" s="274">
        <f>'Zehnder Charl. Tabelle'!S85</f>
        <v>3.5910159999999998</v>
      </c>
      <c r="S40" s="274">
        <f>'Zehnder Charl. Tabelle'!T85</f>
        <v>4.0903359999999997</v>
      </c>
      <c r="T40" s="274">
        <f>'Zehnder Charl. Tabelle'!U85</f>
        <v>4.5896559999999997</v>
      </c>
      <c r="U40" s="274">
        <f>'Zehnder Charl. Tabelle'!V85</f>
        <v>4.9155280000000001</v>
      </c>
    </row>
    <row r="41" spans="1:29" x14ac:dyDescent="0.2">
      <c r="A41" s="268" t="s">
        <v>422</v>
      </c>
      <c r="B41" s="279">
        <f xml:space="preserve"> 0.0016*B37 + 0.0148</f>
        <v>0.43080000000000002</v>
      </c>
      <c r="C41" s="279">
        <f t="shared" ref="C41:U41" si="1" xml:space="preserve"> 0.0016*C37 + 0.0148</f>
        <v>0.49480000000000002</v>
      </c>
      <c r="D41" s="279">
        <f t="shared" si="1"/>
        <v>0.57480000000000009</v>
      </c>
      <c r="E41" s="279">
        <f t="shared" si="1"/>
        <v>0.65480000000000005</v>
      </c>
      <c r="F41" s="279">
        <f t="shared" si="1"/>
        <v>0.73480000000000012</v>
      </c>
      <c r="G41" s="279">
        <f t="shared" si="1"/>
        <v>0.81480000000000008</v>
      </c>
      <c r="H41" s="279">
        <f t="shared" si="1"/>
        <v>0.89480000000000004</v>
      </c>
      <c r="I41" s="279">
        <f t="shared" si="1"/>
        <v>0.97480000000000011</v>
      </c>
      <c r="J41" s="279">
        <f t="shared" si="1"/>
        <v>1.2147999999999999</v>
      </c>
      <c r="K41" s="279">
        <f t="shared" si="1"/>
        <v>1.4548000000000001</v>
      </c>
      <c r="L41" s="279">
        <f t="shared" si="1"/>
        <v>1.6148</v>
      </c>
      <c r="M41" s="279">
        <f t="shared" si="1"/>
        <v>1.7747999999999999</v>
      </c>
      <c r="N41" s="279">
        <f t="shared" si="1"/>
        <v>1.9348000000000001</v>
      </c>
      <c r="O41" s="279">
        <f t="shared" si="1"/>
        <v>2.4148000000000001</v>
      </c>
      <c r="P41" s="279">
        <f t="shared" si="1"/>
        <v>2.8948000000000005</v>
      </c>
      <c r="Q41" s="279">
        <f t="shared" si="1"/>
        <v>3.2148000000000003</v>
      </c>
      <c r="R41" s="279">
        <f t="shared" si="1"/>
        <v>3.5348000000000002</v>
      </c>
      <c r="S41" s="279">
        <f t="shared" si="1"/>
        <v>4.0148000000000001</v>
      </c>
      <c r="T41" s="279">
        <f t="shared" si="1"/>
        <v>4.4948000000000006</v>
      </c>
      <c r="U41" s="279">
        <f t="shared" si="1"/>
        <v>4.8148</v>
      </c>
    </row>
    <row r="42" spans="1:29" x14ac:dyDescent="0.2">
      <c r="A42" s="1" t="s">
        <v>441</v>
      </c>
      <c r="B42" s="29"/>
      <c r="C42" s="29"/>
      <c r="D42" s="29"/>
      <c r="E42" s="29"/>
      <c r="F42" s="29"/>
      <c r="G42" s="29"/>
      <c r="H42" s="29"/>
      <c r="I42" s="29"/>
      <c r="J42" s="29"/>
      <c r="K42" s="29"/>
      <c r="L42" s="29"/>
      <c r="M42" s="187"/>
      <c r="N42" s="29"/>
      <c r="O42" s="29"/>
      <c r="P42" s="29"/>
      <c r="Q42" s="29"/>
      <c r="R42" s="29"/>
      <c r="S42" s="29"/>
      <c r="T42" s="29"/>
      <c r="U42" s="29"/>
    </row>
    <row r="43" spans="1:29" x14ac:dyDescent="0.2">
      <c r="A43" s="1" t="s">
        <v>643</v>
      </c>
      <c r="B43" s="29"/>
      <c r="C43" s="29"/>
      <c r="D43" s="29"/>
      <c r="E43" s="29"/>
      <c r="F43" s="29"/>
      <c r="G43" s="29"/>
      <c r="H43" s="29"/>
      <c r="I43" s="29"/>
      <c r="J43" s="29"/>
      <c r="K43" s="29"/>
      <c r="L43" s="29"/>
      <c r="M43" s="29"/>
      <c r="N43" s="29"/>
      <c r="O43" s="29"/>
      <c r="P43" s="29"/>
      <c r="Q43" s="29"/>
      <c r="R43" s="29"/>
      <c r="S43" s="29"/>
      <c r="T43" s="29"/>
      <c r="U43" s="29"/>
    </row>
    <row r="44" spans="1:29" x14ac:dyDescent="0.2">
      <c r="A44" s="269" t="s">
        <v>635</v>
      </c>
      <c r="B44" s="270"/>
      <c r="C44" s="286">
        <f>'Cordivari Tabelle'!D75</f>
        <v>0.57231999999999994</v>
      </c>
      <c r="D44" s="270"/>
      <c r="E44" s="286">
        <f>'Cordivari Tabelle'!E75</f>
        <v>0.71744399999999997</v>
      </c>
      <c r="F44" s="270"/>
      <c r="G44" s="286">
        <f>'Cordivari Tabelle'!F75</f>
        <v>0.90549199999999996</v>
      </c>
      <c r="H44" s="286">
        <f>'Cordivari Tabelle'!G75</f>
        <v>1.0068159999999999</v>
      </c>
      <c r="I44" s="286">
        <f>'Cordivari Tabelle'!I75</f>
        <v>1.050616</v>
      </c>
      <c r="J44" s="286">
        <f>'Cordivari Tabelle'!M75</f>
        <v>1.3326880000000001</v>
      </c>
      <c r="K44" s="270"/>
      <c r="L44" s="286">
        <f>'Cordivari Tabelle'!S75</f>
        <v>1.7242599999999997</v>
      </c>
      <c r="M44" s="270"/>
      <c r="N44" s="286">
        <f>'Cordivari Tabelle'!T75</f>
        <v>2.0574319999999999</v>
      </c>
      <c r="O44" s="286">
        <f>'Cordivari Tabelle'!U75</f>
        <v>2.5786519999999999</v>
      </c>
      <c r="P44" s="286">
        <f>'Cordivari Tabelle'!W75</f>
        <v>3.0998720000000004</v>
      </c>
      <c r="Q44" s="286">
        <f>'Cordivari Tabelle'!Y75</f>
        <v>3.4403439999999996</v>
      </c>
      <c r="R44" s="286">
        <f>'Cordivari Tabelle'!AA75</f>
        <v>3.7735159999999999</v>
      </c>
      <c r="S44" s="286">
        <f>'Cordivari Tabelle'!AB75</f>
        <v>4.2518120000000001</v>
      </c>
      <c r="T44" s="270"/>
      <c r="U44" s="270"/>
    </row>
    <row r="45" spans="1:29" x14ac:dyDescent="0.2">
      <c r="A45" s="268" t="s">
        <v>644</v>
      </c>
      <c r="B45" s="271"/>
      <c r="C45" s="279">
        <f xml:space="preserve"> 0.0017*C37 + 0.0548</f>
        <v>0.56479999999999997</v>
      </c>
      <c r="D45" s="279">
        <f t="shared" ref="D45:S45" si="2" xml:space="preserve"> 0.0017*D37 + 0.0548</f>
        <v>0.64979999999999993</v>
      </c>
      <c r="E45" s="279">
        <f t="shared" si="2"/>
        <v>0.7347999999999999</v>
      </c>
      <c r="F45" s="279">
        <f t="shared" si="2"/>
        <v>0.81979999999999986</v>
      </c>
      <c r="G45" s="279">
        <f t="shared" si="2"/>
        <v>0.90479999999999994</v>
      </c>
      <c r="H45" s="279">
        <f t="shared" si="2"/>
        <v>0.9897999999999999</v>
      </c>
      <c r="I45" s="279">
        <f t="shared" si="2"/>
        <v>1.0748</v>
      </c>
      <c r="J45" s="279">
        <f t="shared" si="2"/>
        <v>1.3297999999999999</v>
      </c>
      <c r="K45" s="279">
        <f t="shared" si="2"/>
        <v>1.5847999999999998</v>
      </c>
      <c r="L45" s="279">
        <f t="shared" si="2"/>
        <v>1.7547999999999999</v>
      </c>
      <c r="M45" s="279">
        <f t="shared" si="2"/>
        <v>1.9247999999999998</v>
      </c>
      <c r="N45" s="279">
        <f t="shared" si="2"/>
        <v>2.0948000000000002</v>
      </c>
      <c r="O45" s="279">
        <f t="shared" si="2"/>
        <v>2.6048</v>
      </c>
      <c r="P45" s="279">
        <f t="shared" si="2"/>
        <v>3.1147999999999998</v>
      </c>
      <c r="Q45" s="279">
        <f t="shared" si="2"/>
        <v>3.4548000000000001</v>
      </c>
      <c r="R45" s="279">
        <f t="shared" si="2"/>
        <v>3.7948</v>
      </c>
      <c r="S45" s="279">
        <f t="shared" si="2"/>
        <v>4.3048000000000002</v>
      </c>
      <c r="T45" s="271"/>
      <c r="U45" s="271"/>
    </row>
    <row r="46" spans="1:29" x14ac:dyDescent="0.2">
      <c r="A46" s="1" t="s">
        <v>634</v>
      </c>
      <c r="B46" s="29"/>
      <c r="C46" s="29"/>
      <c r="D46" s="29"/>
      <c r="E46" s="29"/>
      <c r="F46" s="29"/>
      <c r="G46" s="29"/>
      <c r="H46" s="29"/>
      <c r="I46" s="29"/>
      <c r="J46" s="29"/>
      <c r="K46" s="29"/>
      <c r="L46" s="29"/>
      <c r="M46" s="29"/>
      <c r="N46" s="29"/>
      <c r="O46" s="29"/>
      <c r="P46" s="29"/>
      <c r="Q46" s="29"/>
      <c r="R46" s="29"/>
      <c r="S46" s="29"/>
      <c r="T46" s="29"/>
      <c r="U46" s="29"/>
    </row>
    <row r="47" spans="1:29" x14ac:dyDescent="0.2">
      <c r="A47" s="1" t="s">
        <v>645</v>
      </c>
      <c r="B47" s="29"/>
      <c r="C47" s="29"/>
      <c r="D47" s="29"/>
      <c r="E47" s="29"/>
      <c r="F47" s="29"/>
      <c r="G47" s="29"/>
      <c r="H47" s="29"/>
      <c r="I47" s="29"/>
      <c r="J47" s="29"/>
      <c r="K47" s="29"/>
      <c r="L47" s="29"/>
      <c r="M47" s="29"/>
      <c r="N47" s="29"/>
      <c r="O47" s="29"/>
      <c r="P47" s="29"/>
      <c r="Q47" s="29"/>
      <c r="R47" s="29"/>
      <c r="S47" s="29"/>
      <c r="T47" s="29"/>
      <c r="U47" s="29"/>
    </row>
    <row r="48" spans="1:29" x14ac:dyDescent="0.2">
      <c r="A48" s="269" t="s">
        <v>646</v>
      </c>
      <c r="B48" s="274">
        <f>AVERAGE(B38,B40,B42,B44,B46)</f>
        <v>0.47099599999999997</v>
      </c>
      <c r="C48" s="274">
        <f t="shared" ref="C48:U48" si="3">AVERAGE(C38,C40,C42,C44,C46)</f>
        <v>0.54097866666666661</v>
      </c>
      <c r="D48" s="274">
        <f t="shared" si="3"/>
        <v>0.61568200000000006</v>
      </c>
      <c r="E48" s="274">
        <f t="shared" si="3"/>
        <v>0.70255199999999995</v>
      </c>
      <c r="F48" s="274">
        <f t="shared" si="3"/>
        <v>0.76401800000000009</v>
      </c>
      <c r="G48" s="274">
        <f t="shared" si="3"/>
        <v>0.8571173333333334</v>
      </c>
      <c r="H48" s="274">
        <f t="shared" si="3"/>
        <v>0.94870799999999988</v>
      </c>
      <c r="I48" s="274">
        <f t="shared" si="3"/>
        <v>1.0235573333333334</v>
      </c>
      <c r="J48" s="274">
        <f t="shared" si="3"/>
        <v>1.2672800000000002</v>
      </c>
      <c r="K48" s="274">
        <f t="shared" si="3"/>
        <v>1.502048</v>
      </c>
      <c r="L48" s="274">
        <f t="shared" si="3"/>
        <v>1.6655679999999997</v>
      </c>
      <c r="M48" s="274">
        <f t="shared" si="3"/>
        <v>1.81332</v>
      </c>
      <c r="N48" s="274">
        <f t="shared" si="3"/>
        <v>1.98414</v>
      </c>
      <c r="O48" s="274">
        <f t="shared" si="3"/>
        <v>2.4883266666666666</v>
      </c>
      <c r="P48" s="274">
        <f t="shared" si="3"/>
        <v>2.9876466666666666</v>
      </c>
      <c r="Q48" s="274">
        <f t="shared" si="3"/>
        <v>3.3086519999999999</v>
      </c>
      <c r="R48" s="274">
        <f t="shared" si="3"/>
        <v>3.6320906666666666</v>
      </c>
      <c r="S48" s="274">
        <f t="shared" si="3"/>
        <v>4.1171026666666668</v>
      </c>
      <c r="T48" s="274">
        <f t="shared" si="3"/>
        <v>4.5166559999999993</v>
      </c>
      <c r="U48" s="274">
        <f t="shared" si="3"/>
        <v>4.8566900000000004</v>
      </c>
    </row>
    <row r="49" spans="1:21" s="1" customFormat="1" x14ac:dyDescent="0.2">
      <c r="A49" s="268" t="s">
        <v>647</v>
      </c>
      <c r="B49" s="288">
        <f>0.0016*B37 + 0.0569</f>
        <v>0.47290000000000004</v>
      </c>
      <c r="C49" s="288">
        <f t="shared" ref="C49:U49" si="4">0.0016*C37 + 0.0569</f>
        <v>0.53690000000000004</v>
      </c>
      <c r="D49" s="288">
        <f t="shared" si="4"/>
        <v>0.6169</v>
      </c>
      <c r="E49" s="288">
        <f t="shared" si="4"/>
        <v>0.69689999999999996</v>
      </c>
      <c r="F49" s="288">
        <f t="shared" si="4"/>
        <v>0.77690000000000003</v>
      </c>
      <c r="G49" s="288">
        <f t="shared" si="4"/>
        <v>0.8569</v>
      </c>
      <c r="H49" s="288">
        <f t="shared" si="4"/>
        <v>0.93689999999999996</v>
      </c>
      <c r="I49" s="288">
        <f t="shared" si="4"/>
        <v>1.0169000000000001</v>
      </c>
      <c r="J49" s="288">
        <f t="shared" si="4"/>
        <v>1.2568999999999999</v>
      </c>
      <c r="K49" s="288">
        <f t="shared" si="4"/>
        <v>1.4969000000000001</v>
      </c>
      <c r="L49" s="288">
        <f t="shared" si="4"/>
        <v>1.6569</v>
      </c>
      <c r="M49" s="288">
        <f t="shared" si="4"/>
        <v>1.8169</v>
      </c>
      <c r="N49" s="288">
        <f t="shared" si="4"/>
        <v>1.9769000000000001</v>
      </c>
      <c r="O49" s="288">
        <f t="shared" si="4"/>
        <v>2.4569000000000001</v>
      </c>
      <c r="P49" s="288">
        <f t="shared" si="4"/>
        <v>2.9369000000000005</v>
      </c>
      <c r="Q49" s="288">
        <f t="shared" si="4"/>
        <v>3.2569000000000004</v>
      </c>
      <c r="R49" s="288">
        <f t="shared" si="4"/>
        <v>3.5769000000000002</v>
      </c>
      <c r="S49" s="288">
        <f t="shared" si="4"/>
        <v>4.0568999999999997</v>
      </c>
      <c r="T49" s="288">
        <f t="shared" si="4"/>
        <v>4.5369000000000002</v>
      </c>
      <c r="U49" s="288">
        <f t="shared" si="4"/>
        <v>4.8568999999999996</v>
      </c>
    </row>
    <row r="50" spans="1:21" x14ac:dyDescent="0.2">
      <c r="B50" s="267">
        <f>(B49-B48)/B48</f>
        <v>4.0424971761969788E-3</v>
      </c>
      <c r="C50" s="267">
        <f t="shared" ref="C50:U50" si="5">(C49-C48)/C48</f>
        <v>-7.5394223801799288E-3</v>
      </c>
      <c r="D50" s="267">
        <f t="shared" si="5"/>
        <v>1.9782939894295126E-3</v>
      </c>
      <c r="E50" s="267">
        <f t="shared" si="5"/>
        <v>-8.0449561028934375E-3</v>
      </c>
      <c r="F50" s="267">
        <f t="shared" si="5"/>
        <v>1.6860859299126393E-2</v>
      </c>
      <c r="G50" s="267">
        <f t="shared" si="5"/>
        <v>-2.5356310610146252E-4</v>
      </c>
      <c r="H50" s="267">
        <f t="shared" si="5"/>
        <v>-1.2446400789283879E-2</v>
      </c>
      <c r="I50" s="267">
        <f t="shared" si="5"/>
        <v>-6.504113757509717E-3</v>
      </c>
      <c r="J50" s="267">
        <f t="shared" si="5"/>
        <v>-8.190770784672903E-3</v>
      </c>
      <c r="K50" s="267">
        <f t="shared" si="5"/>
        <v>-3.4273205649885557E-3</v>
      </c>
      <c r="L50" s="267">
        <f t="shared" si="5"/>
        <v>-5.2042306288303313E-3</v>
      </c>
      <c r="M50" s="267">
        <f t="shared" si="5"/>
        <v>1.9742792226412971E-3</v>
      </c>
      <c r="N50" s="267">
        <f t="shared" si="5"/>
        <v>-3.6489360629793832E-3</v>
      </c>
      <c r="O50" s="267">
        <f t="shared" si="5"/>
        <v>-1.2629638659447108E-2</v>
      </c>
      <c r="P50" s="267">
        <f t="shared" si="5"/>
        <v>-1.6985498062019624E-2</v>
      </c>
      <c r="Q50" s="267">
        <f t="shared" si="5"/>
        <v>-1.5641415295413231E-2</v>
      </c>
      <c r="R50" s="267">
        <f t="shared" si="5"/>
        <v>-1.5195288810705089E-2</v>
      </c>
      <c r="S50" s="267">
        <f t="shared" si="5"/>
        <v>-1.4622580863500547E-2</v>
      </c>
      <c r="T50" s="267">
        <f t="shared" si="5"/>
        <v>4.4820770056432941E-3</v>
      </c>
      <c r="U50" s="267">
        <f t="shared" si="5"/>
        <v>4.3239325548708133E-5</v>
      </c>
    </row>
    <row r="51" spans="1:21" x14ac:dyDescent="0.2">
      <c r="B51" s="267"/>
    </row>
    <row r="52" spans="1:21" x14ac:dyDescent="0.2">
      <c r="A52" s="1" t="s">
        <v>423</v>
      </c>
      <c r="B52" s="29">
        <f t="shared" ref="B52:U52" si="6">MAX(B38,B40,B42,B44,B46)</f>
        <v>0.47829599999999994</v>
      </c>
      <c r="C52" s="29">
        <f t="shared" si="6"/>
        <v>0.57231999999999994</v>
      </c>
      <c r="D52" s="29">
        <f t="shared" si="6"/>
        <v>0.64444400000000002</v>
      </c>
      <c r="E52" s="29">
        <f t="shared" si="6"/>
        <v>0.73116800000000004</v>
      </c>
      <c r="F52" s="29">
        <f t="shared" si="6"/>
        <v>0.7749680000000001</v>
      </c>
      <c r="G52" s="29">
        <f t="shared" si="6"/>
        <v>0.90549199999999996</v>
      </c>
      <c r="H52" s="29">
        <f t="shared" si="6"/>
        <v>1.0068159999999999</v>
      </c>
      <c r="I52" s="29">
        <f t="shared" si="6"/>
        <v>1.050616</v>
      </c>
      <c r="J52" s="29">
        <f t="shared" si="6"/>
        <v>1.3326880000000001</v>
      </c>
      <c r="K52" s="29">
        <f t="shared" si="6"/>
        <v>1.51986</v>
      </c>
      <c r="L52" s="29">
        <f t="shared" si="6"/>
        <v>1.7242599999999997</v>
      </c>
      <c r="M52" s="29">
        <f t="shared" si="6"/>
        <v>1.8238319999999999</v>
      </c>
      <c r="N52" s="29">
        <f t="shared" si="6"/>
        <v>2.0574319999999999</v>
      </c>
      <c r="O52" s="29">
        <f t="shared" si="6"/>
        <v>2.5786519999999999</v>
      </c>
      <c r="P52" s="29">
        <f t="shared" si="6"/>
        <v>3.0998720000000004</v>
      </c>
      <c r="Q52" s="29">
        <f t="shared" si="6"/>
        <v>3.4403439999999996</v>
      </c>
      <c r="R52" s="29">
        <f t="shared" si="6"/>
        <v>3.7735159999999999</v>
      </c>
      <c r="S52" s="29">
        <f t="shared" si="6"/>
        <v>4.2518120000000001</v>
      </c>
      <c r="T52" s="29">
        <f t="shared" si="6"/>
        <v>4.5896559999999997</v>
      </c>
      <c r="U52" s="29">
        <f t="shared" si="6"/>
        <v>4.9155280000000001</v>
      </c>
    </row>
    <row r="53" spans="1:21" x14ac:dyDescent="0.2">
      <c r="A53" s="1" t="s">
        <v>424</v>
      </c>
      <c r="B53" s="29">
        <f t="shared" ref="B53:U53" si="7">MIN(B38,B40,B42,B44,B46)</f>
        <v>0.463696</v>
      </c>
      <c r="C53" s="29">
        <f t="shared" si="7"/>
        <v>0.492896</v>
      </c>
      <c r="D53" s="29">
        <f t="shared" si="7"/>
        <v>0.58692</v>
      </c>
      <c r="E53" s="29">
        <f t="shared" si="7"/>
        <v>0.65904399999999996</v>
      </c>
      <c r="F53" s="29">
        <f t="shared" si="7"/>
        <v>0.75306800000000007</v>
      </c>
      <c r="G53" s="29">
        <f t="shared" si="7"/>
        <v>0.80416799999999999</v>
      </c>
      <c r="H53" s="29">
        <f t="shared" si="7"/>
        <v>0.89089200000000002</v>
      </c>
      <c r="I53" s="29">
        <f t="shared" si="7"/>
        <v>0.9849159999999999</v>
      </c>
      <c r="J53" s="29">
        <f t="shared" si="7"/>
        <v>1.2094640000000001</v>
      </c>
      <c r="K53" s="29">
        <f t="shared" si="7"/>
        <v>1.4842360000000001</v>
      </c>
      <c r="L53" s="29">
        <f t="shared" si="7"/>
        <v>1.6220599999999998</v>
      </c>
      <c r="M53" s="29">
        <f t="shared" si="7"/>
        <v>1.8028080000000002</v>
      </c>
      <c r="N53" s="29">
        <f t="shared" si="7"/>
        <v>1.9406319999999999</v>
      </c>
      <c r="O53" s="29">
        <f t="shared" si="7"/>
        <v>2.439076</v>
      </c>
      <c r="P53" s="29">
        <f t="shared" si="7"/>
        <v>2.9164959999999995</v>
      </c>
      <c r="Q53" s="29">
        <f t="shared" si="7"/>
        <v>3.2204679999999994</v>
      </c>
      <c r="R53" s="29">
        <f t="shared" si="7"/>
        <v>3.5317400000000001</v>
      </c>
      <c r="S53" s="29">
        <f t="shared" si="7"/>
        <v>4.0091599999999996</v>
      </c>
      <c r="T53" s="29">
        <f t="shared" si="7"/>
        <v>4.4436559999999998</v>
      </c>
      <c r="U53" s="29">
        <f t="shared" si="7"/>
        <v>4.7978519999999998</v>
      </c>
    </row>
    <row r="54" spans="1:21" x14ac:dyDescent="0.2">
      <c r="B54" s="267">
        <f t="shared" ref="B54:U54" si="8">(B52-B53)/B52</f>
        <v>3.0525030525030417E-2</v>
      </c>
      <c r="C54" s="267">
        <f t="shared" si="8"/>
        <v>0.13877551020408155</v>
      </c>
      <c r="D54" s="267">
        <f t="shared" si="8"/>
        <v>8.9261440869959255E-2</v>
      </c>
      <c r="E54" s="267">
        <f t="shared" si="8"/>
        <v>9.8642172523961763E-2</v>
      </c>
      <c r="F54" s="267">
        <f t="shared" si="8"/>
        <v>2.8259231348907347E-2</v>
      </c>
      <c r="G54" s="267">
        <f t="shared" si="8"/>
        <v>0.11189938729442113</v>
      </c>
      <c r="H54" s="267">
        <f t="shared" si="8"/>
        <v>0.11513921113689088</v>
      </c>
      <c r="I54" s="267">
        <f t="shared" si="8"/>
        <v>6.2534741523068454E-2</v>
      </c>
      <c r="J54" s="267">
        <f t="shared" si="8"/>
        <v>9.2462751971954416E-2</v>
      </c>
      <c r="K54" s="267">
        <f t="shared" si="8"/>
        <v>2.3439000960614714E-2</v>
      </c>
      <c r="L54" s="267">
        <f t="shared" si="8"/>
        <v>5.9271803556308136E-2</v>
      </c>
      <c r="M54" s="267">
        <f t="shared" si="8"/>
        <v>1.1527377521613674E-2</v>
      </c>
      <c r="N54" s="267">
        <f t="shared" si="8"/>
        <v>5.676979846721545E-2</v>
      </c>
      <c r="O54" s="267">
        <f t="shared" si="8"/>
        <v>5.4127505378779271E-2</v>
      </c>
      <c r="P54" s="267">
        <f t="shared" si="8"/>
        <v>5.9155990957046239E-2</v>
      </c>
      <c r="Q54" s="267">
        <f t="shared" si="8"/>
        <v>6.3911050755389637E-2</v>
      </c>
      <c r="R54" s="267">
        <f t="shared" si="8"/>
        <v>6.4071809951249656E-2</v>
      </c>
      <c r="S54" s="267">
        <f t="shared" si="8"/>
        <v>5.7070256163725144E-2</v>
      </c>
      <c r="T54" s="267">
        <f t="shared" si="8"/>
        <v>3.1810662934215528E-2</v>
      </c>
      <c r="U54" s="267">
        <f t="shared" si="8"/>
        <v>2.3939645954615726E-2</v>
      </c>
    </row>
    <row r="55" spans="1:21" x14ac:dyDescent="0.2">
      <c r="A55" s="173">
        <v>0.1</v>
      </c>
    </row>
    <row r="57" spans="1:21" x14ac:dyDescent="0.2">
      <c r="A57" s="272" t="s">
        <v>412</v>
      </c>
      <c r="B57" s="273">
        <f>'Zehnder Charl. Tabelle'!C$3</f>
        <v>260</v>
      </c>
      <c r="C57" s="273">
        <f>'Zehnder Charl. Tabelle'!D$3</f>
        <v>300</v>
      </c>
      <c r="D57" s="273">
        <f>'Zehnder Charl. Tabelle'!E$3</f>
        <v>350</v>
      </c>
      <c r="E57" s="273">
        <f>'Zehnder Charl. Tabelle'!F$3</f>
        <v>400</v>
      </c>
      <c r="F57" s="273">
        <f>'Zehnder Charl. Tabelle'!G$3</f>
        <v>450</v>
      </c>
      <c r="G57" s="273">
        <f>'Zehnder Charl. Tabelle'!H$3</f>
        <v>500</v>
      </c>
      <c r="H57" s="273">
        <f>'Zehnder Charl. Tabelle'!I$3</f>
        <v>550</v>
      </c>
      <c r="I57" s="273">
        <f>'Zehnder Charl. Tabelle'!J$3</f>
        <v>600</v>
      </c>
      <c r="J57" s="273">
        <f>'Zehnder Charl. Tabelle'!K$3</f>
        <v>750</v>
      </c>
      <c r="K57" s="273">
        <f>'Zehnder Charl. Tabelle'!L$3</f>
        <v>900</v>
      </c>
      <c r="L57" s="273">
        <f>'Zehnder Charl. Tabelle'!M$3</f>
        <v>1000</v>
      </c>
      <c r="M57" s="273">
        <f>'Zehnder Charl. Tabelle'!N$3</f>
        <v>1100</v>
      </c>
      <c r="N57" s="273">
        <f>'Zehnder Charl. Tabelle'!O$3</f>
        <v>1200</v>
      </c>
      <c r="O57" s="273">
        <f>'Zehnder Charl. Tabelle'!P$3</f>
        <v>1500</v>
      </c>
      <c r="P57" s="273">
        <f>'Zehnder Charl. Tabelle'!Q$3</f>
        <v>1800</v>
      </c>
      <c r="Q57" s="273">
        <f>'Zehnder Charl. Tabelle'!R$3</f>
        <v>2000</v>
      </c>
      <c r="R57" s="273">
        <f>'Zehnder Charl. Tabelle'!S$3</f>
        <v>2200</v>
      </c>
      <c r="S57" s="273">
        <f>'Zehnder Charl. Tabelle'!T$3</f>
        <v>2500</v>
      </c>
      <c r="T57" s="273">
        <f>'Zehnder Charl. Tabelle'!U$3</f>
        <v>2800</v>
      </c>
      <c r="U57" s="273">
        <f>'Zehnder Charl. Tabelle'!V$3</f>
        <v>3000</v>
      </c>
    </row>
    <row r="58" spans="1:21" x14ac:dyDescent="0.2">
      <c r="A58" s="1" t="s">
        <v>399</v>
      </c>
      <c r="B58" s="51">
        <f>'Arbonia Tabelle'!E76</f>
        <v>0.76036800000000004</v>
      </c>
      <c r="C58" s="51">
        <f>'Arbonia Tabelle'!F76</f>
        <v>0.85439199999999982</v>
      </c>
      <c r="D58" s="51">
        <f>'Arbonia Tabelle'!G76</f>
        <v>0.96301599999999998</v>
      </c>
      <c r="E58" s="51">
        <f>'Arbonia Tabelle'!H76</f>
        <v>1.0716399999999999</v>
      </c>
      <c r="F58" s="51">
        <f>'Arbonia Tabelle'!I76</f>
        <v>1.180264</v>
      </c>
      <c r="G58" s="51">
        <f>'Arbonia Tabelle'!J76</f>
        <v>1.288888</v>
      </c>
      <c r="H58" s="51">
        <f>'Arbonia Tabelle'!K76</f>
        <v>1.4477359999999999</v>
      </c>
      <c r="I58" s="51">
        <f>'Arbonia Tabelle'!L76</f>
        <v>1.5563599999999997</v>
      </c>
      <c r="J58" s="51">
        <f>'Arbonia Tabelle'!M76</f>
        <v>1.8822319999999999</v>
      </c>
      <c r="K58" s="51">
        <f>'Arbonia Tabelle'!N76</f>
        <v>2.2510279999999998</v>
      </c>
      <c r="L58" s="51">
        <f>'Arbonia Tabelle'!O76</f>
        <v>2.4755760000000002</v>
      </c>
      <c r="M58" s="51">
        <f>'Arbonia Tabelle'!P76</f>
        <v>2.7357480000000001</v>
      </c>
      <c r="N58" s="51">
        <f>'Arbonia Tabelle'!Q76</f>
        <v>2.9529959999999997</v>
      </c>
      <c r="O58" s="287">
        <f>'Arbonia Tabelle'!R76</f>
        <v>3.6549640000000001</v>
      </c>
      <c r="P58" s="287">
        <f>'Arbonia Tabelle'!S76</f>
        <v>4.3496319999999997</v>
      </c>
      <c r="Q58" s="287">
        <f>'Arbonia Tabelle'!T76</f>
        <v>4.8343519999999991</v>
      </c>
      <c r="R58" s="287">
        <f>'Arbonia Tabelle'!U76</f>
        <v>5.2688480000000002</v>
      </c>
      <c r="S58" s="287">
        <f>'Arbonia Tabelle'!V76</f>
        <v>5.9708159999999992</v>
      </c>
      <c r="T58" s="287">
        <f>'Arbonia Tabelle'!W76</f>
        <v>6.7084080000000004</v>
      </c>
      <c r="U58" s="287">
        <f>'Arbonia Tabelle'!X76</f>
        <v>7.1502039999999996</v>
      </c>
    </row>
    <row r="59" spans="1:21" x14ac:dyDescent="0.2">
      <c r="A59" s="268" t="s">
        <v>421</v>
      </c>
      <c r="B59" s="279">
        <f xml:space="preserve">  0.0023*B57 + 0.1434</f>
        <v>0.74139999999999995</v>
      </c>
      <c r="C59" s="279">
        <f t="shared" ref="C59:U59" si="9" xml:space="preserve">  0.0023*C57 + 0.1434</f>
        <v>0.83339999999999992</v>
      </c>
      <c r="D59" s="279">
        <f t="shared" si="9"/>
        <v>0.94839999999999991</v>
      </c>
      <c r="E59" s="279">
        <f t="shared" si="9"/>
        <v>1.0633999999999999</v>
      </c>
      <c r="F59" s="279">
        <f t="shared" si="9"/>
        <v>1.1783999999999999</v>
      </c>
      <c r="G59" s="279">
        <f t="shared" si="9"/>
        <v>1.2933999999999999</v>
      </c>
      <c r="H59" s="279">
        <f t="shared" si="9"/>
        <v>1.4083999999999999</v>
      </c>
      <c r="I59" s="279">
        <f t="shared" si="9"/>
        <v>1.5233999999999999</v>
      </c>
      <c r="J59" s="279">
        <f t="shared" si="9"/>
        <v>1.8683999999999998</v>
      </c>
      <c r="K59" s="279">
        <f t="shared" si="9"/>
        <v>2.2134</v>
      </c>
      <c r="L59" s="279">
        <f t="shared" si="9"/>
        <v>2.4434</v>
      </c>
      <c r="M59" s="279">
        <f t="shared" si="9"/>
        <v>2.6734</v>
      </c>
      <c r="N59" s="279">
        <f t="shared" si="9"/>
        <v>2.9034</v>
      </c>
      <c r="O59" s="279">
        <f t="shared" si="9"/>
        <v>3.5933999999999999</v>
      </c>
      <c r="P59" s="279">
        <f t="shared" si="9"/>
        <v>4.2833999999999994</v>
      </c>
      <c r="Q59" s="279">
        <f t="shared" si="9"/>
        <v>4.7433999999999994</v>
      </c>
      <c r="R59" s="279">
        <f t="shared" si="9"/>
        <v>5.2033999999999994</v>
      </c>
      <c r="S59" s="279">
        <f t="shared" si="9"/>
        <v>5.8933999999999997</v>
      </c>
      <c r="T59" s="279">
        <f t="shared" si="9"/>
        <v>6.5833999999999993</v>
      </c>
      <c r="U59" s="279">
        <f t="shared" si="9"/>
        <v>7.0433999999999992</v>
      </c>
    </row>
    <row r="60" spans="1:21" ht="12.6" customHeight="1" x14ac:dyDescent="0.2">
      <c r="A60" s="269" t="s">
        <v>343</v>
      </c>
      <c r="B60" s="287">
        <f>'Zehnder Charl. Tabelle'!C86</f>
        <v>0.66634400000000005</v>
      </c>
      <c r="C60" s="287">
        <f>'Zehnder Charl. Tabelle'!D86</f>
        <v>0.76036800000000004</v>
      </c>
      <c r="D60" s="287">
        <f>'Zehnder Charl. Tabelle'!E86</f>
        <v>0.87629199999999985</v>
      </c>
      <c r="E60" s="287">
        <f>'Zehnder Charl. Tabelle'!F86</f>
        <v>0.99221599999999988</v>
      </c>
      <c r="F60" s="287">
        <f>'Zehnder Charl. Tabelle'!G86</f>
        <v>1.1081399999999999</v>
      </c>
      <c r="G60" s="287">
        <f>'Zehnder Charl. Tabelle'!H86</f>
        <v>1.2240639999999998</v>
      </c>
      <c r="H60" s="287">
        <f>'Zehnder Charl. Tabelle'!I86</f>
        <v>1.339988</v>
      </c>
      <c r="I60" s="287">
        <f>'Zehnder Charl. Tabelle'!J86</f>
        <v>1.4988360000000001</v>
      </c>
      <c r="J60" s="287">
        <f>'Zehnder Charl. Tabelle'!K86</f>
        <v>1.8393079999999999</v>
      </c>
      <c r="K60" s="287">
        <f>'Zehnder Charl. Tabelle'!L86</f>
        <v>2.2227040000000002</v>
      </c>
      <c r="L60" s="287">
        <f>'Zehnder Charl. Tabelle'!M86</f>
        <v>2.4545519999999996</v>
      </c>
      <c r="M60" s="287">
        <f>'Zehnder Charl. Tabelle'!N86</f>
        <v>2.6863999999999999</v>
      </c>
      <c r="N60" s="287">
        <f>'Zehnder Charl. Tabelle'!O86</f>
        <v>2.9538720000000001</v>
      </c>
      <c r="O60" s="274">
        <f>'Zehnder Charl. Tabelle'!P86</f>
        <v>3.6850400000000003</v>
      </c>
      <c r="P60" s="274">
        <f>'Zehnder Charl. Tabelle'!Q86</f>
        <v>4.4162080000000001</v>
      </c>
      <c r="Q60" s="274">
        <f>'Zehnder Charl. Tabelle'!R86</f>
        <v>4.9155280000000001</v>
      </c>
      <c r="R60" s="274">
        <f>'Zehnder Charl. Tabelle'!S86</f>
        <v>5.3719239999999999</v>
      </c>
      <c r="S60" s="274">
        <f>'Zehnder Charl. Tabelle'!T86</f>
        <v>6.1030919999999993</v>
      </c>
      <c r="T60" s="274">
        <f>'Zehnder Charl. Tabelle'!U86</f>
        <v>6.8342599999999996</v>
      </c>
      <c r="U60" s="274">
        <f>'Zehnder Charl. Tabelle'!V86</f>
        <v>7.3335799999999995</v>
      </c>
    </row>
    <row r="61" spans="1:21" x14ac:dyDescent="0.2">
      <c r="A61" s="268" t="s">
        <v>422</v>
      </c>
      <c r="B61" s="279">
        <f xml:space="preserve">  0.0024*B57 + 0.0206</f>
        <v>0.64459999999999995</v>
      </c>
      <c r="C61" s="279">
        <f t="shared" ref="C61:U61" si="10" xml:space="preserve">  0.0024*C57 + 0.0206</f>
        <v>0.74059999999999993</v>
      </c>
      <c r="D61" s="279">
        <f t="shared" si="10"/>
        <v>0.86059999999999992</v>
      </c>
      <c r="E61" s="279">
        <f t="shared" si="10"/>
        <v>0.98059999999999992</v>
      </c>
      <c r="F61" s="279">
        <f t="shared" si="10"/>
        <v>1.1005999999999998</v>
      </c>
      <c r="G61" s="279">
        <f t="shared" si="10"/>
        <v>1.2205999999999999</v>
      </c>
      <c r="H61" s="279">
        <f t="shared" si="10"/>
        <v>1.3405999999999998</v>
      </c>
      <c r="I61" s="279">
        <f t="shared" si="10"/>
        <v>1.4605999999999999</v>
      </c>
      <c r="J61" s="279">
        <f t="shared" si="10"/>
        <v>1.8205999999999998</v>
      </c>
      <c r="K61" s="279">
        <f t="shared" si="10"/>
        <v>2.1805999999999996</v>
      </c>
      <c r="L61" s="279">
        <f t="shared" si="10"/>
        <v>2.4205999999999999</v>
      </c>
      <c r="M61" s="279">
        <f t="shared" si="10"/>
        <v>2.6605999999999996</v>
      </c>
      <c r="N61" s="279">
        <f t="shared" si="10"/>
        <v>2.9005999999999998</v>
      </c>
      <c r="O61" s="279">
        <f t="shared" si="10"/>
        <v>3.6205999999999996</v>
      </c>
      <c r="P61" s="279">
        <f t="shared" si="10"/>
        <v>4.3405999999999993</v>
      </c>
      <c r="Q61" s="279">
        <f t="shared" si="10"/>
        <v>4.8205999999999998</v>
      </c>
      <c r="R61" s="279">
        <f t="shared" si="10"/>
        <v>5.3005999999999993</v>
      </c>
      <c r="S61" s="279">
        <f t="shared" si="10"/>
        <v>6.0205999999999991</v>
      </c>
      <c r="T61" s="279">
        <f t="shared" si="10"/>
        <v>6.7405999999999997</v>
      </c>
      <c r="U61" s="279">
        <f t="shared" si="10"/>
        <v>7.2205999999999992</v>
      </c>
    </row>
    <row r="62" spans="1:21" x14ac:dyDescent="0.2">
      <c r="A62" s="1" t="s">
        <v>441</v>
      </c>
      <c r="B62" s="29"/>
      <c r="C62" s="29"/>
      <c r="D62" s="29"/>
      <c r="E62" s="29"/>
      <c r="F62" s="29"/>
      <c r="G62" s="29"/>
      <c r="H62" s="29"/>
      <c r="I62" s="29"/>
      <c r="J62" s="29"/>
      <c r="K62" s="29"/>
      <c r="L62" s="29"/>
      <c r="M62" s="187"/>
      <c r="N62" s="29"/>
      <c r="O62" s="29"/>
      <c r="P62" s="29"/>
      <c r="Q62" s="29"/>
      <c r="R62" s="29"/>
      <c r="S62" s="29"/>
      <c r="T62" s="29"/>
      <c r="U62" s="29"/>
    </row>
    <row r="63" spans="1:21" x14ac:dyDescent="0.2">
      <c r="A63" s="1" t="s">
        <v>643</v>
      </c>
      <c r="B63" s="29"/>
      <c r="C63" s="29"/>
      <c r="D63" s="29"/>
      <c r="E63" s="29"/>
      <c r="F63" s="29"/>
      <c r="G63" s="29"/>
      <c r="H63" s="29"/>
      <c r="I63" s="29"/>
      <c r="J63" s="29"/>
      <c r="K63" s="29"/>
      <c r="L63" s="29"/>
      <c r="M63" s="29"/>
      <c r="N63" s="29"/>
      <c r="O63" s="29"/>
      <c r="P63" s="29"/>
      <c r="Q63" s="29"/>
      <c r="R63" s="29"/>
      <c r="S63" s="29"/>
      <c r="T63" s="29"/>
      <c r="U63" s="29"/>
    </row>
    <row r="64" spans="1:21" x14ac:dyDescent="0.2">
      <c r="A64" s="269" t="s">
        <v>635</v>
      </c>
      <c r="B64" s="270"/>
      <c r="C64" s="286">
        <f>'Cordivari Tabelle'!D76</f>
        <v>0.84066799999999997</v>
      </c>
      <c r="D64" s="270"/>
      <c r="E64" s="286">
        <f>'Cordivari Tabelle'!E76</f>
        <v>1.1227399999999998</v>
      </c>
      <c r="F64" s="270"/>
      <c r="G64" s="286">
        <f>'Cordivari Tabelle'!F76</f>
        <v>1.361888</v>
      </c>
      <c r="H64" s="286">
        <f>'Cordivari Tabelle'!G76</f>
        <v>1.4924119999999998</v>
      </c>
      <c r="I64" s="286">
        <f>'Cordivari Tabelle'!I76</f>
        <v>1.6010360000000001</v>
      </c>
      <c r="J64" s="286">
        <f>'Cordivari Tabelle'!M76</f>
        <v>2.0063319999999996</v>
      </c>
      <c r="K64" s="270"/>
      <c r="L64" s="286">
        <f>'Cordivari Tabelle'!S76</f>
        <v>2.6078520000000003</v>
      </c>
      <c r="M64" s="270"/>
      <c r="N64" s="286">
        <f>'Cordivari Tabelle'!T76</f>
        <v>3.1290720000000003</v>
      </c>
      <c r="O64" s="286">
        <f>'Cordivari Tabelle'!U76</f>
        <v>3.8967399999999999</v>
      </c>
      <c r="P64" s="286">
        <f>'Cordivari Tabelle'!W76</f>
        <v>4.6141839999999998</v>
      </c>
      <c r="Q64" s="286">
        <f>'Cordivari Tabelle'!Y76</f>
        <v>5.1354039999999994</v>
      </c>
      <c r="R64" s="286">
        <f>'Cordivari Tabelle'!AA76</f>
        <v>5.6210000000000004</v>
      </c>
      <c r="S64" s="286">
        <f>'Cordivari Tabelle'!AB76</f>
        <v>6.3813680000000002</v>
      </c>
      <c r="T64" s="270"/>
      <c r="U64" s="270"/>
    </row>
    <row r="65" spans="1:21" x14ac:dyDescent="0.2">
      <c r="A65" s="268" t="s">
        <v>644</v>
      </c>
      <c r="B65" s="271"/>
      <c r="C65" s="279">
        <f xml:space="preserve"> 0.0025*C57 + 0.0946</f>
        <v>0.84460000000000002</v>
      </c>
      <c r="D65" s="279">
        <f t="shared" ref="D65:S65" si="11" xml:space="preserve"> 0.0025*D57 + 0.0946</f>
        <v>0.96960000000000002</v>
      </c>
      <c r="E65" s="279">
        <f t="shared" si="11"/>
        <v>1.0946</v>
      </c>
      <c r="F65" s="279">
        <f t="shared" si="11"/>
        <v>1.2196</v>
      </c>
      <c r="G65" s="279">
        <f t="shared" si="11"/>
        <v>1.3446</v>
      </c>
      <c r="H65" s="279">
        <f t="shared" si="11"/>
        <v>1.4696</v>
      </c>
      <c r="I65" s="279">
        <f t="shared" si="11"/>
        <v>1.5946</v>
      </c>
      <c r="J65" s="279">
        <f t="shared" si="11"/>
        <v>1.9696</v>
      </c>
      <c r="K65" s="279">
        <f t="shared" si="11"/>
        <v>2.3445999999999998</v>
      </c>
      <c r="L65" s="279">
        <f t="shared" si="11"/>
        <v>2.5945999999999998</v>
      </c>
      <c r="M65" s="279">
        <f t="shared" si="11"/>
        <v>2.8445999999999998</v>
      </c>
      <c r="N65" s="279">
        <f t="shared" si="11"/>
        <v>3.0945999999999998</v>
      </c>
      <c r="O65" s="279">
        <f t="shared" si="11"/>
        <v>3.8445999999999998</v>
      </c>
      <c r="P65" s="279">
        <f t="shared" si="11"/>
        <v>4.5945999999999998</v>
      </c>
      <c r="Q65" s="279">
        <f t="shared" si="11"/>
        <v>5.0945999999999998</v>
      </c>
      <c r="R65" s="279">
        <f t="shared" si="11"/>
        <v>5.5945999999999998</v>
      </c>
      <c r="S65" s="279">
        <f t="shared" si="11"/>
        <v>6.3445999999999998</v>
      </c>
      <c r="T65" s="271"/>
      <c r="U65" s="271"/>
    </row>
    <row r="66" spans="1:21" x14ac:dyDescent="0.2">
      <c r="A66" s="1" t="s">
        <v>634</v>
      </c>
      <c r="B66" s="29"/>
      <c r="C66" s="29"/>
      <c r="D66" s="29"/>
      <c r="E66" s="29"/>
      <c r="F66" s="29"/>
      <c r="G66" s="29"/>
      <c r="H66" s="29"/>
      <c r="I66" s="29"/>
      <c r="J66" s="29"/>
      <c r="K66" s="29"/>
      <c r="L66" s="29"/>
      <c r="M66" s="29"/>
      <c r="N66" s="29"/>
      <c r="O66" s="29"/>
      <c r="P66" s="29"/>
      <c r="Q66" s="29"/>
      <c r="R66" s="29"/>
      <c r="S66" s="29"/>
      <c r="T66" s="29"/>
      <c r="U66" s="29"/>
    </row>
    <row r="67" spans="1:21" x14ac:dyDescent="0.2">
      <c r="A67" s="1" t="s">
        <v>645</v>
      </c>
      <c r="B67" s="29"/>
      <c r="C67" s="29"/>
      <c r="D67" s="29"/>
      <c r="E67" s="29"/>
      <c r="F67" s="29"/>
      <c r="G67" s="29"/>
      <c r="H67" s="29"/>
      <c r="I67" s="29"/>
      <c r="J67" s="29"/>
      <c r="K67" s="29"/>
      <c r="L67" s="29"/>
      <c r="M67" s="29"/>
      <c r="N67" s="29"/>
      <c r="O67" s="29"/>
      <c r="P67" s="29"/>
      <c r="Q67" s="29"/>
      <c r="R67" s="29"/>
      <c r="S67" s="29"/>
      <c r="T67" s="29"/>
      <c r="U67" s="29"/>
    </row>
    <row r="68" spans="1:21" x14ac:dyDescent="0.2">
      <c r="A68" s="269" t="s">
        <v>646</v>
      </c>
      <c r="B68" s="274">
        <f>AVERAGE(B58,B60,B62,B64,B66)</f>
        <v>0.7133560000000001</v>
      </c>
      <c r="C68" s="274">
        <f t="shared" ref="C68:U68" si="12">AVERAGE(C58,C60,C62,C64,C66)</f>
        <v>0.81847599999999998</v>
      </c>
      <c r="D68" s="274">
        <f t="shared" si="12"/>
        <v>0.91965399999999997</v>
      </c>
      <c r="E68" s="274">
        <f t="shared" si="12"/>
        <v>1.0621986666666665</v>
      </c>
      <c r="F68" s="274">
        <f t="shared" si="12"/>
        <v>1.1442019999999999</v>
      </c>
      <c r="G68" s="274">
        <f t="shared" si="12"/>
        <v>1.2916133333333333</v>
      </c>
      <c r="H68" s="274">
        <f t="shared" si="12"/>
        <v>1.426712</v>
      </c>
      <c r="I68" s="274">
        <f t="shared" si="12"/>
        <v>1.5520773333333331</v>
      </c>
      <c r="J68" s="274">
        <f t="shared" si="12"/>
        <v>1.9092906666666665</v>
      </c>
      <c r="K68" s="274">
        <f t="shared" si="12"/>
        <v>2.236866</v>
      </c>
      <c r="L68" s="274">
        <f t="shared" si="12"/>
        <v>2.5126599999999999</v>
      </c>
      <c r="M68" s="274">
        <f t="shared" si="12"/>
        <v>2.711074</v>
      </c>
      <c r="N68" s="274">
        <f t="shared" si="12"/>
        <v>3.0119799999999999</v>
      </c>
      <c r="O68" s="274">
        <f t="shared" si="12"/>
        <v>3.7455813333333334</v>
      </c>
      <c r="P68" s="274">
        <f t="shared" si="12"/>
        <v>4.4600080000000002</v>
      </c>
      <c r="Q68" s="274">
        <f t="shared" si="12"/>
        <v>4.9617613333333326</v>
      </c>
      <c r="R68" s="274">
        <f t="shared" si="12"/>
        <v>5.4205906666666666</v>
      </c>
      <c r="S68" s="274">
        <f t="shared" si="12"/>
        <v>6.1517586666666659</v>
      </c>
      <c r="T68" s="274">
        <f t="shared" si="12"/>
        <v>6.7713339999999995</v>
      </c>
      <c r="U68" s="274">
        <f t="shared" si="12"/>
        <v>7.241892</v>
      </c>
    </row>
    <row r="69" spans="1:21" s="1" customFormat="1" x14ac:dyDescent="0.2">
      <c r="A69" s="268" t="s">
        <v>647</v>
      </c>
      <c r="B69" s="288">
        <f xml:space="preserve"> 0.0024*B57 + 0.0988</f>
        <v>0.7228</v>
      </c>
      <c r="C69" s="288">
        <f t="shared" ref="C69:U69" si="13" xml:space="preserve"> 0.0024*C57 + 0.0988</f>
        <v>0.81879999999999997</v>
      </c>
      <c r="D69" s="288">
        <f t="shared" si="13"/>
        <v>0.93879999999999997</v>
      </c>
      <c r="E69" s="288">
        <f t="shared" si="13"/>
        <v>1.0588</v>
      </c>
      <c r="F69" s="288">
        <f t="shared" si="13"/>
        <v>1.1787999999999998</v>
      </c>
      <c r="G69" s="288">
        <f t="shared" si="13"/>
        <v>1.2988</v>
      </c>
      <c r="H69" s="288">
        <f t="shared" si="13"/>
        <v>1.4187999999999998</v>
      </c>
      <c r="I69" s="288">
        <f t="shared" si="13"/>
        <v>1.5387999999999999</v>
      </c>
      <c r="J69" s="288">
        <f t="shared" si="13"/>
        <v>1.8987999999999998</v>
      </c>
      <c r="K69" s="288">
        <f t="shared" si="13"/>
        <v>2.2587999999999999</v>
      </c>
      <c r="L69" s="288">
        <f t="shared" si="13"/>
        <v>2.4988000000000001</v>
      </c>
      <c r="M69" s="288">
        <f t="shared" si="13"/>
        <v>2.7387999999999995</v>
      </c>
      <c r="N69" s="288">
        <f t="shared" si="13"/>
        <v>2.9787999999999997</v>
      </c>
      <c r="O69" s="288">
        <f t="shared" si="13"/>
        <v>3.6987999999999994</v>
      </c>
      <c r="P69" s="288">
        <f t="shared" si="13"/>
        <v>4.4187999999999992</v>
      </c>
      <c r="Q69" s="288">
        <f t="shared" si="13"/>
        <v>4.8987999999999996</v>
      </c>
      <c r="R69" s="288">
        <f t="shared" si="13"/>
        <v>5.3787999999999991</v>
      </c>
      <c r="S69" s="288">
        <f t="shared" si="13"/>
        <v>6.0987999999999989</v>
      </c>
      <c r="T69" s="288">
        <f t="shared" si="13"/>
        <v>6.8187999999999995</v>
      </c>
      <c r="U69" s="288">
        <f t="shared" si="13"/>
        <v>7.2987999999999991</v>
      </c>
    </row>
    <row r="70" spans="1:21" x14ac:dyDescent="0.2">
      <c r="B70" s="267">
        <f>(B69-B68)/B68</f>
        <v>1.3238831663292795E-2</v>
      </c>
      <c r="C70" s="267">
        <f t="shared" ref="C70:U70" si="14">(C69-C68)/C68</f>
        <v>3.9585766717654638E-4</v>
      </c>
      <c r="D70" s="267">
        <f t="shared" si="14"/>
        <v>2.081869920644068E-2</v>
      </c>
      <c r="E70" s="267">
        <f t="shared" si="14"/>
        <v>-3.1996525445960678E-3</v>
      </c>
      <c r="F70" s="267">
        <f t="shared" si="14"/>
        <v>3.0237667824387571E-2</v>
      </c>
      <c r="G70" s="267">
        <f t="shared" si="14"/>
        <v>5.5641007112551804E-3</v>
      </c>
      <c r="H70" s="267">
        <f t="shared" si="14"/>
        <v>-5.545618176618786E-3</v>
      </c>
      <c r="I70" s="267">
        <f t="shared" si="14"/>
        <v>-8.5545565598963771E-3</v>
      </c>
      <c r="J70" s="267">
        <f t="shared" si="14"/>
        <v>-5.4945361907528566E-3</v>
      </c>
      <c r="K70" s="267">
        <f t="shared" si="14"/>
        <v>9.8056834875222283E-3</v>
      </c>
      <c r="L70" s="267">
        <f t="shared" si="14"/>
        <v>-5.5160666385423267E-3</v>
      </c>
      <c r="M70" s="267">
        <f t="shared" si="14"/>
        <v>1.022694327045277E-2</v>
      </c>
      <c r="N70" s="267">
        <f t="shared" si="14"/>
        <v>-1.1016009402452941E-2</v>
      </c>
      <c r="O70" s="267">
        <f t="shared" si="14"/>
        <v>-1.2489739020485117E-2</v>
      </c>
      <c r="P70" s="267">
        <f t="shared" si="14"/>
        <v>-9.2394453104122278E-3</v>
      </c>
      <c r="Q70" s="267">
        <f t="shared" si="14"/>
        <v>-1.2689311134406234E-2</v>
      </c>
      <c r="R70" s="267">
        <f t="shared" si="14"/>
        <v>-7.7096149177348118E-3</v>
      </c>
      <c r="S70" s="267">
        <f t="shared" si="14"/>
        <v>-8.6087035490556279E-3</v>
      </c>
      <c r="T70" s="267">
        <f t="shared" si="14"/>
        <v>7.0098447366501214E-3</v>
      </c>
      <c r="U70" s="267">
        <f t="shared" si="14"/>
        <v>7.8581674512681315E-3</v>
      </c>
    </row>
    <row r="72" spans="1:21" x14ac:dyDescent="0.2">
      <c r="A72" s="1" t="s">
        <v>423</v>
      </c>
      <c r="B72" s="29">
        <f t="shared" ref="B72:U72" si="15">MAX(B58,B60,B62,B64,B66)</f>
        <v>0.76036800000000004</v>
      </c>
      <c r="C72" s="29">
        <f t="shared" si="15"/>
        <v>0.85439199999999982</v>
      </c>
      <c r="D72" s="29">
        <f t="shared" si="15"/>
        <v>0.96301599999999998</v>
      </c>
      <c r="E72" s="29">
        <f t="shared" si="15"/>
        <v>1.1227399999999998</v>
      </c>
      <c r="F72" s="29">
        <f t="shared" si="15"/>
        <v>1.180264</v>
      </c>
      <c r="G72" s="29">
        <f t="shared" si="15"/>
        <v>1.361888</v>
      </c>
      <c r="H72" s="29">
        <f t="shared" si="15"/>
        <v>1.4924119999999998</v>
      </c>
      <c r="I72" s="29">
        <f t="shared" si="15"/>
        <v>1.6010360000000001</v>
      </c>
      <c r="J72" s="29">
        <f t="shared" si="15"/>
        <v>2.0063319999999996</v>
      </c>
      <c r="K72" s="29">
        <f t="shared" si="15"/>
        <v>2.2510279999999998</v>
      </c>
      <c r="L72" s="29">
        <f t="shared" si="15"/>
        <v>2.6078520000000003</v>
      </c>
      <c r="M72" s="29">
        <f t="shared" si="15"/>
        <v>2.7357480000000001</v>
      </c>
      <c r="N72" s="29">
        <f t="shared" si="15"/>
        <v>3.1290720000000003</v>
      </c>
      <c r="O72" s="29">
        <f t="shared" si="15"/>
        <v>3.8967399999999999</v>
      </c>
      <c r="P72" s="29">
        <f t="shared" si="15"/>
        <v>4.6141839999999998</v>
      </c>
      <c r="Q72" s="29">
        <f t="shared" si="15"/>
        <v>5.1354039999999994</v>
      </c>
      <c r="R72" s="29">
        <f t="shared" si="15"/>
        <v>5.6210000000000004</v>
      </c>
      <c r="S72" s="29">
        <f t="shared" si="15"/>
        <v>6.3813680000000002</v>
      </c>
      <c r="T72" s="29">
        <f t="shared" si="15"/>
        <v>6.8342599999999996</v>
      </c>
      <c r="U72" s="29">
        <f t="shared" si="15"/>
        <v>7.3335799999999995</v>
      </c>
    </row>
    <row r="73" spans="1:21" x14ac:dyDescent="0.2">
      <c r="A73" s="1" t="s">
        <v>424</v>
      </c>
      <c r="B73" s="29">
        <f t="shared" ref="B73:U73" si="16">MIN(B58,B60,B62,B64,B66)</f>
        <v>0.66634400000000005</v>
      </c>
      <c r="C73" s="29">
        <f t="shared" si="16"/>
        <v>0.76036800000000004</v>
      </c>
      <c r="D73" s="29">
        <f t="shared" si="16"/>
        <v>0.87629199999999985</v>
      </c>
      <c r="E73" s="29">
        <f t="shared" si="16"/>
        <v>0.99221599999999988</v>
      </c>
      <c r="F73" s="29">
        <f t="shared" si="16"/>
        <v>1.1081399999999999</v>
      </c>
      <c r="G73" s="29">
        <f t="shared" si="16"/>
        <v>1.2240639999999998</v>
      </c>
      <c r="H73" s="29">
        <f t="shared" si="16"/>
        <v>1.339988</v>
      </c>
      <c r="I73" s="29">
        <f t="shared" si="16"/>
        <v>1.4988360000000001</v>
      </c>
      <c r="J73" s="29">
        <f t="shared" si="16"/>
        <v>1.8393079999999999</v>
      </c>
      <c r="K73" s="29">
        <f t="shared" si="16"/>
        <v>2.2227040000000002</v>
      </c>
      <c r="L73" s="29">
        <f t="shared" si="16"/>
        <v>2.4545519999999996</v>
      </c>
      <c r="M73" s="29">
        <f t="shared" si="16"/>
        <v>2.6863999999999999</v>
      </c>
      <c r="N73" s="29">
        <f t="shared" si="16"/>
        <v>2.9529959999999997</v>
      </c>
      <c r="O73" s="29">
        <f t="shared" si="16"/>
        <v>3.6549640000000001</v>
      </c>
      <c r="P73" s="29">
        <f t="shared" si="16"/>
        <v>4.3496319999999997</v>
      </c>
      <c r="Q73" s="29">
        <f t="shared" si="16"/>
        <v>4.8343519999999991</v>
      </c>
      <c r="R73" s="29">
        <f t="shared" si="16"/>
        <v>5.2688480000000002</v>
      </c>
      <c r="S73" s="29">
        <f t="shared" si="16"/>
        <v>5.9708159999999992</v>
      </c>
      <c r="T73" s="29">
        <f t="shared" si="16"/>
        <v>6.7084080000000004</v>
      </c>
      <c r="U73" s="29">
        <f t="shared" si="16"/>
        <v>7.1502039999999996</v>
      </c>
    </row>
    <row r="74" spans="1:21" x14ac:dyDescent="0.2">
      <c r="B74" s="173">
        <f t="shared" ref="B74:U74" si="17">(B72-B73)/B72</f>
        <v>0.12365591397849461</v>
      </c>
      <c r="C74" s="173">
        <f t="shared" si="17"/>
        <v>0.11004784688995191</v>
      </c>
      <c r="D74" s="173">
        <f t="shared" si="17"/>
        <v>9.0054578532444043E-2</v>
      </c>
      <c r="E74" s="173">
        <f t="shared" si="17"/>
        <v>0.11625487646293887</v>
      </c>
      <c r="F74" s="173">
        <f t="shared" si="17"/>
        <v>6.1108362196932275E-2</v>
      </c>
      <c r="G74" s="173">
        <f t="shared" si="17"/>
        <v>0.10120068610634661</v>
      </c>
      <c r="H74" s="173">
        <f t="shared" si="17"/>
        <v>0.10213265505771858</v>
      </c>
      <c r="I74" s="173">
        <f t="shared" si="17"/>
        <v>6.3833667700164187E-2</v>
      </c>
      <c r="J74" s="173">
        <f t="shared" si="17"/>
        <v>8.3248435453354502E-2</v>
      </c>
      <c r="K74" s="173">
        <f t="shared" si="17"/>
        <v>1.2582695550654889E-2</v>
      </c>
      <c r="L74" s="173">
        <f t="shared" si="17"/>
        <v>5.87840107490765E-2</v>
      </c>
      <c r="M74" s="173">
        <f t="shared" si="17"/>
        <v>1.8038211121784671E-2</v>
      </c>
      <c r="N74" s="173">
        <f t="shared" si="17"/>
        <v>5.6270996640537689E-2</v>
      </c>
      <c r="O74" s="173">
        <f t="shared" si="17"/>
        <v>6.2045710003746667E-2</v>
      </c>
      <c r="P74" s="173">
        <f t="shared" si="17"/>
        <v>5.7334514618402763E-2</v>
      </c>
      <c r="Q74" s="173">
        <f t="shared" si="17"/>
        <v>5.8622846420651686E-2</v>
      </c>
      <c r="R74" s="173">
        <f t="shared" si="17"/>
        <v>6.2649350649350691E-2</v>
      </c>
      <c r="S74" s="173">
        <f t="shared" si="17"/>
        <v>6.4336048320673703E-2</v>
      </c>
      <c r="T74" s="173">
        <f t="shared" si="17"/>
        <v>1.8414868617816587E-2</v>
      </c>
      <c r="U74" s="173">
        <f t="shared" si="17"/>
        <v>2.5004977105315549E-2</v>
      </c>
    </row>
    <row r="76" spans="1:21" x14ac:dyDescent="0.2">
      <c r="A76" s="272" t="s">
        <v>413</v>
      </c>
      <c r="B76" s="273">
        <f>'Zehnder Charl. Tabelle'!C$3</f>
        <v>260</v>
      </c>
      <c r="C76" s="273">
        <f>'Zehnder Charl. Tabelle'!D$3</f>
        <v>300</v>
      </c>
      <c r="D76" s="273">
        <f>'Zehnder Charl. Tabelle'!E$3</f>
        <v>350</v>
      </c>
      <c r="E76" s="273">
        <f>'Zehnder Charl. Tabelle'!F$3</f>
        <v>400</v>
      </c>
      <c r="F76" s="273">
        <f>'Zehnder Charl. Tabelle'!G$3</f>
        <v>450</v>
      </c>
      <c r="G76" s="273">
        <f>'Zehnder Charl. Tabelle'!H$3</f>
        <v>500</v>
      </c>
      <c r="H76" s="273">
        <f>'Zehnder Charl. Tabelle'!I$3</f>
        <v>550</v>
      </c>
      <c r="I76" s="273">
        <f>'Zehnder Charl. Tabelle'!J$3</f>
        <v>600</v>
      </c>
      <c r="J76" s="273">
        <f>'Zehnder Charl. Tabelle'!K$3</f>
        <v>750</v>
      </c>
      <c r="K76" s="273">
        <f>'Zehnder Charl. Tabelle'!L$3</f>
        <v>900</v>
      </c>
      <c r="L76" s="273">
        <f>'Zehnder Charl. Tabelle'!M$3</f>
        <v>1000</v>
      </c>
      <c r="M76" s="273">
        <f>'Zehnder Charl. Tabelle'!N$3</f>
        <v>1100</v>
      </c>
      <c r="N76" s="273">
        <f>'Zehnder Charl. Tabelle'!O$3</f>
        <v>1200</v>
      </c>
      <c r="O76" s="273">
        <f>'Zehnder Charl. Tabelle'!P$3</f>
        <v>1500</v>
      </c>
      <c r="P76" s="273">
        <f>'Zehnder Charl. Tabelle'!Q$3</f>
        <v>1800</v>
      </c>
      <c r="Q76" s="273">
        <f>'Zehnder Charl. Tabelle'!R$3</f>
        <v>2000</v>
      </c>
      <c r="R76" s="273">
        <f>'Zehnder Charl. Tabelle'!S$3</f>
        <v>2200</v>
      </c>
      <c r="S76" s="273">
        <f>'Zehnder Charl. Tabelle'!T$3</f>
        <v>2500</v>
      </c>
      <c r="T76" s="273">
        <f>'Zehnder Charl. Tabelle'!U$3</f>
        <v>2800</v>
      </c>
      <c r="U76" s="273">
        <f>'Zehnder Charl. Tabelle'!V$3</f>
        <v>3000</v>
      </c>
    </row>
    <row r="77" spans="1:21" x14ac:dyDescent="0.2">
      <c r="A77" s="1" t="s">
        <v>399</v>
      </c>
      <c r="B77" s="51">
        <f>'Arbonia Tabelle'!E77</f>
        <v>0.99951599999999996</v>
      </c>
      <c r="C77" s="51">
        <f>'Arbonia Tabelle'!F77</f>
        <v>1.1081399999999999</v>
      </c>
      <c r="D77" s="51">
        <f>'Arbonia Tabelle'!G77</f>
        <v>1.288888</v>
      </c>
      <c r="E77" s="51">
        <f>'Arbonia Tabelle'!H77</f>
        <v>1.4194119999999999</v>
      </c>
      <c r="F77" s="51">
        <f>'Arbonia Tabelle'!I77</f>
        <v>1.5928599999999999</v>
      </c>
      <c r="G77" s="51">
        <f>'Arbonia Tabelle'!J77</f>
        <v>1.766308</v>
      </c>
      <c r="H77" s="51">
        <f>'Arbonia Tabelle'!K77</f>
        <v>1.8968319999999999</v>
      </c>
      <c r="I77" s="51">
        <f>'Arbonia Tabelle'!L77</f>
        <v>2.0702799999999999</v>
      </c>
      <c r="J77" s="51">
        <f>'Arbonia Tabelle'!M77</f>
        <v>2.5120759999999995</v>
      </c>
      <c r="K77" s="51">
        <f>'Arbonia Tabelle'!N77</f>
        <v>2.9894959999999999</v>
      </c>
      <c r="L77" s="287">
        <f>'Arbonia Tabelle'!O77</f>
        <v>3.2934679999999998</v>
      </c>
      <c r="M77" s="287">
        <f>'Arbonia Tabelle'!P77</f>
        <v>3.6047400000000001</v>
      </c>
      <c r="N77" s="287">
        <f>'Arbonia Tabelle'!Q77</f>
        <v>3.9087120000000004</v>
      </c>
      <c r="O77" s="287">
        <f>'Arbonia Tabelle'!R77</f>
        <v>4.8708519999999993</v>
      </c>
      <c r="P77" s="287">
        <f>'Arbonia Tabelle'!S77</f>
        <v>5.7900679999999998</v>
      </c>
      <c r="Q77" s="287">
        <f>'Arbonia Tabelle'!T77</f>
        <v>6.4409359999999989</v>
      </c>
      <c r="R77" s="287">
        <f>'Arbonia Tabelle'!U77</f>
        <v>7.0561799999999995</v>
      </c>
      <c r="S77" s="287">
        <f>'Arbonia Tabelle'!V77</f>
        <v>7.9680959999999992</v>
      </c>
      <c r="T77" s="287">
        <f>'Arbonia Tabelle'!W77</f>
        <v>8.9302360000000007</v>
      </c>
      <c r="U77" s="287">
        <f>'Arbonia Tabelle'!X77</f>
        <v>9.5454799999999995</v>
      </c>
    </row>
    <row r="78" spans="1:21" x14ac:dyDescent="0.2">
      <c r="A78" s="268" t="s">
        <v>421</v>
      </c>
      <c r="B78" s="279">
        <f xml:space="preserve">  0.0031*B76 + 0.1839</f>
        <v>0.9899</v>
      </c>
      <c r="C78" s="279">
        <f t="shared" ref="C78:U78" si="18" xml:space="preserve">  0.0031*C76 + 0.1839</f>
        <v>1.1138999999999999</v>
      </c>
      <c r="D78" s="279">
        <f t="shared" si="18"/>
        <v>1.2688999999999999</v>
      </c>
      <c r="E78" s="279">
        <f t="shared" si="18"/>
        <v>1.4238999999999999</v>
      </c>
      <c r="F78" s="279">
        <f t="shared" si="18"/>
        <v>1.5789</v>
      </c>
      <c r="G78" s="279">
        <f t="shared" si="18"/>
        <v>1.7339</v>
      </c>
      <c r="H78" s="279">
        <f t="shared" si="18"/>
        <v>1.8888999999999998</v>
      </c>
      <c r="I78" s="279">
        <f t="shared" si="18"/>
        <v>2.0438999999999998</v>
      </c>
      <c r="J78" s="279">
        <f t="shared" si="18"/>
        <v>2.5088999999999997</v>
      </c>
      <c r="K78" s="279">
        <f t="shared" si="18"/>
        <v>2.9739</v>
      </c>
      <c r="L78" s="279">
        <f t="shared" si="18"/>
        <v>3.2839</v>
      </c>
      <c r="M78" s="279">
        <f t="shared" si="18"/>
        <v>3.5938999999999997</v>
      </c>
      <c r="N78" s="279">
        <f t="shared" si="18"/>
        <v>3.9038999999999997</v>
      </c>
      <c r="O78" s="279">
        <f t="shared" si="18"/>
        <v>4.8338999999999999</v>
      </c>
      <c r="P78" s="279">
        <f t="shared" si="18"/>
        <v>5.7639000000000005</v>
      </c>
      <c r="Q78" s="279">
        <f t="shared" si="18"/>
        <v>6.3839000000000006</v>
      </c>
      <c r="R78" s="279">
        <f t="shared" si="18"/>
        <v>7.0038999999999998</v>
      </c>
      <c r="S78" s="279">
        <f t="shared" si="18"/>
        <v>7.9339000000000004</v>
      </c>
      <c r="T78" s="279">
        <f t="shared" si="18"/>
        <v>8.8638999999999992</v>
      </c>
      <c r="U78" s="279">
        <f t="shared" si="18"/>
        <v>9.4838999999999984</v>
      </c>
    </row>
    <row r="79" spans="1:21" ht="12.6" customHeight="1" x14ac:dyDescent="0.2">
      <c r="A79" s="269" t="s">
        <v>343</v>
      </c>
      <c r="B79" s="287">
        <f>'Zehnder Charl. Tabelle'!C87</f>
        <v>0.90549199999999996</v>
      </c>
      <c r="C79" s="287">
        <f>'Zehnder Charl. Tabelle'!D87</f>
        <v>1.028716</v>
      </c>
      <c r="D79" s="287">
        <f>'Zehnder Charl. Tabelle'!E87</f>
        <v>1.2094640000000001</v>
      </c>
      <c r="E79" s="287">
        <f>'Zehnder Charl. Tabelle'!F87</f>
        <v>1.361888</v>
      </c>
      <c r="F79" s="287">
        <f>'Zehnder Charl. Tabelle'!G87</f>
        <v>1.5426360000000001</v>
      </c>
      <c r="G79" s="287">
        <f>'Zehnder Charl. Tabelle'!H87</f>
        <v>1.6804599999999996</v>
      </c>
      <c r="H79" s="287">
        <f>'Zehnder Charl. Tabelle'!I87</f>
        <v>1.861208</v>
      </c>
      <c r="I79" s="287">
        <f>'Zehnder Charl. Tabelle'!J87</f>
        <v>2.034656</v>
      </c>
      <c r="J79" s="287">
        <f>'Zehnder Charl. Tabelle'!K87</f>
        <v>2.4910519999999998</v>
      </c>
      <c r="K79" s="287">
        <f>'Zehnder Charl. Tabelle'!L87</f>
        <v>2.9903720000000003</v>
      </c>
      <c r="L79" s="274">
        <f>'Zehnder Charl. Tabelle'!M87</f>
        <v>3.301644</v>
      </c>
      <c r="M79" s="274">
        <f>'Zehnder Charl. Tabelle'!N87</f>
        <v>3.6202160000000001</v>
      </c>
      <c r="N79" s="274">
        <f>'Zehnder Charl. Tabelle'!O87</f>
        <v>3.9387880000000002</v>
      </c>
      <c r="O79" s="274">
        <f>'Zehnder Charl. Tabelle'!P87</f>
        <v>4.9301279999999998</v>
      </c>
      <c r="P79" s="274">
        <f>'Zehnder Charl. Tabelle'!Q87</f>
        <v>5.8785439999999998</v>
      </c>
      <c r="Q79" s="274">
        <f>'Zehnder Charl. Tabelle'!R87</f>
        <v>6.5586120000000001</v>
      </c>
      <c r="R79" s="274">
        <f>'Zehnder Charl. Tabelle'!S87</f>
        <v>7.1884559999999995</v>
      </c>
      <c r="S79" s="274">
        <f>'Zehnder Charl. Tabelle'!T87</f>
        <v>8.1368719999999986</v>
      </c>
      <c r="T79" s="274">
        <f>'Zehnder Charl. Tabelle'!U87</f>
        <v>9.1282120000000013</v>
      </c>
      <c r="U79" s="274">
        <f>'Zehnder Charl. Tabelle'!V87</f>
        <v>9.7653559999999988</v>
      </c>
    </row>
    <row r="80" spans="1:21" x14ac:dyDescent="0.2">
      <c r="A80" s="268" t="s">
        <v>422</v>
      </c>
      <c r="B80" s="279">
        <f xml:space="preserve">  0.0032*B76 + 0.0739</f>
        <v>0.90590000000000004</v>
      </c>
      <c r="C80" s="279">
        <f t="shared" ref="C80:U80" si="19" xml:space="preserve">  0.0032*C76 + 0.0739</f>
        <v>1.0339</v>
      </c>
      <c r="D80" s="279">
        <f t="shared" si="19"/>
        <v>1.1939000000000002</v>
      </c>
      <c r="E80" s="279">
        <f t="shared" si="19"/>
        <v>1.3539000000000001</v>
      </c>
      <c r="F80" s="279">
        <f t="shared" si="19"/>
        <v>1.5139000000000002</v>
      </c>
      <c r="G80" s="279">
        <f t="shared" si="19"/>
        <v>1.6739000000000002</v>
      </c>
      <c r="H80" s="279">
        <f t="shared" si="19"/>
        <v>1.8339000000000001</v>
      </c>
      <c r="I80" s="279">
        <f t="shared" si="19"/>
        <v>1.9939000000000002</v>
      </c>
      <c r="J80" s="279">
        <f t="shared" si="19"/>
        <v>2.4739</v>
      </c>
      <c r="K80" s="279">
        <f t="shared" si="19"/>
        <v>2.9539000000000004</v>
      </c>
      <c r="L80" s="279">
        <f t="shared" si="19"/>
        <v>3.2739000000000003</v>
      </c>
      <c r="M80" s="279">
        <f t="shared" si="19"/>
        <v>3.5939000000000001</v>
      </c>
      <c r="N80" s="279">
        <f t="shared" si="19"/>
        <v>3.9139000000000004</v>
      </c>
      <c r="O80" s="279">
        <f t="shared" si="19"/>
        <v>4.8738999999999999</v>
      </c>
      <c r="P80" s="279">
        <f t="shared" si="19"/>
        <v>5.8339000000000008</v>
      </c>
      <c r="Q80" s="279">
        <f t="shared" si="19"/>
        <v>6.4739000000000004</v>
      </c>
      <c r="R80" s="279">
        <f t="shared" si="19"/>
        <v>7.1139000000000001</v>
      </c>
      <c r="S80" s="279">
        <f t="shared" si="19"/>
        <v>8.0739000000000001</v>
      </c>
      <c r="T80" s="279">
        <f t="shared" si="19"/>
        <v>9.0339000000000009</v>
      </c>
      <c r="U80" s="279">
        <f t="shared" si="19"/>
        <v>9.6738999999999997</v>
      </c>
    </row>
    <row r="81" spans="1:21" x14ac:dyDescent="0.2">
      <c r="A81" s="1" t="s">
        <v>441</v>
      </c>
      <c r="B81" s="29"/>
      <c r="C81" s="29"/>
      <c r="D81" s="29"/>
      <c r="E81" s="29"/>
      <c r="F81" s="29"/>
      <c r="G81" s="29"/>
      <c r="H81" s="29"/>
      <c r="I81" s="29"/>
      <c r="J81" s="29"/>
      <c r="K81" s="29"/>
      <c r="L81" s="29"/>
      <c r="M81" s="187"/>
      <c r="N81" s="29"/>
      <c r="O81" s="29"/>
      <c r="P81" s="29"/>
      <c r="Q81" s="29"/>
      <c r="R81" s="29"/>
      <c r="S81" s="29"/>
      <c r="T81" s="29"/>
      <c r="U81" s="29"/>
    </row>
    <row r="82" spans="1:21" x14ac:dyDescent="0.2">
      <c r="A82" s="1" t="s">
        <v>643</v>
      </c>
      <c r="B82" s="29"/>
      <c r="C82" s="29"/>
      <c r="D82" s="29"/>
      <c r="E82" s="29"/>
      <c r="F82" s="29"/>
      <c r="G82" s="29"/>
      <c r="H82" s="29"/>
      <c r="I82" s="29"/>
      <c r="J82" s="29"/>
      <c r="K82" s="29"/>
      <c r="L82" s="29"/>
      <c r="M82" s="29"/>
      <c r="N82" s="29"/>
      <c r="O82" s="29"/>
      <c r="P82" s="29"/>
      <c r="Q82" s="29"/>
      <c r="R82" s="29"/>
      <c r="S82" s="29"/>
      <c r="T82" s="29"/>
      <c r="U82" s="29"/>
    </row>
    <row r="83" spans="1:21" x14ac:dyDescent="0.2">
      <c r="A83" s="269" t="s">
        <v>635</v>
      </c>
      <c r="B83" s="270"/>
      <c r="C83" s="286">
        <f>'Cordivari Tabelle'!D77</f>
        <v>1.15194</v>
      </c>
      <c r="D83" s="270"/>
      <c r="E83" s="286">
        <f>'Cordivari Tabelle'!E77</f>
        <v>1.485112</v>
      </c>
      <c r="F83" s="270"/>
      <c r="G83" s="286">
        <f>'Cordivari Tabelle'!F77</f>
        <v>1.8182839999999998</v>
      </c>
      <c r="H83" s="286">
        <f>'Cordivari Tabelle'!G77</f>
        <v>2.0209320000000002</v>
      </c>
      <c r="I83" s="286">
        <f>'Cordivari Tabelle'!I77</f>
        <v>2.1587559999999999</v>
      </c>
      <c r="J83" s="286">
        <f>'Cordivari Tabelle'!M77</f>
        <v>2.6370519999999997</v>
      </c>
      <c r="K83" s="270"/>
      <c r="L83" s="286">
        <f>'Cordivari Tabelle'!S77</f>
        <v>3.4914439999999995</v>
      </c>
      <c r="M83" s="270"/>
      <c r="N83" s="286">
        <f>'Cordivari Tabelle'!T77</f>
        <v>4.1650879999999999</v>
      </c>
      <c r="O83" s="286">
        <f>'Cordivari Tabelle'!U77</f>
        <v>5.1646040000000006</v>
      </c>
      <c r="P83" s="286">
        <f>'Cordivari Tabelle'!W77</f>
        <v>6.1714199999999995</v>
      </c>
      <c r="Q83" s="286">
        <f>'Cordivari Tabelle'!Y77</f>
        <v>6.837764</v>
      </c>
      <c r="R83" s="286">
        <f>'Cordivari Tabelle'!AA77</f>
        <v>7.5114079999999994</v>
      </c>
      <c r="S83" s="286">
        <f>'Cordivari Tabelle'!AB77</f>
        <v>8.5109239999999993</v>
      </c>
      <c r="T83" s="270"/>
      <c r="U83" s="270"/>
    </row>
    <row r="84" spans="1:21" x14ac:dyDescent="0.2">
      <c r="A84" s="268" t="s">
        <v>644</v>
      </c>
      <c r="B84" s="271"/>
      <c r="C84" s="279">
        <f>0.0034*C76 + 0.1412</f>
        <v>1.1612</v>
      </c>
      <c r="D84" s="279">
        <f t="shared" ref="D84:S84" si="20">0.0034*D76 + 0.1412</f>
        <v>1.3311999999999999</v>
      </c>
      <c r="E84" s="279">
        <f t="shared" si="20"/>
        <v>1.5011999999999999</v>
      </c>
      <c r="F84" s="279">
        <f t="shared" si="20"/>
        <v>1.6711999999999998</v>
      </c>
      <c r="G84" s="279">
        <f t="shared" si="20"/>
        <v>1.8411999999999999</v>
      </c>
      <c r="H84" s="279">
        <f t="shared" si="20"/>
        <v>2.0111999999999997</v>
      </c>
      <c r="I84" s="279">
        <f t="shared" si="20"/>
        <v>2.1812</v>
      </c>
      <c r="J84" s="279">
        <f t="shared" si="20"/>
        <v>2.6911999999999998</v>
      </c>
      <c r="K84" s="279">
        <f t="shared" si="20"/>
        <v>3.2011999999999996</v>
      </c>
      <c r="L84" s="279">
        <f t="shared" si="20"/>
        <v>3.5411999999999999</v>
      </c>
      <c r="M84" s="279">
        <f t="shared" si="20"/>
        <v>3.8811999999999998</v>
      </c>
      <c r="N84" s="279">
        <f t="shared" si="20"/>
        <v>4.2211999999999996</v>
      </c>
      <c r="O84" s="279">
        <f t="shared" si="20"/>
        <v>5.2411999999999992</v>
      </c>
      <c r="P84" s="279">
        <f t="shared" si="20"/>
        <v>6.2611999999999988</v>
      </c>
      <c r="Q84" s="279">
        <f t="shared" si="20"/>
        <v>6.9412000000000003</v>
      </c>
      <c r="R84" s="279">
        <f t="shared" si="20"/>
        <v>7.6212</v>
      </c>
      <c r="S84" s="279">
        <f t="shared" si="20"/>
        <v>8.6411999999999995</v>
      </c>
      <c r="T84" s="271"/>
      <c r="U84" s="271"/>
    </row>
    <row r="85" spans="1:21" x14ac:dyDescent="0.2">
      <c r="A85" s="1" t="s">
        <v>634</v>
      </c>
      <c r="B85" s="29"/>
      <c r="C85" s="29"/>
      <c r="D85" s="29"/>
      <c r="E85" s="29"/>
      <c r="F85" s="29"/>
      <c r="G85" s="29"/>
      <c r="H85" s="29"/>
      <c r="I85" s="29"/>
      <c r="J85" s="29"/>
      <c r="K85" s="29"/>
      <c r="L85" s="29"/>
      <c r="M85" s="29"/>
      <c r="N85" s="29"/>
      <c r="O85" s="29"/>
      <c r="P85" s="29"/>
      <c r="Q85" s="29"/>
      <c r="R85" s="29"/>
      <c r="S85" s="29"/>
      <c r="T85" s="29"/>
      <c r="U85" s="29"/>
    </row>
    <row r="86" spans="1:21" x14ac:dyDescent="0.2">
      <c r="A86" s="1" t="s">
        <v>645</v>
      </c>
      <c r="B86" s="29"/>
      <c r="C86" s="29"/>
      <c r="D86" s="29"/>
      <c r="E86" s="29"/>
      <c r="F86" s="29"/>
      <c r="G86" s="29"/>
      <c r="H86" s="29"/>
      <c r="I86" s="29"/>
      <c r="J86" s="29"/>
      <c r="K86" s="29"/>
      <c r="L86" s="29"/>
      <c r="M86" s="29"/>
      <c r="N86" s="29"/>
      <c r="O86" s="29"/>
      <c r="P86" s="29"/>
      <c r="Q86" s="29"/>
      <c r="R86" s="29"/>
      <c r="S86" s="29"/>
      <c r="T86" s="29"/>
      <c r="U86" s="29"/>
    </row>
    <row r="87" spans="1:21" x14ac:dyDescent="0.2">
      <c r="A87" s="269" t="s">
        <v>646</v>
      </c>
      <c r="B87" s="274">
        <f>AVERAGE(B77,B79,B81,B83,B85)</f>
        <v>0.95250400000000002</v>
      </c>
      <c r="C87" s="274">
        <f t="shared" ref="C87:U87" si="21">AVERAGE(C77,C79,C81,C83,C85)</f>
        <v>1.0962653333333332</v>
      </c>
      <c r="D87" s="274">
        <f t="shared" si="21"/>
        <v>1.2491760000000001</v>
      </c>
      <c r="E87" s="274">
        <f t="shared" si="21"/>
        <v>1.4221373333333334</v>
      </c>
      <c r="F87" s="274">
        <f t="shared" si="21"/>
        <v>1.5677479999999999</v>
      </c>
      <c r="G87" s="274">
        <f t="shared" si="21"/>
        <v>1.755017333333333</v>
      </c>
      <c r="H87" s="274">
        <f t="shared" si="21"/>
        <v>1.9263239999999999</v>
      </c>
      <c r="I87" s="274">
        <f t="shared" si="21"/>
        <v>2.0878973333333337</v>
      </c>
      <c r="J87" s="274">
        <f t="shared" si="21"/>
        <v>2.5467266666666664</v>
      </c>
      <c r="K87" s="274">
        <f t="shared" si="21"/>
        <v>2.9899339999999999</v>
      </c>
      <c r="L87" s="274">
        <f t="shared" si="21"/>
        <v>3.3621853333333331</v>
      </c>
      <c r="M87" s="274">
        <f t="shared" si="21"/>
        <v>3.6124780000000003</v>
      </c>
      <c r="N87" s="274">
        <f t="shared" si="21"/>
        <v>4.0041960000000003</v>
      </c>
      <c r="O87" s="274">
        <f t="shared" si="21"/>
        <v>4.9885279999999996</v>
      </c>
      <c r="P87" s="274">
        <f t="shared" si="21"/>
        <v>5.9466773333333336</v>
      </c>
      <c r="Q87" s="274">
        <f t="shared" si="21"/>
        <v>6.6124373333333324</v>
      </c>
      <c r="R87" s="274">
        <f t="shared" si="21"/>
        <v>7.2520146666666667</v>
      </c>
      <c r="S87" s="274">
        <f t="shared" si="21"/>
        <v>8.2052973333333323</v>
      </c>
      <c r="T87" s="274">
        <f t="shared" si="21"/>
        <v>9.029224000000001</v>
      </c>
      <c r="U87" s="274">
        <f t="shared" si="21"/>
        <v>9.6554179999999992</v>
      </c>
    </row>
    <row r="88" spans="1:21" s="1" customFormat="1" x14ac:dyDescent="0.2">
      <c r="A88" s="268" t="s">
        <v>647</v>
      </c>
      <c r="B88" s="288">
        <f>0.0032*B76 + 0.1482</f>
        <v>0.98020000000000007</v>
      </c>
      <c r="C88" s="288">
        <f t="shared" ref="C88:U88" si="22">0.0032*C76 + 0.1482</f>
        <v>1.1082000000000001</v>
      </c>
      <c r="D88" s="288">
        <f t="shared" si="22"/>
        <v>1.2682000000000002</v>
      </c>
      <c r="E88" s="288">
        <f t="shared" si="22"/>
        <v>1.4281999999999999</v>
      </c>
      <c r="F88" s="288">
        <f t="shared" si="22"/>
        <v>1.5882000000000001</v>
      </c>
      <c r="G88" s="288">
        <f t="shared" si="22"/>
        <v>1.7482000000000002</v>
      </c>
      <c r="H88" s="288">
        <f t="shared" si="22"/>
        <v>1.9081999999999999</v>
      </c>
      <c r="I88" s="288">
        <f t="shared" si="22"/>
        <v>2.0682</v>
      </c>
      <c r="J88" s="288">
        <f t="shared" si="22"/>
        <v>2.5482</v>
      </c>
      <c r="K88" s="288">
        <f t="shared" si="22"/>
        <v>3.0282000000000004</v>
      </c>
      <c r="L88" s="288">
        <f t="shared" si="22"/>
        <v>3.3482000000000003</v>
      </c>
      <c r="M88" s="288">
        <f t="shared" si="22"/>
        <v>3.6682000000000001</v>
      </c>
      <c r="N88" s="288">
        <f t="shared" si="22"/>
        <v>3.9882000000000004</v>
      </c>
      <c r="O88" s="288">
        <f t="shared" si="22"/>
        <v>4.9481999999999999</v>
      </c>
      <c r="P88" s="288">
        <f t="shared" si="22"/>
        <v>5.9082000000000008</v>
      </c>
      <c r="Q88" s="288">
        <f t="shared" si="22"/>
        <v>6.5482000000000005</v>
      </c>
      <c r="R88" s="288">
        <f t="shared" si="22"/>
        <v>7.1882000000000001</v>
      </c>
      <c r="S88" s="288">
        <f t="shared" si="22"/>
        <v>8.1481999999999992</v>
      </c>
      <c r="T88" s="288">
        <f t="shared" si="22"/>
        <v>9.1082000000000001</v>
      </c>
      <c r="U88" s="288">
        <f t="shared" si="22"/>
        <v>9.7481999999999989</v>
      </c>
    </row>
    <row r="89" spans="1:21" x14ac:dyDescent="0.2">
      <c r="B89" s="267">
        <f>(B88-B87)/B87</f>
        <v>2.9077043246012672E-2</v>
      </c>
      <c r="C89" s="267">
        <f t="shared" ref="C89:U89" si="23">(C88-C87)/C87</f>
        <v>1.0886658825904866E-2</v>
      </c>
      <c r="D89" s="267">
        <f t="shared" si="23"/>
        <v>1.5229239114424349E-2</v>
      </c>
      <c r="E89" s="267">
        <f t="shared" si="23"/>
        <v>4.2630669518086035E-3</v>
      </c>
      <c r="F89" s="267">
        <f t="shared" si="23"/>
        <v>1.3045463939357689E-2</v>
      </c>
      <c r="G89" s="267">
        <f t="shared" si="23"/>
        <v>-3.8844820525986003E-3</v>
      </c>
      <c r="H89" s="267">
        <f t="shared" si="23"/>
        <v>-9.4085937775784494E-3</v>
      </c>
      <c r="I89" s="267">
        <f t="shared" si="23"/>
        <v>-9.4340526322177123E-3</v>
      </c>
      <c r="J89" s="267">
        <f t="shared" si="23"/>
        <v>5.7852040135192881E-4</v>
      </c>
      <c r="K89" s="267">
        <f t="shared" si="23"/>
        <v>1.2798275814784064E-2</v>
      </c>
      <c r="L89" s="267">
        <f t="shared" si="23"/>
        <v>-4.1595961991385917E-3</v>
      </c>
      <c r="M89" s="267">
        <f t="shared" si="23"/>
        <v>1.5424869023423762E-2</v>
      </c>
      <c r="N89" s="267">
        <f t="shared" si="23"/>
        <v>-3.9948094448922821E-3</v>
      </c>
      <c r="O89" s="267">
        <f t="shared" si="23"/>
        <v>-8.0841482697901462E-3</v>
      </c>
      <c r="P89" s="267">
        <f t="shared" si="23"/>
        <v>-6.4703919813595863E-3</v>
      </c>
      <c r="Q89" s="267">
        <f t="shared" si="23"/>
        <v>-9.7146226262910928E-3</v>
      </c>
      <c r="R89" s="267">
        <f t="shared" si="23"/>
        <v>-8.7995777173460275E-3</v>
      </c>
      <c r="S89" s="267">
        <f t="shared" si="23"/>
        <v>-6.9585940659797887E-3</v>
      </c>
      <c r="T89" s="267">
        <f t="shared" si="23"/>
        <v>8.7467095732699767E-3</v>
      </c>
      <c r="U89" s="267">
        <f t="shared" si="23"/>
        <v>9.6093198657996679E-3</v>
      </c>
    </row>
    <row r="91" spans="1:21" x14ac:dyDescent="0.2">
      <c r="A91" s="1" t="s">
        <v>423</v>
      </c>
      <c r="B91" s="29">
        <f t="shared" ref="B91:U91" si="24">MAX(B77,B79,B81,B83,B85)</f>
        <v>0.99951599999999996</v>
      </c>
      <c r="C91" s="29">
        <f t="shared" si="24"/>
        <v>1.15194</v>
      </c>
      <c r="D91" s="29">
        <f t="shared" si="24"/>
        <v>1.288888</v>
      </c>
      <c r="E91" s="29">
        <f t="shared" si="24"/>
        <v>1.485112</v>
      </c>
      <c r="F91" s="29">
        <f t="shared" si="24"/>
        <v>1.5928599999999999</v>
      </c>
      <c r="G91" s="29">
        <f t="shared" si="24"/>
        <v>1.8182839999999998</v>
      </c>
      <c r="H91" s="29">
        <f t="shared" si="24"/>
        <v>2.0209320000000002</v>
      </c>
      <c r="I91" s="29">
        <f t="shared" si="24"/>
        <v>2.1587559999999999</v>
      </c>
      <c r="J91" s="29">
        <f t="shared" si="24"/>
        <v>2.6370519999999997</v>
      </c>
      <c r="K91" s="29">
        <f t="shared" si="24"/>
        <v>2.9903720000000003</v>
      </c>
      <c r="L91" s="29">
        <f t="shared" si="24"/>
        <v>3.4914439999999995</v>
      </c>
      <c r="M91" s="29">
        <f t="shared" si="24"/>
        <v>3.6202160000000001</v>
      </c>
      <c r="N91" s="29">
        <f t="shared" si="24"/>
        <v>4.1650879999999999</v>
      </c>
      <c r="O91" s="29">
        <f t="shared" si="24"/>
        <v>5.1646040000000006</v>
      </c>
      <c r="P91" s="29">
        <f t="shared" si="24"/>
        <v>6.1714199999999995</v>
      </c>
      <c r="Q91" s="29">
        <f t="shared" si="24"/>
        <v>6.837764</v>
      </c>
      <c r="R91" s="29">
        <f t="shared" si="24"/>
        <v>7.5114079999999994</v>
      </c>
      <c r="S91" s="29">
        <f t="shared" si="24"/>
        <v>8.5109239999999993</v>
      </c>
      <c r="T91" s="29">
        <f t="shared" si="24"/>
        <v>9.1282120000000013</v>
      </c>
      <c r="U91" s="29">
        <f t="shared" si="24"/>
        <v>9.7653559999999988</v>
      </c>
    </row>
    <row r="92" spans="1:21" x14ac:dyDescent="0.2">
      <c r="A92" s="1" t="s">
        <v>424</v>
      </c>
      <c r="B92" s="29">
        <f t="shared" ref="B92:U92" si="25">MIN(B77,B79,B81,B83,B85)</f>
        <v>0.90549199999999996</v>
      </c>
      <c r="C92" s="29">
        <f t="shared" si="25"/>
        <v>1.028716</v>
      </c>
      <c r="D92" s="29">
        <f t="shared" si="25"/>
        <v>1.2094640000000001</v>
      </c>
      <c r="E92" s="29">
        <f t="shared" si="25"/>
        <v>1.361888</v>
      </c>
      <c r="F92" s="29">
        <f t="shared" si="25"/>
        <v>1.5426360000000001</v>
      </c>
      <c r="G92" s="29">
        <f t="shared" si="25"/>
        <v>1.6804599999999996</v>
      </c>
      <c r="H92" s="29">
        <f t="shared" si="25"/>
        <v>1.861208</v>
      </c>
      <c r="I92" s="29">
        <f t="shared" si="25"/>
        <v>2.034656</v>
      </c>
      <c r="J92" s="29">
        <f t="shared" si="25"/>
        <v>2.4910519999999998</v>
      </c>
      <c r="K92" s="29">
        <f t="shared" si="25"/>
        <v>2.9894959999999999</v>
      </c>
      <c r="L92" s="29">
        <f t="shared" si="25"/>
        <v>3.2934679999999998</v>
      </c>
      <c r="M92" s="29">
        <f t="shared" si="25"/>
        <v>3.6047400000000001</v>
      </c>
      <c r="N92" s="29">
        <f t="shared" si="25"/>
        <v>3.9087120000000004</v>
      </c>
      <c r="O92" s="29">
        <f t="shared" si="25"/>
        <v>4.8708519999999993</v>
      </c>
      <c r="P92" s="29">
        <f t="shared" si="25"/>
        <v>5.7900679999999998</v>
      </c>
      <c r="Q92" s="29">
        <f t="shared" si="25"/>
        <v>6.4409359999999989</v>
      </c>
      <c r="R92" s="29">
        <f t="shared" si="25"/>
        <v>7.0561799999999995</v>
      </c>
      <c r="S92" s="29">
        <f t="shared" si="25"/>
        <v>7.9680959999999992</v>
      </c>
      <c r="T92" s="29">
        <f t="shared" si="25"/>
        <v>8.9302360000000007</v>
      </c>
      <c r="U92" s="29">
        <f t="shared" si="25"/>
        <v>9.5454799999999995</v>
      </c>
    </row>
    <row r="93" spans="1:21" x14ac:dyDescent="0.2">
      <c r="B93" s="173">
        <f t="shared" ref="B93:U93" si="26">(B91-B92)/B91</f>
        <v>9.4069529652351741E-2</v>
      </c>
      <c r="C93" s="173">
        <f t="shared" si="26"/>
        <v>0.10697084917617238</v>
      </c>
      <c r="D93" s="173">
        <f t="shared" si="26"/>
        <v>6.16221114635251E-2</v>
      </c>
      <c r="E93" s="173">
        <f t="shared" si="26"/>
        <v>8.2972866692882424E-2</v>
      </c>
      <c r="F93" s="173">
        <f t="shared" si="26"/>
        <v>3.1530705774518678E-2</v>
      </c>
      <c r="G93" s="173">
        <f t="shared" si="26"/>
        <v>7.5798940099566503E-2</v>
      </c>
      <c r="H93" s="173">
        <f t="shared" si="26"/>
        <v>7.9034821557578475E-2</v>
      </c>
      <c r="I93" s="173">
        <f t="shared" si="26"/>
        <v>5.7486811849046339E-2</v>
      </c>
      <c r="J93" s="173">
        <f t="shared" si="26"/>
        <v>5.5364854390432927E-2</v>
      </c>
      <c r="K93" s="173">
        <f t="shared" si="26"/>
        <v>2.9294014256431002E-4</v>
      </c>
      <c r="L93" s="173">
        <f t="shared" si="26"/>
        <v>5.670318641799775E-2</v>
      </c>
      <c r="M93" s="173">
        <f t="shared" si="26"/>
        <v>4.2748830456525366E-3</v>
      </c>
      <c r="N93" s="173">
        <f t="shared" si="26"/>
        <v>6.1553561413348168E-2</v>
      </c>
      <c r="O93" s="173">
        <f t="shared" si="26"/>
        <v>5.6877932945101177E-2</v>
      </c>
      <c r="P93" s="173">
        <f t="shared" si="26"/>
        <v>6.1793233972084173E-2</v>
      </c>
      <c r="Q93" s="173">
        <f t="shared" si="26"/>
        <v>5.803476107101694E-2</v>
      </c>
      <c r="R93" s="173">
        <f t="shared" si="26"/>
        <v>6.06048825999067E-2</v>
      </c>
      <c r="S93" s="173">
        <f t="shared" si="26"/>
        <v>6.3780148900401429E-2</v>
      </c>
      <c r="T93" s="173">
        <f t="shared" si="26"/>
        <v>2.1688365695275325E-2</v>
      </c>
      <c r="U93" s="173">
        <f t="shared" si="26"/>
        <v>2.2515922614597905E-2</v>
      </c>
    </row>
    <row r="95" spans="1:21" x14ac:dyDescent="0.2">
      <c r="A95" s="272" t="s">
        <v>417</v>
      </c>
      <c r="B95" s="273">
        <f>'Zehnder Charl. Tabelle'!C$3</f>
        <v>260</v>
      </c>
      <c r="C95" s="273">
        <f>'Zehnder Charl. Tabelle'!D$3</f>
        <v>300</v>
      </c>
      <c r="D95" s="273">
        <f>'Zehnder Charl. Tabelle'!E$3</f>
        <v>350</v>
      </c>
      <c r="E95" s="273">
        <f>'Zehnder Charl. Tabelle'!F$3</f>
        <v>400</v>
      </c>
      <c r="F95" s="273">
        <f>'Zehnder Charl. Tabelle'!G$3</f>
        <v>450</v>
      </c>
      <c r="G95" s="273">
        <f>'Zehnder Charl. Tabelle'!H$3</f>
        <v>500</v>
      </c>
      <c r="H95" s="273">
        <f>'Zehnder Charl. Tabelle'!I$3</f>
        <v>550</v>
      </c>
      <c r="I95" s="273">
        <f>'Zehnder Charl. Tabelle'!J$3</f>
        <v>600</v>
      </c>
      <c r="J95" s="273">
        <f>'Zehnder Charl. Tabelle'!K$3</f>
        <v>750</v>
      </c>
      <c r="K95" s="273">
        <f>'Zehnder Charl. Tabelle'!L$3</f>
        <v>900</v>
      </c>
      <c r="L95" s="273">
        <f>'Zehnder Charl. Tabelle'!M$3</f>
        <v>1000</v>
      </c>
      <c r="M95" s="273">
        <f>'Zehnder Charl. Tabelle'!N$3</f>
        <v>1100</v>
      </c>
      <c r="N95" s="273">
        <f>'Zehnder Charl. Tabelle'!O$3</f>
        <v>1200</v>
      </c>
      <c r="O95" s="273">
        <f>'Zehnder Charl. Tabelle'!P$3</f>
        <v>1500</v>
      </c>
      <c r="P95" s="273">
        <f>'Zehnder Charl. Tabelle'!Q$3</f>
        <v>1800</v>
      </c>
      <c r="Q95" s="273">
        <f>'Zehnder Charl. Tabelle'!R$3</f>
        <v>2000</v>
      </c>
      <c r="R95" s="273">
        <f>'Zehnder Charl. Tabelle'!S$3</f>
        <v>2200</v>
      </c>
      <c r="S95" s="273">
        <f>'Zehnder Charl. Tabelle'!T$3</f>
        <v>2500</v>
      </c>
      <c r="T95" s="273">
        <f>'Zehnder Charl. Tabelle'!U$3</f>
        <v>2800</v>
      </c>
      <c r="U95" s="273">
        <f>'Zehnder Charl. Tabelle'!V$3</f>
        <v>3000</v>
      </c>
    </row>
    <row r="96" spans="1:21" x14ac:dyDescent="0.2">
      <c r="A96" s="1" t="s">
        <v>399</v>
      </c>
      <c r="B96" s="51">
        <f>'Arbonia Tabelle'!E78</f>
        <v>1.282464</v>
      </c>
      <c r="C96" s="51">
        <f>'Arbonia Tabelle'!F78</f>
        <v>1.4559120000000001</v>
      </c>
      <c r="D96" s="51">
        <f>'Arbonia Tabelle'!G78</f>
        <v>1.6512599999999997</v>
      </c>
      <c r="E96" s="51">
        <f>'Arbonia Tabelle'!H78</f>
        <v>1.8466080000000002</v>
      </c>
      <c r="F96" s="51">
        <f>'Arbonia Tabelle'!I78</f>
        <v>2.0419559999999999</v>
      </c>
      <c r="G96" s="51">
        <f>'Arbonia Tabelle'!J78</f>
        <v>2.237304</v>
      </c>
      <c r="H96" s="51">
        <f>'Arbonia Tabelle'!K78</f>
        <v>2.4399519999999999</v>
      </c>
      <c r="I96" s="51">
        <f>'Arbonia Tabelle'!L78</f>
        <v>2.6353</v>
      </c>
      <c r="J96" s="51">
        <f>'Arbonia Tabelle'!M78</f>
        <v>3.1784199999999996</v>
      </c>
      <c r="K96" s="287">
        <f>'Arbonia Tabelle'!N78</f>
        <v>3.7717639999999997</v>
      </c>
      <c r="L96" s="287">
        <f>'Arbonia Tabelle'!O78</f>
        <v>4.1624600000000003</v>
      </c>
      <c r="M96" s="287">
        <f>'Arbonia Tabelle'!P78</f>
        <v>4.5531559999999995</v>
      </c>
      <c r="N96" s="287">
        <f>'Arbonia Tabelle'!Q78</f>
        <v>4.9511520000000004</v>
      </c>
      <c r="O96" s="287">
        <f>'Arbonia Tabelle'!R78</f>
        <v>6.1305399999999999</v>
      </c>
      <c r="P96" s="287">
        <f>'Arbonia Tabelle'!S78</f>
        <v>7.3099280000000002</v>
      </c>
      <c r="Q96" s="287">
        <f>'Arbonia Tabelle'!T78</f>
        <v>8.0913199999999996</v>
      </c>
      <c r="R96" s="287">
        <f>'Arbonia Tabelle'!U78</f>
        <v>8.8370879999999996</v>
      </c>
      <c r="S96" s="287">
        <f>'Arbonia Tabelle'!V78</f>
        <v>10.016476000000001</v>
      </c>
      <c r="T96" s="287">
        <f>'Arbonia Tabelle'!W78</f>
        <v>11.195864</v>
      </c>
      <c r="U96" s="287">
        <f>'Arbonia Tabelle'!X78</f>
        <v>11.984556</v>
      </c>
    </row>
    <row r="97" spans="1:21" x14ac:dyDescent="0.2">
      <c r="A97" s="268" t="s">
        <v>421</v>
      </c>
      <c r="B97" s="279">
        <f xml:space="preserve">  0.0039*B95 + 0.2803</f>
        <v>1.2943</v>
      </c>
      <c r="C97" s="279">
        <f t="shared" ref="C97:U97" si="27" xml:space="preserve">  0.0039*C95 + 0.2803</f>
        <v>1.4502999999999999</v>
      </c>
      <c r="D97" s="279">
        <f t="shared" si="27"/>
        <v>1.6453</v>
      </c>
      <c r="E97" s="279">
        <f t="shared" si="27"/>
        <v>1.8402999999999998</v>
      </c>
      <c r="F97" s="279">
        <f t="shared" si="27"/>
        <v>2.0352999999999999</v>
      </c>
      <c r="G97" s="279">
        <f t="shared" si="27"/>
        <v>2.2302999999999997</v>
      </c>
      <c r="H97" s="279">
        <f t="shared" si="27"/>
        <v>2.4253</v>
      </c>
      <c r="I97" s="279">
        <f t="shared" si="27"/>
        <v>2.6202999999999999</v>
      </c>
      <c r="J97" s="279">
        <f t="shared" si="27"/>
        <v>3.2052999999999998</v>
      </c>
      <c r="K97" s="279">
        <f t="shared" si="27"/>
        <v>3.7902999999999998</v>
      </c>
      <c r="L97" s="279">
        <f t="shared" si="27"/>
        <v>4.1802999999999999</v>
      </c>
      <c r="M97" s="279">
        <f t="shared" si="27"/>
        <v>4.5702999999999996</v>
      </c>
      <c r="N97" s="279">
        <f t="shared" si="27"/>
        <v>4.9603000000000002</v>
      </c>
      <c r="O97" s="279">
        <f t="shared" si="27"/>
        <v>6.1303000000000001</v>
      </c>
      <c r="P97" s="279">
        <f t="shared" si="27"/>
        <v>7.3003</v>
      </c>
      <c r="Q97" s="279">
        <f t="shared" si="27"/>
        <v>8.0802999999999994</v>
      </c>
      <c r="R97" s="279">
        <f t="shared" si="27"/>
        <v>8.8603000000000005</v>
      </c>
      <c r="S97" s="279">
        <f t="shared" si="27"/>
        <v>10.0303</v>
      </c>
      <c r="T97" s="279">
        <f t="shared" si="27"/>
        <v>11.2003</v>
      </c>
      <c r="U97" s="279">
        <f t="shared" si="27"/>
        <v>11.9803</v>
      </c>
    </row>
    <row r="98" spans="1:21" ht="12.6" customHeight="1" x14ac:dyDescent="0.2">
      <c r="A98" s="269" t="s">
        <v>343</v>
      </c>
      <c r="B98" s="287">
        <f>'Zehnder Charl. Tabelle'!C88</f>
        <v>1.0716399999999999</v>
      </c>
      <c r="C98" s="287">
        <f>'Zehnder Charl. Tabelle'!D88</f>
        <v>1.2523879999999998</v>
      </c>
      <c r="D98" s="287">
        <f>'Zehnder Charl. Tabelle'!E88</f>
        <v>1.4194119999999999</v>
      </c>
      <c r="E98" s="287">
        <f>'Zehnder Charl. Tabelle'!F88</f>
        <v>1.7461599999999997</v>
      </c>
      <c r="F98" s="287">
        <f>'Zehnder Charl. Tabelle'!G88</f>
        <v>1.9488080000000001</v>
      </c>
      <c r="G98" s="287">
        <f>'Zehnder Charl. Tabelle'!H88</f>
        <v>2.151456</v>
      </c>
      <c r="H98" s="287">
        <f>'Zehnder Charl. Tabelle'!I88</f>
        <v>2.3184800000000001</v>
      </c>
      <c r="I98" s="287">
        <f>'Zehnder Charl. Tabelle'!J88</f>
        <v>2.5640520000000002</v>
      </c>
      <c r="J98" s="287">
        <f>'Zehnder Charl. Tabelle'!K88</f>
        <v>3.1792959999999995</v>
      </c>
      <c r="K98" s="274">
        <f>'Zehnder Charl. Tabelle'!L88</f>
        <v>3.79454</v>
      </c>
      <c r="L98" s="274">
        <f>'Zehnder Charl. Tabelle'!M88</f>
        <v>4.2071360000000002</v>
      </c>
      <c r="M98" s="274">
        <f>'Zehnder Charl. Tabelle'!N88</f>
        <v>4.6124320000000001</v>
      </c>
      <c r="N98" s="274">
        <f>'Zehnder Charl. Tabelle'!O88</f>
        <v>5.0250279999999998</v>
      </c>
      <c r="O98" s="274">
        <f>'Zehnder Charl. Tabelle'!P88</f>
        <v>6.2555159999999992</v>
      </c>
      <c r="P98" s="274">
        <f>'Zehnder Charl. Tabelle'!Q88</f>
        <v>7.4430800000000001</v>
      </c>
      <c r="Q98" s="274">
        <f>'Zehnder Charl. Tabelle'!R88</f>
        <v>8.2609720000000006</v>
      </c>
      <c r="R98" s="274">
        <f>'Zehnder Charl. Tabelle'!S88</f>
        <v>9.0861640000000001</v>
      </c>
      <c r="S98" s="274">
        <f>'Zehnder Charl. Tabelle'!T88</f>
        <v>10.316651999999999</v>
      </c>
      <c r="T98" s="274">
        <f>'Zehnder Charl. Tabelle'!U88</f>
        <v>11.547140000000001</v>
      </c>
      <c r="U98" s="274">
        <f>'Zehnder Charl. Tabelle'!V88</f>
        <v>12.365031999999999</v>
      </c>
    </row>
    <row r="99" spans="1:21" x14ac:dyDescent="0.2">
      <c r="A99" s="268" t="s">
        <v>422</v>
      </c>
      <c r="B99" s="279">
        <f xml:space="preserve"> 0.0041*B95 + 0.0735</f>
        <v>1.1395</v>
      </c>
      <c r="C99" s="279">
        <f t="shared" ref="C99:U99" si="28" xml:space="preserve"> 0.0041*C95 + 0.0735</f>
        <v>1.3035000000000001</v>
      </c>
      <c r="D99" s="279">
        <f t="shared" si="28"/>
        <v>1.5085</v>
      </c>
      <c r="E99" s="279">
        <f t="shared" si="28"/>
        <v>1.7135</v>
      </c>
      <c r="F99" s="279">
        <f t="shared" si="28"/>
        <v>1.9185000000000001</v>
      </c>
      <c r="G99" s="279">
        <f t="shared" si="28"/>
        <v>2.1235000000000004</v>
      </c>
      <c r="H99" s="279">
        <f t="shared" si="28"/>
        <v>2.3285000000000005</v>
      </c>
      <c r="I99" s="279">
        <f t="shared" si="28"/>
        <v>2.5335000000000005</v>
      </c>
      <c r="J99" s="279">
        <f t="shared" si="28"/>
        <v>3.1485000000000003</v>
      </c>
      <c r="K99" s="279">
        <f t="shared" si="28"/>
        <v>3.7635000000000005</v>
      </c>
      <c r="L99" s="279">
        <f t="shared" si="28"/>
        <v>4.1735000000000007</v>
      </c>
      <c r="M99" s="279">
        <f t="shared" si="28"/>
        <v>4.5835000000000008</v>
      </c>
      <c r="N99" s="279">
        <f t="shared" si="28"/>
        <v>4.9935000000000009</v>
      </c>
      <c r="O99" s="279">
        <f t="shared" si="28"/>
        <v>6.2235000000000005</v>
      </c>
      <c r="P99" s="279">
        <f t="shared" si="28"/>
        <v>7.4535000000000009</v>
      </c>
      <c r="Q99" s="279">
        <f t="shared" si="28"/>
        <v>8.2735000000000003</v>
      </c>
      <c r="R99" s="279">
        <f t="shared" si="28"/>
        <v>9.0935000000000006</v>
      </c>
      <c r="S99" s="279">
        <f t="shared" si="28"/>
        <v>10.323499999999999</v>
      </c>
      <c r="T99" s="279">
        <f t="shared" si="28"/>
        <v>11.5535</v>
      </c>
      <c r="U99" s="279">
        <f t="shared" si="28"/>
        <v>12.3735</v>
      </c>
    </row>
    <row r="100" spans="1:21" x14ac:dyDescent="0.2">
      <c r="A100" s="1" t="s">
        <v>441</v>
      </c>
      <c r="B100" s="29"/>
      <c r="C100" s="29"/>
      <c r="D100" s="29"/>
      <c r="E100" s="29"/>
      <c r="F100" s="29"/>
      <c r="G100" s="29"/>
      <c r="H100" s="29"/>
      <c r="I100" s="29"/>
      <c r="J100" s="29"/>
      <c r="K100" s="29"/>
      <c r="L100" s="29"/>
      <c r="M100" s="187"/>
      <c r="N100" s="29"/>
      <c r="O100" s="29"/>
      <c r="P100" s="29"/>
      <c r="Q100" s="29"/>
      <c r="R100" s="29"/>
      <c r="S100" s="29"/>
      <c r="T100" s="29"/>
      <c r="U100" s="29"/>
    </row>
    <row r="101" spans="1:21" x14ac:dyDescent="0.2">
      <c r="A101" s="1" t="s">
        <v>643</v>
      </c>
      <c r="B101" s="29"/>
      <c r="C101" s="29"/>
      <c r="D101" s="29"/>
      <c r="E101" s="29"/>
      <c r="F101" s="29"/>
      <c r="G101" s="29"/>
      <c r="H101" s="29"/>
      <c r="I101" s="29"/>
      <c r="J101" s="29"/>
      <c r="K101" s="29"/>
      <c r="L101" s="29"/>
      <c r="M101" s="29"/>
      <c r="N101" s="29"/>
      <c r="O101" s="29"/>
      <c r="P101" s="29"/>
      <c r="Q101" s="29"/>
      <c r="R101" s="29"/>
      <c r="S101" s="29"/>
      <c r="T101" s="29"/>
      <c r="U101" s="29"/>
    </row>
    <row r="102" spans="1:21" x14ac:dyDescent="0.2">
      <c r="A102" s="269" t="s">
        <v>635</v>
      </c>
      <c r="B102" s="270"/>
      <c r="C102" s="286">
        <f>'Cordivari Tabelle'!D78</f>
        <v>1.420288</v>
      </c>
      <c r="D102" s="270"/>
      <c r="E102" s="286">
        <f>'Cordivari Tabelle'!E78</f>
        <v>1.8474840000000001</v>
      </c>
      <c r="F102" s="270"/>
      <c r="G102" s="286">
        <f>'Cordivari Tabelle'!F78</f>
        <v>2.2819799999999999</v>
      </c>
      <c r="H102" s="286">
        <f>'Cordivari Tabelle'!G78</f>
        <v>2.5065279999999999</v>
      </c>
      <c r="I102" s="286">
        <f>'Cordivari Tabelle'!I78</f>
        <v>2.7091759999999998</v>
      </c>
      <c r="J102" s="286">
        <f>'Cordivari Tabelle'!M78</f>
        <v>3.3106960000000001</v>
      </c>
      <c r="K102" s="270"/>
      <c r="L102" s="286">
        <f>'Cordivari Tabelle'!S78</f>
        <v>4.3823359999999996</v>
      </c>
      <c r="M102" s="270"/>
      <c r="N102" s="286">
        <f>'Cordivari Tabelle'!T78</f>
        <v>5.1938040000000001</v>
      </c>
      <c r="O102" s="286">
        <f>'Cordivari Tabelle'!U78</f>
        <v>6.4826919999999992</v>
      </c>
      <c r="P102" s="286">
        <f>'Cordivari Tabelle'!W78</f>
        <v>7.728656</v>
      </c>
      <c r="Q102" s="286">
        <f>'Cordivari Tabelle'!Y78</f>
        <v>8.5830479999999998</v>
      </c>
      <c r="R102" s="286">
        <f>'Cordivari Tabelle'!AA78</f>
        <v>9.4018160000000002</v>
      </c>
      <c r="S102" s="286">
        <f>'Cordivari Tabelle'!AB78</f>
        <v>10.647779999999999</v>
      </c>
      <c r="T102" s="270"/>
      <c r="U102" s="270"/>
    </row>
    <row r="103" spans="1:21" x14ac:dyDescent="0.2">
      <c r="A103" s="268" t="s">
        <v>644</v>
      </c>
      <c r="B103" s="271"/>
      <c r="C103" s="279">
        <f xml:space="preserve"> 0.0042*C95 + 0.1701</f>
        <v>1.4300999999999999</v>
      </c>
      <c r="D103" s="279">
        <f t="shared" ref="D103:S103" si="29" xml:space="preserve"> 0.0042*D95 + 0.1701</f>
        <v>1.6400999999999999</v>
      </c>
      <c r="E103" s="279">
        <f t="shared" si="29"/>
        <v>1.8500999999999999</v>
      </c>
      <c r="F103" s="279">
        <f t="shared" si="29"/>
        <v>2.0600999999999998</v>
      </c>
      <c r="G103" s="279">
        <f t="shared" si="29"/>
        <v>2.2701000000000002</v>
      </c>
      <c r="H103" s="279">
        <f t="shared" si="29"/>
        <v>2.4801000000000002</v>
      </c>
      <c r="I103" s="279">
        <f t="shared" si="29"/>
        <v>2.6901000000000002</v>
      </c>
      <c r="J103" s="279">
        <f t="shared" si="29"/>
        <v>3.3201000000000001</v>
      </c>
      <c r="K103" s="279">
        <f t="shared" si="29"/>
        <v>3.9500999999999999</v>
      </c>
      <c r="L103" s="279">
        <f t="shared" si="29"/>
        <v>4.3700999999999999</v>
      </c>
      <c r="M103" s="279">
        <f t="shared" si="29"/>
        <v>4.7900999999999998</v>
      </c>
      <c r="N103" s="279">
        <f t="shared" si="29"/>
        <v>5.2100999999999997</v>
      </c>
      <c r="O103" s="279">
        <f t="shared" si="29"/>
        <v>6.4700999999999995</v>
      </c>
      <c r="P103" s="279">
        <f t="shared" si="29"/>
        <v>7.7300999999999993</v>
      </c>
      <c r="Q103" s="279">
        <f t="shared" si="29"/>
        <v>8.5701000000000001</v>
      </c>
      <c r="R103" s="279">
        <f t="shared" si="29"/>
        <v>9.4100999999999999</v>
      </c>
      <c r="S103" s="279">
        <f t="shared" si="29"/>
        <v>10.6701</v>
      </c>
      <c r="T103" s="271"/>
      <c r="U103" s="271"/>
    </row>
    <row r="104" spans="1:21" x14ac:dyDescent="0.2">
      <c r="A104" s="1" t="s">
        <v>634</v>
      </c>
      <c r="B104" s="29"/>
      <c r="C104" s="29"/>
      <c r="D104" s="29"/>
      <c r="E104" s="29"/>
      <c r="F104" s="29"/>
      <c r="G104" s="29"/>
      <c r="H104" s="29"/>
      <c r="I104" s="29"/>
      <c r="J104" s="29"/>
      <c r="K104" s="29"/>
      <c r="L104" s="29"/>
      <c r="M104" s="29"/>
      <c r="N104" s="29"/>
      <c r="O104" s="29"/>
      <c r="P104" s="29"/>
      <c r="Q104" s="29"/>
      <c r="R104" s="29"/>
      <c r="S104" s="29"/>
      <c r="T104" s="29"/>
      <c r="U104" s="29"/>
    </row>
    <row r="105" spans="1:21" x14ac:dyDescent="0.2">
      <c r="A105" s="1" t="s">
        <v>645</v>
      </c>
      <c r="B105" s="29"/>
      <c r="C105" s="29"/>
      <c r="D105" s="29"/>
      <c r="E105" s="29"/>
      <c r="F105" s="29"/>
      <c r="G105" s="29"/>
      <c r="H105" s="29"/>
      <c r="I105" s="29"/>
      <c r="J105" s="29"/>
      <c r="K105" s="29"/>
      <c r="L105" s="29"/>
      <c r="M105" s="29"/>
      <c r="N105" s="29"/>
      <c r="O105" s="29"/>
      <c r="P105" s="29"/>
      <c r="Q105" s="29"/>
      <c r="R105" s="29"/>
      <c r="S105" s="29"/>
      <c r="T105" s="29"/>
      <c r="U105" s="29"/>
    </row>
    <row r="106" spans="1:21" x14ac:dyDescent="0.2">
      <c r="A106" s="269" t="s">
        <v>646</v>
      </c>
      <c r="B106" s="274">
        <f>AVERAGE(B96,B98,B100,B102,B104)</f>
        <v>1.177052</v>
      </c>
      <c r="C106" s="274">
        <f t="shared" ref="C106:U106" si="30">AVERAGE(C96,C98,C100,C102,C104)</f>
        <v>1.376196</v>
      </c>
      <c r="D106" s="274">
        <f t="shared" si="30"/>
        <v>1.5353359999999998</v>
      </c>
      <c r="E106" s="274">
        <f t="shared" si="30"/>
        <v>1.8134173333333334</v>
      </c>
      <c r="F106" s="274">
        <f t="shared" si="30"/>
        <v>1.995382</v>
      </c>
      <c r="G106" s="274">
        <f t="shared" si="30"/>
        <v>2.2235799999999997</v>
      </c>
      <c r="H106" s="274">
        <f t="shared" si="30"/>
        <v>2.4216533333333334</v>
      </c>
      <c r="I106" s="274">
        <f t="shared" si="30"/>
        <v>2.6361760000000003</v>
      </c>
      <c r="J106" s="274">
        <f t="shared" si="30"/>
        <v>3.222804</v>
      </c>
      <c r="K106" s="274">
        <f t="shared" si="30"/>
        <v>3.7831519999999998</v>
      </c>
      <c r="L106" s="274">
        <f t="shared" si="30"/>
        <v>4.2506440000000003</v>
      </c>
      <c r="M106" s="274">
        <f t="shared" si="30"/>
        <v>4.5827939999999998</v>
      </c>
      <c r="N106" s="274">
        <f t="shared" si="30"/>
        <v>5.0566613333333335</v>
      </c>
      <c r="O106" s="274">
        <f t="shared" si="30"/>
        <v>6.289582666666667</v>
      </c>
      <c r="P106" s="274">
        <f t="shared" si="30"/>
        <v>7.493888000000001</v>
      </c>
      <c r="Q106" s="274">
        <f t="shared" si="30"/>
        <v>8.3117799999999988</v>
      </c>
      <c r="R106" s="274">
        <f t="shared" si="30"/>
        <v>9.1083559999999988</v>
      </c>
      <c r="S106" s="274">
        <f t="shared" si="30"/>
        <v>10.326969333333333</v>
      </c>
      <c r="T106" s="274">
        <f t="shared" si="30"/>
        <v>11.371502</v>
      </c>
      <c r="U106" s="274">
        <f t="shared" si="30"/>
        <v>12.174793999999999</v>
      </c>
    </row>
    <row r="107" spans="1:21" s="1" customFormat="1" x14ac:dyDescent="0.2">
      <c r="A107" s="268" t="s">
        <v>647</v>
      </c>
      <c r="B107" s="288">
        <f>0.004*B95 + 0.1919</f>
        <v>1.2319</v>
      </c>
      <c r="C107" s="288">
        <f t="shared" ref="C107:U107" si="31">0.004*C95 + 0.1919</f>
        <v>1.3918999999999999</v>
      </c>
      <c r="D107" s="288">
        <f t="shared" si="31"/>
        <v>1.5919000000000001</v>
      </c>
      <c r="E107" s="288">
        <f t="shared" si="31"/>
        <v>1.7919</v>
      </c>
      <c r="F107" s="288">
        <f t="shared" si="31"/>
        <v>1.9919</v>
      </c>
      <c r="G107" s="288">
        <f t="shared" si="31"/>
        <v>2.1919</v>
      </c>
      <c r="H107" s="288">
        <f t="shared" si="31"/>
        <v>2.3919000000000001</v>
      </c>
      <c r="I107" s="288">
        <f t="shared" si="31"/>
        <v>2.5918999999999999</v>
      </c>
      <c r="J107" s="288">
        <f t="shared" si="31"/>
        <v>3.1919</v>
      </c>
      <c r="K107" s="288">
        <f t="shared" si="31"/>
        <v>3.7919</v>
      </c>
      <c r="L107" s="288">
        <f t="shared" si="31"/>
        <v>4.1919000000000004</v>
      </c>
      <c r="M107" s="288">
        <f t="shared" si="31"/>
        <v>4.5919000000000008</v>
      </c>
      <c r="N107" s="288">
        <f t="shared" si="31"/>
        <v>4.9919000000000002</v>
      </c>
      <c r="O107" s="288">
        <f t="shared" si="31"/>
        <v>6.1919000000000004</v>
      </c>
      <c r="P107" s="288">
        <f t="shared" si="31"/>
        <v>7.3919000000000006</v>
      </c>
      <c r="Q107" s="288">
        <f t="shared" si="31"/>
        <v>8.1919000000000004</v>
      </c>
      <c r="R107" s="288">
        <f t="shared" si="31"/>
        <v>8.9919000000000011</v>
      </c>
      <c r="S107" s="288">
        <f t="shared" si="31"/>
        <v>10.1919</v>
      </c>
      <c r="T107" s="288">
        <f t="shared" si="31"/>
        <v>11.391900000000001</v>
      </c>
      <c r="U107" s="288">
        <f t="shared" si="31"/>
        <v>12.1919</v>
      </c>
    </row>
    <row r="108" spans="1:21" x14ac:dyDescent="0.2">
      <c r="B108" s="267">
        <f>(B107-B106)/B106</f>
        <v>4.6597771381383331E-2</v>
      </c>
      <c r="C108" s="267">
        <f t="shared" ref="C108:U108" si="32">(C107-C106)/C106</f>
        <v>1.1411165270063233E-2</v>
      </c>
      <c r="D108" s="267">
        <f t="shared" si="32"/>
        <v>3.6841447083895827E-2</v>
      </c>
      <c r="E108" s="267">
        <f t="shared" si="32"/>
        <v>-1.1865626812875609E-2</v>
      </c>
      <c r="F108" s="267">
        <f t="shared" si="32"/>
        <v>-1.7450292725904037E-3</v>
      </c>
      <c r="G108" s="267">
        <f t="shared" si="32"/>
        <v>-1.4247294902814251E-2</v>
      </c>
      <c r="H108" s="267">
        <f t="shared" si="32"/>
        <v>-1.2286371845130584E-2</v>
      </c>
      <c r="I108" s="267">
        <f t="shared" si="32"/>
        <v>-1.6795540206723837E-2</v>
      </c>
      <c r="J108" s="267">
        <f t="shared" si="32"/>
        <v>-9.5891652114121866E-3</v>
      </c>
      <c r="K108" s="267">
        <f t="shared" si="32"/>
        <v>2.3123575262110007E-3</v>
      </c>
      <c r="L108" s="267">
        <f t="shared" si="32"/>
        <v>-1.3820023507026206E-2</v>
      </c>
      <c r="M108" s="267">
        <f t="shared" si="32"/>
        <v>1.9869974517730772E-3</v>
      </c>
      <c r="N108" s="267">
        <f t="shared" si="32"/>
        <v>-1.2807132822289046E-2</v>
      </c>
      <c r="O108" s="267">
        <f t="shared" si="32"/>
        <v>-1.5530866170876824E-2</v>
      </c>
      <c r="P108" s="267">
        <f t="shared" si="32"/>
        <v>-1.360949082772526E-2</v>
      </c>
      <c r="Q108" s="267">
        <f t="shared" si="32"/>
        <v>-1.4422903397346712E-2</v>
      </c>
      <c r="R108" s="267">
        <f t="shared" si="32"/>
        <v>-1.2785622345020077E-2</v>
      </c>
      <c r="S108" s="267">
        <f t="shared" si="32"/>
        <v>-1.307928095587116E-2</v>
      </c>
      <c r="T108" s="267">
        <f t="shared" si="32"/>
        <v>1.7937823868827455E-3</v>
      </c>
      <c r="U108" s="267">
        <f t="shared" si="32"/>
        <v>1.4050340400011568E-3</v>
      </c>
    </row>
    <row r="110" spans="1:21" x14ac:dyDescent="0.2">
      <c r="A110" s="1" t="s">
        <v>423</v>
      </c>
      <c r="B110" s="29">
        <f t="shared" ref="B110:U110" si="33">MAX(B96,B98,B100,B102,B104)</f>
        <v>1.282464</v>
      </c>
      <c r="C110" s="29">
        <f t="shared" si="33"/>
        <v>1.4559120000000001</v>
      </c>
      <c r="D110" s="29">
        <f t="shared" si="33"/>
        <v>1.6512599999999997</v>
      </c>
      <c r="E110" s="29">
        <f t="shared" si="33"/>
        <v>1.8474840000000001</v>
      </c>
      <c r="F110" s="29">
        <f t="shared" si="33"/>
        <v>2.0419559999999999</v>
      </c>
      <c r="G110" s="29">
        <f t="shared" si="33"/>
        <v>2.2819799999999999</v>
      </c>
      <c r="H110" s="29">
        <f t="shared" si="33"/>
        <v>2.5065279999999999</v>
      </c>
      <c r="I110" s="29">
        <f t="shared" si="33"/>
        <v>2.7091759999999998</v>
      </c>
      <c r="J110" s="29">
        <f t="shared" si="33"/>
        <v>3.3106960000000001</v>
      </c>
      <c r="K110" s="29">
        <f t="shared" si="33"/>
        <v>3.79454</v>
      </c>
      <c r="L110" s="29">
        <f t="shared" si="33"/>
        <v>4.3823359999999996</v>
      </c>
      <c r="M110" s="29">
        <f t="shared" si="33"/>
        <v>4.6124320000000001</v>
      </c>
      <c r="N110" s="29">
        <f t="shared" si="33"/>
        <v>5.1938040000000001</v>
      </c>
      <c r="O110" s="29">
        <f t="shared" si="33"/>
        <v>6.4826919999999992</v>
      </c>
      <c r="P110" s="29">
        <f t="shared" si="33"/>
        <v>7.728656</v>
      </c>
      <c r="Q110" s="29">
        <f t="shared" si="33"/>
        <v>8.5830479999999998</v>
      </c>
      <c r="R110" s="29">
        <f t="shared" si="33"/>
        <v>9.4018160000000002</v>
      </c>
      <c r="S110" s="29">
        <f t="shared" si="33"/>
        <v>10.647779999999999</v>
      </c>
      <c r="T110" s="29">
        <f t="shared" si="33"/>
        <v>11.547140000000001</v>
      </c>
      <c r="U110" s="29">
        <f t="shared" si="33"/>
        <v>12.365031999999999</v>
      </c>
    </row>
    <row r="111" spans="1:21" x14ac:dyDescent="0.2">
      <c r="A111" s="1" t="s">
        <v>424</v>
      </c>
      <c r="B111" s="29">
        <f t="shared" ref="B111:U111" si="34">MIN(B96,B98,B100,B102,B104)</f>
        <v>1.0716399999999999</v>
      </c>
      <c r="C111" s="29">
        <f t="shared" si="34"/>
        <v>1.2523879999999998</v>
      </c>
      <c r="D111" s="29">
        <f t="shared" si="34"/>
        <v>1.4194119999999999</v>
      </c>
      <c r="E111" s="29">
        <f t="shared" si="34"/>
        <v>1.7461599999999997</v>
      </c>
      <c r="F111" s="29">
        <f t="shared" si="34"/>
        <v>1.9488080000000001</v>
      </c>
      <c r="G111" s="29">
        <f t="shared" si="34"/>
        <v>2.151456</v>
      </c>
      <c r="H111" s="29">
        <f t="shared" si="34"/>
        <v>2.3184800000000001</v>
      </c>
      <c r="I111" s="29">
        <f t="shared" si="34"/>
        <v>2.5640520000000002</v>
      </c>
      <c r="J111" s="29">
        <f t="shared" si="34"/>
        <v>3.1784199999999996</v>
      </c>
      <c r="K111" s="29">
        <f t="shared" si="34"/>
        <v>3.7717639999999997</v>
      </c>
      <c r="L111" s="29">
        <f t="shared" si="34"/>
        <v>4.1624600000000003</v>
      </c>
      <c r="M111" s="29">
        <f t="shared" si="34"/>
        <v>4.5531559999999995</v>
      </c>
      <c r="N111" s="29">
        <f t="shared" si="34"/>
        <v>4.9511520000000004</v>
      </c>
      <c r="O111" s="29">
        <f t="shared" si="34"/>
        <v>6.1305399999999999</v>
      </c>
      <c r="P111" s="29">
        <f t="shared" si="34"/>
        <v>7.3099280000000002</v>
      </c>
      <c r="Q111" s="29">
        <f t="shared" si="34"/>
        <v>8.0913199999999996</v>
      </c>
      <c r="R111" s="29">
        <f t="shared" si="34"/>
        <v>8.8370879999999996</v>
      </c>
      <c r="S111" s="29">
        <f t="shared" si="34"/>
        <v>10.016476000000001</v>
      </c>
      <c r="T111" s="29">
        <f t="shared" si="34"/>
        <v>11.195864</v>
      </c>
      <c r="U111" s="29">
        <f t="shared" si="34"/>
        <v>11.984556</v>
      </c>
    </row>
    <row r="112" spans="1:21" x14ac:dyDescent="0.2">
      <c r="B112" s="173">
        <f t="shared" ref="B112:U112" si="35">(B110-B111)/B110</f>
        <v>0.16438979963570136</v>
      </c>
      <c r="C112" s="173">
        <f t="shared" si="35"/>
        <v>0.13979141596470132</v>
      </c>
      <c r="D112" s="173">
        <f t="shared" si="35"/>
        <v>0.14040671971706448</v>
      </c>
      <c r="E112" s="173">
        <f t="shared" si="35"/>
        <v>5.4844318002212962E-2</v>
      </c>
      <c r="F112" s="173">
        <f t="shared" si="35"/>
        <v>4.5617045617045514E-2</v>
      </c>
      <c r="G112" s="173">
        <f t="shared" si="35"/>
        <v>5.7197696737044085E-2</v>
      </c>
      <c r="H112" s="173">
        <f t="shared" si="35"/>
        <v>7.5023299161230114E-2</v>
      </c>
      <c r="I112" s="173">
        <f t="shared" si="35"/>
        <v>5.356757921965926E-2</v>
      </c>
      <c r="J112" s="173">
        <f t="shared" si="35"/>
        <v>3.9954136532016377E-2</v>
      </c>
      <c r="K112" s="173">
        <f t="shared" si="35"/>
        <v>6.0023085802232553E-3</v>
      </c>
      <c r="L112" s="173">
        <f t="shared" si="35"/>
        <v>5.0173240938166157E-2</v>
      </c>
      <c r="M112" s="173">
        <f t="shared" si="35"/>
        <v>1.2851354773360463E-2</v>
      </c>
      <c r="N112" s="173">
        <f t="shared" si="35"/>
        <v>4.6719514251981717E-2</v>
      </c>
      <c r="O112" s="173">
        <f t="shared" si="35"/>
        <v>5.432187739291014E-2</v>
      </c>
      <c r="P112" s="173">
        <f t="shared" si="35"/>
        <v>5.4178630799455917E-2</v>
      </c>
      <c r="Q112" s="173">
        <f t="shared" si="35"/>
        <v>5.7290603524528839E-2</v>
      </c>
      <c r="R112" s="173">
        <f t="shared" si="35"/>
        <v>6.0065842598919249E-2</v>
      </c>
      <c r="S112" s="173">
        <f t="shared" si="35"/>
        <v>5.9289729877965019E-2</v>
      </c>
      <c r="T112" s="173">
        <f t="shared" si="35"/>
        <v>3.042103932229109E-2</v>
      </c>
      <c r="U112" s="173">
        <f t="shared" si="35"/>
        <v>3.077032069144664E-2</v>
      </c>
    </row>
    <row r="114" spans="1:21" x14ac:dyDescent="0.2">
      <c r="A114" s="272" t="s">
        <v>418</v>
      </c>
      <c r="B114" s="273">
        <f>'Zehnder Charl. Tabelle'!C$3</f>
        <v>260</v>
      </c>
      <c r="C114" s="273">
        <f>'Zehnder Charl. Tabelle'!D$3</f>
        <v>300</v>
      </c>
      <c r="D114" s="273">
        <f>'Zehnder Charl. Tabelle'!E$3</f>
        <v>350</v>
      </c>
      <c r="E114" s="273">
        <f>'Zehnder Charl. Tabelle'!F$3</f>
        <v>400</v>
      </c>
      <c r="F114" s="273">
        <f>'Zehnder Charl. Tabelle'!G$3</f>
        <v>450</v>
      </c>
      <c r="G114" s="273">
        <f>'Zehnder Charl. Tabelle'!H$3</f>
        <v>500</v>
      </c>
      <c r="H114" s="273">
        <f>'Zehnder Charl. Tabelle'!I$3</f>
        <v>550</v>
      </c>
      <c r="I114" s="273">
        <f>'Zehnder Charl. Tabelle'!J$3</f>
        <v>600</v>
      </c>
      <c r="J114" s="273">
        <f>'Zehnder Charl. Tabelle'!K$3</f>
        <v>750</v>
      </c>
      <c r="K114" s="273">
        <f>'Zehnder Charl. Tabelle'!L$3</f>
        <v>900</v>
      </c>
      <c r="L114" s="273">
        <f>'Zehnder Charl. Tabelle'!M$3</f>
        <v>1000</v>
      </c>
      <c r="M114" s="273">
        <f>'Zehnder Charl. Tabelle'!N$3</f>
        <v>1100</v>
      </c>
      <c r="N114" s="273">
        <f>'Zehnder Charl. Tabelle'!O$3</f>
        <v>1200</v>
      </c>
      <c r="O114" s="273">
        <f>'Zehnder Charl. Tabelle'!P$3</f>
        <v>1500</v>
      </c>
      <c r="P114" s="273">
        <f>'Zehnder Charl. Tabelle'!Q$3</f>
        <v>1800</v>
      </c>
      <c r="Q114" s="273">
        <f>'Zehnder Charl. Tabelle'!R$3</f>
        <v>2000</v>
      </c>
      <c r="R114" s="273">
        <f>'Zehnder Charl. Tabelle'!S$3</f>
        <v>2200</v>
      </c>
      <c r="S114" s="273">
        <f>'Zehnder Charl. Tabelle'!T$3</f>
        <v>2500</v>
      </c>
      <c r="T114" s="273">
        <f>'Zehnder Charl. Tabelle'!U$3</f>
        <v>2800</v>
      </c>
      <c r="U114" s="273">
        <f>'Zehnder Charl. Tabelle'!V$3</f>
        <v>3000</v>
      </c>
    </row>
    <row r="115" spans="1:21" x14ac:dyDescent="0.2">
      <c r="A115" s="1" t="s">
        <v>399</v>
      </c>
      <c r="B115" s="51">
        <f>'Arbonia Tabelle'!E79</f>
        <v>1.5362119999999999</v>
      </c>
      <c r="C115" s="51">
        <f>'Arbonia Tabelle'!F79</f>
        <v>1.73156</v>
      </c>
      <c r="D115" s="51">
        <f>'Arbonia Tabelle'!G79</f>
        <v>1.9917319999999998</v>
      </c>
      <c r="E115" s="51">
        <f>'Arbonia Tabelle'!H79</f>
        <v>2.2089799999999999</v>
      </c>
      <c r="F115" s="51">
        <f>'Arbonia Tabelle'!I79</f>
        <v>2.4262279999999996</v>
      </c>
      <c r="G115" s="51">
        <f>'Arbonia Tabelle'!J79</f>
        <v>2.6863999999999999</v>
      </c>
      <c r="H115" s="51">
        <f>'Arbonia Tabelle'!K79</f>
        <v>2.9109480000000003</v>
      </c>
      <c r="I115" s="51">
        <f>'Arbonia Tabelle'!L79</f>
        <v>3.128196</v>
      </c>
      <c r="J115" s="51">
        <f>'Arbonia Tabelle'!M79</f>
        <v>3.8657880000000002</v>
      </c>
      <c r="K115" s="51">
        <f>'Arbonia Tabelle'!N79</f>
        <v>4.5677560000000001</v>
      </c>
      <c r="L115" s="287">
        <f>'Arbonia Tabelle'!O79</f>
        <v>5.0022520000000004</v>
      </c>
      <c r="M115" s="287">
        <f>'Arbonia Tabelle'!P79</f>
        <v>5.4869719999999997</v>
      </c>
      <c r="N115" s="287">
        <f>'Arbonia Tabelle'!Q79</f>
        <v>5.9643919999999992</v>
      </c>
      <c r="O115" s="287">
        <f>'Arbonia Tabelle'!R79</f>
        <v>7.3610279999999992</v>
      </c>
      <c r="P115" s="287">
        <f>'Arbonia Tabelle'!S79</f>
        <v>8.7649639999999991</v>
      </c>
      <c r="Q115" s="287">
        <f>'Arbonia Tabelle'!T79</f>
        <v>9.6768800000000006</v>
      </c>
      <c r="R115" s="287">
        <f>'Arbonia Tabelle'!U79</f>
        <v>10.63902</v>
      </c>
      <c r="S115" s="287">
        <f>'Arbonia Tabelle'!V79</f>
        <v>12.035655999999999</v>
      </c>
      <c r="T115" s="287">
        <f>'Arbonia Tabelle'!W79</f>
        <v>13.439592000000001</v>
      </c>
      <c r="U115" s="287">
        <f>'Arbonia Tabelle'!X79</f>
        <v>14.394432000000002</v>
      </c>
    </row>
    <row r="116" spans="1:21" x14ac:dyDescent="0.2">
      <c r="A116" s="268" t="s">
        <v>421</v>
      </c>
      <c r="B116" s="279">
        <f xml:space="preserve">  0.0047*B114 + 0.3345</f>
        <v>1.5565</v>
      </c>
      <c r="C116" s="279">
        <f t="shared" ref="C116:U116" si="36" xml:space="preserve">  0.0047*C114 + 0.3345</f>
        <v>1.7445000000000002</v>
      </c>
      <c r="D116" s="279">
        <f t="shared" si="36"/>
        <v>1.9795</v>
      </c>
      <c r="E116" s="279">
        <f t="shared" si="36"/>
        <v>2.2145000000000001</v>
      </c>
      <c r="F116" s="279">
        <f t="shared" si="36"/>
        <v>2.4495000000000005</v>
      </c>
      <c r="G116" s="279">
        <f t="shared" si="36"/>
        <v>2.6844999999999999</v>
      </c>
      <c r="H116" s="279">
        <f t="shared" si="36"/>
        <v>2.9195000000000002</v>
      </c>
      <c r="I116" s="279">
        <f t="shared" si="36"/>
        <v>3.1545000000000005</v>
      </c>
      <c r="J116" s="279">
        <f t="shared" si="36"/>
        <v>3.8595000000000006</v>
      </c>
      <c r="K116" s="279">
        <f t="shared" si="36"/>
        <v>4.5645000000000007</v>
      </c>
      <c r="L116" s="279">
        <f t="shared" si="36"/>
        <v>5.0345000000000004</v>
      </c>
      <c r="M116" s="279">
        <f t="shared" si="36"/>
        <v>5.5045000000000002</v>
      </c>
      <c r="N116" s="279">
        <f t="shared" si="36"/>
        <v>5.9745000000000008</v>
      </c>
      <c r="O116" s="279">
        <f t="shared" si="36"/>
        <v>7.384500000000001</v>
      </c>
      <c r="P116" s="279">
        <f t="shared" si="36"/>
        <v>8.7945000000000011</v>
      </c>
      <c r="Q116" s="279">
        <f t="shared" si="36"/>
        <v>9.7345000000000006</v>
      </c>
      <c r="R116" s="279">
        <f t="shared" si="36"/>
        <v>10.6745</v>
      </c>
      <c r="S116" s="279">
        <f t="shared" si="36"/>
        <v>12.0845</v>
      </c>
      <c r="T116" s="279">
        <f t="shared" si="36"/>
        <v>13.4945</v>
      </c>
      <c r="U116" s="279">
        <f t="shared" si="36"/>
        <v>14.434500000000002</v>
      </c>
    </row>
    <row r="117" spans="1:21" ht="12.6" customHeight="1" x14ac:dyDescent="0.2">
      <c r="A117" s="269" t="s">
        <v>343</v>
      </c>
      <c r="B117" s="287">
        <f>'Zehnder Charl. Tabelle'!C89</f>
        <v>1.4348879999999999</v>
      </c>
      <c r="C117" s="287">
        <f>'Zehnder Charl. Tabelle'!D89</f>
        <v>1.6375359999999999</v>
      </c>
      <c r="D117" s="287">
        <f>'Zehnder Charl. Tabelle'!E89</f>
        <v>1.8693840000000002</v>
      </c>
      <c r="E117" s="287">
        <f>'Zehnder Charl. Tabelle'!F89</f>
        <v>2.1222560000000001</v>
      </c>
      <c r="F117" s="287">
        <f>'Zehnder Charl. Tabelle'!G89</f>
        <v>2.3541039999999995</v>
      </c>
      <c r="G117" s="287">
        <f>'Zehnder Charl. Tabelle'!H89</f>
        <v>2.5859519999999998</v>
      </c>
      <c r="H117" s="287">
        <f>'Zehnder Charl. Tabelle'!I89</f>
        <v>2.8534239999999995</v>
      </c>
      <c r="I117" s="287">
        <f>'Zehnder Charl. Tabelle'!J89</f>
        <v>3.0852720000000002</v>
      </c>
      <c r="J117" s="287">
        <f>'Zehnder Charl. Tabelle'!K89</f>
        <v>3.8164400000000001</v>
      </c>
      <c r="K117" s="287">
        <f>'Zehnder Charl. Tabelle'!L89</f>
        <v>4.5476080000000003</v>
      </c>
      <c r="L117" s="274">
        <f>'Zehnder Charl. Tabelle'!M89</f>
        <v>5.0542280000000002</v>
      </c>
      <c r="M117" s="274">
        <f>'Zehnder Charl. Tabelle'!N89</f>
        <v>5.5535479999999993</v>
      </c>
      <c r="N117" s="274">
        <f>'Zehnder Charl. Tabelle'!O89</f>
        <v>6.0172440000000007</v>
      </c>
      <c r="O117" s="274">
        <f>'Zehnder Charl. Tabelle'!P89</f>
        <v>7.4795800000000003</v>
      </c>
      <c r="P117" s="274">
        <f>'Zehnder Charl. Tabelle'!Q89</f>
        <v>8.9848399999999984</v>
      </c>
      <c r="Q117" s="274">
        <f>'Zehnder Charl. Tabelle'!R89</f>
        <v>9.947855999999998</v>
      </c>
      <c r="R117" s="274">
        <f>'Zehnder Charl. Tabelle'!S89</f>
        <v>10.910872000000001</v>
      </c>
      <c r="S117" s="274">
        <f>'Zehnder Charl. Tabelle'!T89</f>
        <v>12.416131999999999</v>
      </c>
      <c r="T117" s="274">
        <f>'Zehnder Charl. Tabelle'!U89</f>
        <v>13.921392000000001</v>
      </c>
      <c r="U117" s="274">
        <f>'Zehnder Charl. Tabelle'!V89</f>
        <v>14.841483999999998</v>
      </c>
    </row>
    <row r="118" spans="1:21" x14ac:dyDescent="0.2">
      <c r="A118" s="268" t="s">
        <v>422</v>
      </c>
      <c r="B118" s="279">
        <f xml:space="preserve">  0.0049*B114 + 0.149</f>
        <v>1.423</v>
      </c>
      <c r="C118" s="279">
        <f t="shared" ref="C118:U118" si="37" xml:space="preserve">  0.0049*C114 + 0.149</f>
        <v>1.619</v>
      </c>
      <c r="D118" s="279">
        <f t="shared" si="37"/>
        <v>1.8639999999999999</v>
      </c>
      <c r="E118" s="279">
        <f t="shared" si="37"/>
        <v>2.109</v>
      </c>
      <c r="F118" s="279">
        <f t="shared" si="37"/>
        <v>2.3540000000000001</v>
      </c>
      <c r="G118" s="279">
        <f t="shared" si="37"/>
        <v>2.5989999999999998</v>
      </c>
      <c r="H118" s="279">
        <f t="shared" si="37"/>
        <v>2.8439999999999999</v>
      </c>
      <c r="I118" s="279">
        <f t="shared" si="37"/>
        <v>3.089</v>
      </c>
      <c r="J118" s="279">
        <f t="shared" si="37"/>
        <v>3.8239999999999998</v>
      </c>
      <c r="K118" s="279">
        <f t="shared" si="37"/>
        <v>4.5590000000000002</v>
      </c>
      <c r="L118" s="279">
        <f t="shared" si="37"/>
        <v>5.0489999999999995</v>
      </c>
      <c r="M118" s="279">
        <f t="shared" si="37"/>
        <v>5.5389999999999997</v>
      </c>
      <c r="N118" s="279">
        <f t="shared" si="37"/>
        <v>6.0289999999999999</v>
      </c>
      <c r="O118" s="279">
        <f t="shared" si="37"/>
        <v>7.4989999999999997</v>
      </c>
      <c r="P118" s="279">
        <f t="shared" si="37"/>
        <v>8.9689999999999994</v>
      </c>
      <c r="Q118" s="279">
        <f t="shared" si="37"/>
        <v>9.9489999999999981</v>
      </c>
      <c r="R118" s="279">
        <f t="shared" si="37"/>
        <v>10.928999999999998</v>
      </c>
      <c r="S118" s="279">
        <f t="shared" si="37"/>
        <v>12.398999999999999</v>
      </c>
      <c r="T118" s="279">
        <f t="shared" si="37"/>
        <v>13.868999999999998</v>
      </c>
      <c r="U118" s="279">
        <f t="shared" si="37"/>
        <v>14.848999999999998</v>
      </c>
    </row>
    <row r="119" spans="1:21" x14ac:dyDescent="0.2">
      <c r="A119" s="1" t="s">
        <v>441</v>
      </c>
      <c r="B119" s="29"/>
      <c r="C119" s="29"/>
      <c r="D119" s="29"/>
      <c r="E119" s="29"/>
      <c r="F119" s="29"/>
      <c r="G119" s="29"/>
      <c r="H119" s="29"/>
      <c r="I119" s="29"/>
      <c r="J119" s="29"/>
      <c r="K119" s="29"/>
      <c r="L119" s="29"/>
      <c r="M119" s="187"/>
      <c r="N119" s="29"/>
      <c r="O119" s="29"/>
      <c r="P119" s="29"/>
      <c r="Q119" s="29"/>
      <c r="R119" s="29"/>
      <c r="S119" s="29"/>
      <c r="T119" s="29"/>
      <c r="U119" s="29"/>
    </row>
    <row r="120" spans="1:21" x14ac:dyDescent="0.2">
      <c r="A120" s="1" t="s">
        <v>643</v>
      </c>
      <c r="B120" s="29"/>
      <c r="C120" s="29"/>
      <c r="D120" s="29"/>
      <c r="E120" s="29"/>
      <c r="F120" s="29"/>
      <c r="G120" s="29"/>
      <c r="H120" s="29"/>
      <c r="I120" s="29"/>
      <c r="J120" s="29"/>
      <c r="K120" s="29"/>
      <c r="L120" s="29"/>
      <c r="M120" s="29"/>
      <c r="N120" s="29"/>
      <c r="O120" s="29"/>
      <c r="P120" s="29"/>
      <c r="Q120" s="29"/>
      <c r="R120" s="29"/>
      <c r="S120" s="29"/>
      <c r="T120" s="29"/>
      <c r="U120" s="29"/>
    </row>
    <row r="121" spans="1:21" x14ac:dyDescent="0.2">
      <c r="A121" s="269" t="s">
        <v>635</v>
      </c>
      <c r="B121" s="270"/>
      <c r="C121" s="286">
        <f>'Cordivari Tabelle'!D79</f>
        <v>1.73156</v>
      </c>
      <c r="D121" s="270"/>
      <c r="E121" s="286">
        <f>'Cordivari Tabelle'!E79</f>
        <v>2.2171559999999997</v>
      </c>
      <c r="F121" s="270"/>
      <c r="G121" s="286">
        <f>'Cordivari Tabelle'!F79</f>
        <v>2.7383759999999997</v>
      </c>
      <c r="H121" s="286">
        <f>'Cordivari Tabelle'!G79</f>
        <v>3.0423480000000001</v>
      </c>
      <c r="I121" s="286">
        <f>'Cordivari Tabelle'!I79</f>
        <v>3.2595959999999993</v>
      </c>
      <c r="J121" s="286">
        <f>'Cordivari Tabelle'!M79</f>
        <v>3.98434</v>
      </c>
      <c r="K121" s="270"/>
      <c r="L121" s="286">
        <f>'Cordivari Tabelle'!S79</f>
        <v>5.2732279999999996</v>
      </c>
      <c r="M121" s="270"/>
      <c r="N121" s="286">
        <f>'Cordivari Tabelle'!T79</f>
        <v>6.2727440000000003</v>
      </c>
      <c r="O121" s="286">
        <f>'Cordivari Tabelle'!U79</f>
        <v>7.7578560000000003</v>
      </c>
      <c r="P121" s="286">
        <f>'Cordivari Tabelle'!W79</f>
        <v>9.2858920000000005</v>
      </c>
      <c r="Q121" s="286">
        <f>'Cordivari Tabelle'!Y79</f>
        <v>10.292707999999999</v>
      </c>
      <c r="R121" s="286">
        <f>'Cordivari Tabelle'!AA79</f>
        <v>11.292223999999999</v>
      </c>
      <c r="S121" s="286">
        <f>'Cordivari Tabelle'!AB79</f>
        <v>12.777336000000002</v>
      </c>
      <c r="T121" s="270"/>
      <c r="U121" s="270"/>
    </row>
    <row r="122" spans="1:21" x14ac:dyDescent="0.2">
      <c r="A122" s="268" t="s">
        <v>644</v>
      </c>
      <c r="B122" s="271"/>
      <c r="C122" s="279">
        <f>0.005*C114 + 0.2186</f>
        <v>1.7185999999999999</v>
      </c>
      <c r="D122" s="279">
        <f t="shared" ref="D122:S122" si="38">0.005*D114 + 0.2186</f>
        <v>1.9685999999999999</v>
      </c>
      <c r="E122" s="279">
        <f t="shared" si="38"/>
        <v>2.2185999999999999</v>
      </c>
      <c r="F122" s="279">
        <f t="shared" si="38"/>
        <v>2.4685999999999999</v>
      </c>
      <c r="G122" s="279">
        <f t="shared" si="38"/>
        <v>2.7185999999999999</v>
      </c>
      <c r="H122" s="279">
        <f t="shared" si="38"/>
        <v>2.9685999999999999</v>
      </c>
      <c r="I122" s="279">
        <f t="shared" si="38"/>
        <v>3.2185999999999999</v>
      </c>
      <c r="J122" s="279">
        <f t="shared" si="38"/>
        <v>3.9685999999999999</v>
      </c>
      <c r="K122" s="279">
        <f t="shared" si="38"/>
        <v>4.7186000000000003</v>
      </c>
      <c r="L122" s="279">
        <f t="shared" si="38"/>
        <v>5.2186000000000003</v>
      </c>
      <c r="M122" s="279">
        <f t="shared" si="38"/>
        <v>5.7186000000000003</v>
      </c>
      <c r="N122" s="279">
        <f t="shared" si="38"/>
        <v>6.2186000000000003</v>
      </c>
      <c r="O122" s="279">
        <f t="shared" si="38"/>
        <v>7.7186000000000003</v>
      </c>
      <c r="P122" s="279">
        <f t="shared" si="38"/>
        <v>9.2186000000000003</v>
      </c>
      <c r="Q122" s="279">
        <f t="shared" si="38"/>
        <v>10.2186</v>
      </c>
      <c r="R122" s="279">
        <f t="shared" si="38"/>
        <v>11.2186</v>
      </c>
      <c r="S122" s="279">
        <f t="shared" si="38"/>
        <v>12.7186</v>
      </c>
      <c r="T122" s="271"/>
      <c r="U122" s="271"/>
    </row>
    <row r="123" spans="1:21" x14ac:dyDescent="0.2">
      <c r="A123" s="1" t="s">
        <v>634</v>
      </c>
      <c r="B123" s="29"/>
      <c r="C123" s="29"/>
      <c r="D123" s="29"/>
      <c r="E123" s="29"/>
      <c r="F123" s="29"/>
      <c r="G123" s="29"/>
      <c r="H123" s="29"/>
      <c r="I123" s="29"/>
      <c r="J123" s="29"/>
      <c r="K123" s="29"/>
      <c r="L123" s="29"/>
      <c r="M123" s="29"/>
      <c r="N123" s="29"/>
      <c r="O123" s="29"/>
      <c r="P123" s="29"/>
      <c r="Q123" s="29"/>
      <c r="R123" s="29"/>
      <c r="S123" s="29"/>
      <c r="T123" s="29"/>
      <c r="U123" s="29"/>
    </row>
    <row r="124" spans="1:21" x14ac:dyDescent="0.2">
      <c r="A124" s="1" t="s">
        <v>645</v>
      </c>
      <c r="B124" s="29"/>
      <c r="C124" s="29"/>
      <c r="D124" s="29"/>
      <c r="E124" s="29"/>
      <c r="F124" s="29"/>
      <c r="G124" s="29"/>
      <c r="H124" s="29"/>
      <c r="I124" s="29"/>
      <c r="J124" s="29"/>
      <c r="K124" s="29"/>
      <c r="L124" s="29"/>
      <c r="M124" s="29"/>
      <c r="N124" s="29"/>
      <c r="O124" s="29"/>
      <c r="P124" s="29"/>
      <c r="Q124" s="29"/>
      <c r="R124" s="29"/>
      <c r="S124" s="29"/>
      <c r="T124" s="29"/>
      <c r="U124" s="29"/>
    </row>
    <row r="125" spans="1:21" x14ac:dyDescent="0.2">
      <c r="A125" s="269" t="s">
        <v>646</v>
      </c>
      <c r="B125" s="274">
        <f>AVERAGE(B115,B117,B119,B121,B123)</f>
        <v>1.4855499999999999</v>
      </c>
      <c r="C125" s="274">
        <f t="shared" ref="C125:U125" si="39">AVERAGE(C115,C117,C119,C121,C123)</f>
        <v>1.7002186666666665</v>
      </c>
      <c r="D125" s="274">
        <f t="shared" si="39"/>
        <v>1.930558</v>
      </c>
      <c r="E125" s="274">
        <f t="shared" si="39"/>
        <v>2.1827973333333333</v>
      </c>
      <c r="F125" s="274">
        <f t="shared" si="39"/>
        <v>2.3901659999999998</v>
      </c>
      <c r="G125" s="274">
        <f t="shared" si="39"/>
        <v>2.6702426666666668</v>
      </c>
      <c r="H125" s="274">
        <f t="shared" si="39"/>
        <v>2.9355733333333336</v>
      </c>
      <c r="I125" s="274">
        <f t="shared" si="39"/>
        <v>3.1576880000000003</v>
      </c>
      <c r="J125" s="274">
        <f t="shared" si="39"/>
        <v>3.8888560000000001</v>
      </c>
      <c r="K125" s="274">
        <f t="shared" si="39"/>
        <v>4.5576819999999998</v>
      </c>
      <c r="L125" s="274">
        <f t="shared" si="39"/>
        <v>5.1099026666666667</v>
      </c>
      <c r="M125" s="274">
        <f t="shared" si="39"/>
        <v>5.5202599999999995</v>
      </c>
      <c r="N125" s="274">
        <f t="shared" si="39"/>
        <v>6.0847933333333337</v>
      </c>
      <c r="O125" s="274">
        <f t="shared" si="39"/>
        <v>7.5328213333333336</v>
      </c>
      <c r="P125" s="274">
        <f t="shared" si="39"/>
        <v>9.0118986666666654</v>
      </c>
      <c r="Q125" s="274">
        <f t="shared" si="39"/>
        <v>9.9724813333333326</v>
      </c>
      <c r="R125" s="274">
        <f t="shared" si="39"/>
        <v>10.947372</v>
      </c>
      <c r="S125" s="274">
        <f t="shared" si="39"/>
        <v>12.409708</v>
      </c>
      <c r="T125" s="274">
        <f t="shared" si="39"/>
        <v>13.680492000000001</v>
      </c>
      <c r="U125" s="274">
        <f t="shared" si="39"/>
        <v>14.617958</v>
      </c>
    </row>
    <row r="126" spans="1:21" s="1" customFormat="1" x14ac:dyDescent="0.2">
      <c r="A126" s="268" t="s">
        <v>647</v>
      </c>
      <c r="B126" s="288">
        <f>0.0048*B114 + 0.2597</f>
        <v>1.5077</v>
      </c>
      <c r="C126" s="288">
        <f t="shared" ref="C126:U126" si="40">0.0048*C114 + 0.2597</f>
        <v>1.6997</v>
      </c>
      <c r="D126" s="288">
        <f t="shared" si="40"/>
        <v>1.9397</v>
      </c>
      <c r="E126" s="288">
        <f t="shared" si="40"/>
        <v>2.1797</v>
      </c>
      <c r="F126" s="288">
        <f t="shared" si="40"/>
        <v>2.4196999999999997</v>
      </c>
      <c r="G126" s="288">
        <f t="shared" si="40"/>
        <v>2.6597</v>
      </c>
      <c r="H126" s="288">
        <f t="shared" si="40"/>
        <v>2.8996999999999997</v>
      </c>
      <c r="I126" s="288">
        <f t="shared" si="40"/>
        <v>3.1396999999999999</v>
      </c>
      <c r="J126" s="288">
        <f t="shared" si="40"/>
        <v>3.8596999999999997</v>
      </c>
      <c r="K126" s="288">
        <f t="shared" si="40"/>
        <v>4.579699999999999</v>
      </c>
      <c r="L126" s="288">
        <f t="shared" si="40"/>
        <v>5.0596999999999994</v>
      </c>
      <c r="M126" s="288">
        <f t="shared" si="40"/>
        <v>5.539699999999999</v>
      </c>
      <c r="N126" s="288">
        <f t="shared" si="40"/>
        <v>6.0196999999999994</v>
      </c>
      <c r="O126" s="288">
        <f t="shared" si="40"/>
        <v>7.4596999999999989</v>
      </c>
      <c r="P126" s="288">
        <f t="shared" si="40"/>
        <v>8.8996999999999993</v>
      </c>
      <c r="Q126" s="288">
        <f t="shared" si="40"/>
        <v>9.8597000000000001</v>
      </c>
      <c r="R126" s="288">
        <f t="shared" si="40"/>
        <v>10.819699999999999</v>
      </c>
      <c r="S126" s="288">
        <f t="shared" si="40"/>
        <v>12.259699999999999</v>
      </c>
      <c r="T126" s="288">
        <f t="shared" si="40"/>
        <v>13.6997</v>
      </c>
      <c r="U126" s="288">
        <f t="shared" si="40"/>
        <v>14.659699999999999</v>
      </c>
    </row>
    <row r="127" spans="1:21" x14ac:dyDescent="0.2">
      <c r="B127" s="267">
        <f>(B126-B125)/B125</f>
        <v>1.4910302581535535E-2</v>
      </c>
      <c r="C127" s="267">
        <f t="shared" ref="C127:U127" si="41">(C126-C125)/C125</f>
        <v>-3.0505880027974225E-4</v>
      </c>
      <c r="D127" s="267">
        <f t="shared" si="41"/>
        <v>4.735418464506108E-3</v>
      </c>
      <c r="E127" s="267">
        <f t="shared" si="41"/>
        <v>-1.4189743069748812E-3</v>
      </c>
      <c r="F127" s="267">
        <f t="shared" si="41"/>
        <v>1.2356463944345268E-2</v>
      </c>
      <c r="G127" s="267">
        <f t="shared" si="41"/>
        <v>-3.9482054564829103E-3</v>
      </c>
      <c r="H127" s="267">
        <f t="shared" si="41"/>
        <v>-1.2220213655027252E-2</v>
      </c>
      <c r="I127" s="267">
        <f t="shared" si="41"/>
        <v>-5.6965729356416262E-3</v>
      </c>
      <c r="J127" s="267">
        <f t="shared" si="41"/>
        <v>-7.4973205487681733E-3</v>
      </c>
      <c r="K127" s="267">
        <f t="shared" si="41"/>
        <v>4.8309645122233636E-3</v>
      </c>
      <c r="L127" s="267">
        <f t="shared" si="41"/>
        <v>-9.8245837428868089E-3</v>
      </c>
      <c r="M127" s="267">
        <f t="shared" si="41"/>
        <v>3.5215732592304458E-3</v>
      </c>
      <c r="N127" s="267">
        <f t="shared" si="41"/>
        <v>-1.0697706523037375E-2</v>
      </c>
      <c r="O127" s="267">
        <f t="shared" si="41"/>
        <v>-9.7070314159406635E-3</v>
      </c>
      <c r="P127" s="267">
        <f t="shared" si="41"/>
        <v>-1.2450058618797845E-2</v>
      </c>
      <c r="Q127" s="267">
        <f t="shared" si="41"/>
        <v>-1.1309254894903373E-2</v>
      </c>
      <c r="R127" s="267">
        <f t="shared" si="41"/>
        <v>-1.1662342341157353E-2</v>
      </c>
      <c r="S127" s="267">
        <f t="shared" si="41"/>
        <v>-1.208795565536284E-2</v>
      </c>
      <c r="T127" s="267">
        <f t="shared" si="41"/>
        <v>1.4040430709655034E-3</v>
      </c>
      <c r="U127" s="267">
        <f t="shared" si="41"/>
        <v>2.8555287954719314E-3</v>
      </c>
    </row>
    <row r="129" spans="1:21" x14ac:dyDescent="0.2">
      <c r="A129" s="1" t="s">
        <v>423</v>
      </c>
      <c r="B129" s="29">
        <f t="shared" ref="B129:U129" si="42">MAX(B115,B117,B119,B121,B123)</f>
        <v>1.5362119999999999</v>
      </c>
      <c r="C129" s="29">
        <f t="shared" si="42"/>
        <v>1.73156</v>
      </c>
      <c r="D129" s="29">
        <f t="shared" si="42"/>
        <v>1.9917319999999998</v>
      </c>
      <c r="E129" s="29">
        <f t="shared" si="42"/>
        <v>2.2171559999999997</v>
      </c>
      <c r="F129" s="29">
        <f t="shared" si="42"/>
        <v>2.4262279999999996</v>
      </c>
      <c r="G129" s="29">
        <f t="shared" si="42"/>
        <v>2.7383759999999997</v>
      </c>
      <c r="H129" s="29">
        <f t="shared" si="42"/>
        <v>3.0423480000000001</v>
      </c>
      <c r="I129" s="29">
        <f t="shared" si="42"/>
        <v>3.2595959999999993</v>
      </c>
      <c r="J129" s="29">
        <f t="shared" si="42"/>
        <v>3.98434</v>
      </c>
      <c r="K129" s="29">
        <f t="shared" si="42"/>
        <v>4.5677560000000001</v>
      </c>
      <c r="L129" s="29">
        <f t="shared" si="42"/>
        <v>5.2732279999999996</v>
      </c>
      <c r="M129" s="29">
        <f t="shared" si="42"/>
        <v>5.5535479999999993</v>
      </c>
      <c r="N129" s="29">
        <f t="shared" si="42"/>
        <v>6.2727440000000003</v>
      </c>
      <c r="O129" s="29">
        <f t="shared" si="42"/>
        <v>7.7578560000000003</v>
      </c>
      <c r="P129" s="29">
        <f t="shared" si="42"/>
        <v>9.2858920000000005</v>
      </c>
      <c r="Q129" s="29">
        <f t="shared" si="42"/>
        <v>10.292707999999999</v>
      </c>
      <c r="R129" s="29">
        <f t="shared" si="42"/>
        <v>11.292223999999999</v>
      </c>
      <c r="S129" s="29">
        <f t="shared" si="42"/>
        <v>12.777336000000002</v>
      </c>
      <c r="T129" s="29">
        <f t="shared" si="42"/>
        <v>13.921392000000001</v>
      </c>
      <c r="U129" s="29">
        <f t="shared" si="42"/>
        <v>14.841483999999998</v>
      </c>
    </row>
    <row r="130" spans="1:21" x14ac:dyDescent="0.2">
      <c r="A130" s="1" t="s">
        <v>424</v>
      </c>
      <c r="B130" s="29">
        <f t="shared" ref="B130:U130" si="43">MIN(B115,B117,B119,B121,B123)</f>
        <v>1.4348879999999999</v>
      </c>
      <c r="C130" s="29">
        <f t="shared" si="43"/>
        <v>1.6375359999999999</v>
      </c>
      <c r="D130" s="29">
        <f t="shared" si="43"/>
        <v>1.8693840000000002</v>
      </c>
      <c r="E130" s="29">
        <f t="shared" si="43"/>
        <v>2.1222560000000001</v>
      </c>
      <c r="F130" s="29">
        <f t="shared" si="43"/>
        <v>2.3541039999999995</v>
      </c>
      <c r="G130" s="29">
        <f t="shared" si="43"/>
        <v>2.5859519999999998</v>
      </c>
      <c r="H130" s="29">
        <f t="shared" si="43"/>
        <v>2.8534239999999995</v>
      </c>
      <c r="I130" s="29">
        <f t="shared" si="43"/>
        <v>3.0852720000000002</v>
      </c>
      <c r="J130" s="29">
        <f t="shared" si="43"/>
        <v>3.8164400000000001</v>
      </c>
      <c r="K130" s="29">
        <f t="shared" si="43"/>
        <v>4.5476080000000003</v>
      </c>
      <c r="L130" s="29">
        <f t="shared" si="43"/>
        <v>5.0022520000000004</v>
      </c>
      <c r="M130" s="29">
        <f t="shared" si="43"/>
        <v>5.4869719999999997</v>
      </c>
      <c r="N130" s="29">
        <f t="shared" si="43"/>
        <v>5.9643919999999992</v>
      </c>
      <c r="O130" s="29">
        <f t="shared" si="43"/>
        <v>7.3610279999999992</v>
      </c>
      <c r="P130" s="29">
        <f t="shared" si="43"/>
        <v>8.7649639999999991</v>
      </c>
      <c r="Q130" s="29">
        <f t="shared" si="43"/>
        <v>9.6768800000000006</v>
      </c>
      <c r="R130" s="29">
        <f t="shared" si="43"/>
        <v>10.63902</v>
      </c>
      <c r="S130" s="29">
        <f t="shared" si="43"/>
        <v>12.035655999999999</v>
      </c>
      <c r="T130" s="29">
        <f t="shared" si="43"/>
        <v>13.439592000000001</v>
      </c>
      <c r="U130" s="29">
        <f t="shared" si="43"/>
        <v>14.394432000000002</v>
      </c>
    </row>
    <row r="131" spans="1:21" x14ac:dyDescent="0.2">
      <c r="B131" s="173">
        <f t="shared" ref="B131:U131" si="44">(B129-B130)/B129</f>
        <v>6.5957042387378803E-2</v>
      </c>
      <c r="C131" s="173">
        <f t="shared" si="44"/>
        <v>5.4300168634064144E-2</v>
      </c>
      <c r="D131" s="173">
        <f t="shared" si="44"/>
        <v>6.142794311684488E-2</v>
      </c>
      <c r="E131" s="173">
        <f t="shared" si="44"/>
        <v>4.2802581324904318E-2</v>
      </c>
      <c r="F131" s="173">
        <f t="shared" si="44"/>
        <v>2.972680226260685E-2</v>
      </c>
      <c r="G131" s="173">
        <f t="shared" si="44"/>
        <v>5.5662188099808031E-2</v>
      </c>
      <c r="H131" s="173">
        <f t="shared" si="44"/>
        <v>6.2098090027833938E-2</v>
      </c>
      <c r="I131" s="173">
        <f t="shared" si="44"/>
        <v>5.3480247245363863E-2</v>
      </c>
      <c r="J131" s="173">
        <f t="shared" si="44"/>
        <v>4.2139978013924502E-2</v>
      </c>
      <c r="K131" s="173">
        <f t="shared" si="44"/>
        <v>4.4109186217477095E-3</v>
      </c>
      <c r="L131" s="173">
        <f t="shared" si="44"/>
        <v>5.1387119995569934E-2</v>
      </c>
      <c r="M131" s="173">
        <f t="shared" si="44"/>
        <v>1.1988011988011905E-2</v>
      </c>
      <c r="N131" s="173">
        <f t="shared" si="44"/>
        <v>4.9157434130900457E-2</v>
      </c>
      <c r="O131" s="173">
        <f t="shared" si="44"/>
        <v>5.1151761517615309E-2</v>
      </c>
      <c r="P131" s="173">
        <f t="shared" si="44"/>
        <v>5.6098864815571983E-2</v>
      </c>
      <c r="Q131" s="173">
        <f t="shared" si="44"/>
        <v>5.9831484581122744E-2</v>
      </c>
      <c r="R131" s="173">
        <f t="shared" si="44"/>
        <v>5.7845469590401218E-2</v>
      </c>
      <c r="S131" s="173">
        <f t="shared" si="44"/>
        <v>5.8046528634764102E-2</v>
      </c>
      <c r="T131" s="173">
        <f t="shared" si="44"/>
        <v>3.4608608104706756E-2</v>
      </c>
      <c r="U131" s="173">
        <f t="shared" si="44"/>
        <v>3.0121785665098978E-2</v>
      </c>
    </row>
  </sheetData>
  <conditionalFormatting sqref="B54:U54">
    <cfRule type="cellIs" dxfId="20" priority="10" operator="greaterThan">
      <formula>$A$55</formula>
    </cfRule>
  </conditionalFormatting>
  <conditionalFormatting sqref="B70:U70">
    <cfRule type="cellIs" dxfId="19" priority="4" operator="greaterThan">
      <formula>$A$55</formula>
    </cfRule>
  </conditionalFormatting>
  <conditionalFormatting sqref="B74:U74">
    <cfRule type="cellIs" dxfId="18" priority="9" operator="greaterThan">
      <formula>$A$55</formula>
    </cfRule>
  </conditionalFormatting>
  <conditionalFormatting sqref="B89:U89">
    <cfRule type="cellIs" dxfId="17" priority="3" operator="greaterThan">
      <formula>$A$55</formula>
    </cfRule>
  </conditionalFormatting>
  <conditionalFormatting sqref="B93:U93">
    <cfRule type="cellIs" dxfId="16" priority="8" operator="greaterThan">
      <formula>$A$55</formula>
    </cfRule>
  </conditionalFormatting>
  <conditionalFormatting sqref="B108:U108">
    <cfRule type="cellIs" dxfId="15" priority="2" operator="greaterThan">
      <formula>$A$55</formula>
    </cfRule>
  </conditionalFormatting>
  <conditionalFormatting sqref="B112:U112">
    <cfRule type="cellIs" dxfId="14" priority="7" operator="greaterThan">
      <formula>$A$55</formula>
    </cfRule>
  </conditionalFormatting>
  <conditionalFormatting sqref="B127:U127">
    <cfRule type="cellIs" dxfId="13" priority="1" operator="greaterThan">
      <formula>$A$55</formula>
    </cfRule>
  </conditionalFormatting>
  <conditionalFormatting sqref="B131:U131">
    <cfRule type="cellIs" dxfId="12" priority="6" operator="greaterThan">
      <formula>$A$55</formula>
    </cfRule>
  </conditionalFormatting>
  <conditionalFormatting sqref="C50:U50 B50:B51">
    <cfRule type="cellIs" dxfId="11" priority="5" operator="greaterThan">
      <formula>$A$55</formula>
    </cfRule>
  </conditionalFormatting>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A5441-BB54-4BF2-8820-0ECE24156B60}">
  <sheetPr>
    <tabColor rgb="FFFFFF00"/>
  </sheetPr>
  <dimension ref="A1:AC131"/>
  <sheetViews>
    <sheetView zoomScale="85" zoomScaleNormal="85" workbookViewId="0">
      <selection activeCell="O28" sqref="O28"/>
    </sheetView>
  </sheetViews>
  <sheetFormatPr baseColWidth="10" defaultRowHeight="12.75" x14ac:dyDescent="0.2"/>
  <sheetData>
    <row r="1" spans="1:23" x14ac:dyDescent="0.2">
      <c r="A1" s="1" t="s">
        <v>150</v>
      </c>
      <c r="W1" s="1"/>
    </row>
    <row r="23" spans="1:28" x14ac:dyDescent="0.2">
      <c r="B23" s="1" t="s">
        <v>399</v>
      </c>
      <c r="C23" s="1" t="s">
        <v>343</v>
      </c>
      <c r="D23" s="1" t="s">
        <v>441</v>
      </c>
      <c r="E23" s="1" t="s">
        <v>635</v>
      </c>
      <c r="F23" s="1" t="s">
        <v>634</v>
      </c>
      <c r="G23" s="1" t="s">
        <v>646</v>
      </c>
      <c r="I23" s="2"/>
      <c r="J23" s="1" t="s">
        <v>1</v>
      </c>
      <c r="K23" s="2"/>
      <c r="L23" s="2"/>
      <c r="M23" s="2"/>
      <c r="N23" s="2"/>
      <c r="O23" s="2"/>
    </row>
    <row r="24" spans="1:28" ht="15.75" x14ac:dyDescent="0.3">
      <c r="A24" s="1" t="s">
        <v>410</v>
      </c>
      <c r="B24" s="2"/>
      <c r="C24" s="2"/>
      <c r="G24" s="2" t="s">
        <v>705</v>
      </c>
      <c r="J24" s="1" t="s">
        <v>8</v>
      </c>
      <c r="K24" s="2"/>
      <c r="L24" s="2"/>
      <c r="M24" s="2"/>
      <c r="N24" s="2"/>
      <c r="O24" s="2"/>
      <c r="X24" t="s">
        <v>342</v>
      </c>
      <c r="Y24" t="s">
        <v>343</v>
      </c>
      <c r="Z24" t="s">
        <v>605</v>
      </c>
      <c r="AA24" t="s">
        <v>604</v>
      </c>
      <c r="AB24" t="s">
        <v>603</v>
      </c>
    </row>
    <row r="25" spans="1:28" x14ac:dyDescent="0.2">
      <c r="A25" s="1"/>
      <c r="B25" s="2"/>
      <c r="C25" s="2"/>
      <c r="J25" s="2"/>
      <c r="K25" s="2"/>
      <c r="L25" s="2"/>
      <c r="M25" s="2"/>
      <c r="N25" s="2">
        <v>75</v>
      </c>
      <c r="O25" s="2">
        <v>90</v>
      </c>
    </row>
    <row r="26" spans="1:28" ht="15.75" x14ac:dyDescent="0.3">
      <c r="A26" s="1" t="s">
        <v>412</v>
      </c>
      <c r="B26" s="2"/>
      <c r="C26" s="2"/>
      <c r="D26" s="2"/>
      <c r="E26" s="2"/>
      <c r="F26" s="2"/>
      <c r="G26" s="2" t="s">
        <v>706</v>
      </c>
      <c r="I26" s="2"/>
      <c r="J26" s="1" t="s">
        <v>9</v>
      </c>
      <c r="K26" s="2"/>
      <c r="L26" s="2"/>
      <c r="M26" s="2"/>
      <c r="N26" s="2">
        <v>65</v>
      </c>
      <c r="O26" s="2">
        <v>70</v>
      </c>
      <c r="W26" t="s">
        <v>700</v>
      </c>
      <c r="X26">
        <v>65</v>
      </c>
      <c r="Y26">
        <v>62</v>
      </c>
      <c r="Z26">
        <v>65</v>
      </c>
      <c r="AA26">
        <v>66</v>
      </c>
      <c r="AB26">
        <v>63</v>
      </c>
    </row>
    <row r="27" spans="1:28" x14ac:dyDescent="0.2">
      <c r="A27" s="1"/>
      <c r="B27" s="2"/>
      <c r="C27" s="2"/>
      <c r="J27" s="2"/>
      <c r="K27" s="2"/>
      <c r="L27" s="2"/>
      <c r="M27" s="2"/>
      <c r="N27" s="2">
        <v>20</v>
      </c>
      <c r="O27" s="2">
        <v>20</v>
      </c>
      <c r="W27" t="s">
        <v>701</v>
      </c>
      <c r="X27">
        <v>105</v>
      </c>
      <c r="Y27">
        <v>100</v>
      </c>
      <c r="Z27">
        <v>101</v>
      </c>
      <c r="AA27">
        <v>107</v>
      </c>
      <c r="AB27">
        <v>101</v>
      </c>
    </row>
    <row r="28" spans="1:28" ht="12.6" customHeight="1" x14ac:dyDescent="0.3">
      <c r="A28" s="1" t="s">
        <v>413</v>
      </c>
      <c r="B28" s="2"/>
      <c r="C28" s="2"/>
      <c r="D28" s="2"/>
      <c r="E28" s="2"/>
      <c r="F28" s="2"/>
      <c r="G28" s="2" t="s">
        <v>709</v>
      </c>
      <c r="J28" s="1" t="s">
        <v>10</v>
      </c>
      <c r="K28" s="2">
        <f>(N25-N26)/(LN((N25-N27)/(N26-N27)))</f>
        <v>49.83288654563971</v>
      </c>
      <c r="L28" s="2"/>
      <c r="M28" s="2"/>
      <c r="N28" s="11">
        <f>(N25-N26)/(LN((N25-N27)/(N26-N27)))</f>
        <v>49.83288654563971</v>
      </c>
      <c r="O28" s="11">
        <f>(O25-O26)/(LN((O25-O27)/(O26-O27)))</f>
        <v>59.440268239769239</v>
      </c>
      <c r="W28" t="s">
        <v>702</v>
      </c>
      <c r="X28">
        <v>145</v>
      </c>
      <c r="Y28">
        <v>136</v>
      </c>
      <c r="Z28">
        <v>139</v>
      </c>
      <c r="AA28">
        <v>148</v>
      </c>
      <c r="AB28">
        <v>139</v>
      </c>
    </row>
    <row r="29" spans="1:28" ht="12.6" customHeight="1" x14ac:dyDescent="0.2">
      <c r="A29" s="1"/>
      <c r="B29" s="2"/>
      <c r="C29" s="2"/>
      <c r="J29" s="2"/>
      <c r="K29" s="2"/>
      <c r="L29" s="2"/>
      <c r="M29" s="2"/>
      <c r="N29" s="2"/>
      <c r="O29" s="2"/>
      <c r="W29" t="s">
        <v>703</v>
      </c>
      <c r="X29">
        <v>185</v>
      </c>
      <c r="Y29">
        <v>173</v>
      </c>
      <c r="Z29">
        <v>177</v>
      </c>
      <c r="AA29">
        <v>189</v>
      </c>
      <c r="AB29">
        <v>177</v>
      </c>
    </row>
    <row r="30" spans="1:28" x14ac:dyDescent="0.2">
      <c r="A30" s="1" t="s">
        <v>417</v>
      </c>
      <c r="B30" s="2"/>
      <c r="C30" s="2"/>
      <c r="D30" s="2"/>
      <c r="E30" s="2"/>
      <c r="F30" s="2"/>
      <c r="G30" s="2" t="s">
        <v>708</v>
      </c>
      <c r="H30" s="284"/>
      <c r="J30" s="2" t="s">
        <v>5</v>
      </c>
      <c r="K30" s="2"/>
      <c r="L30" s="2"/>
      <c r="M30" s="2"/>
      <c r="N30" s="2"/>
      <c r="O30" s="2"/>
      <c r="W30" t="s">
        <v>704</v>
      </c>
      <c r="X30">
        <v>225</v>
      </c>
      <c r="Y30">
        <v>210</v>
      </c>
      <c r="Z30">
        <v>215</v>
      </c>
      <c r="AA30">
        <v>230</v>
      </c>
      <c r="AB30">
        <v>215</v>
      </c>
    </row>
    <row r="31" spans="1:28" x14ac:dyDescent="0.2">
      <c r="A31" s="1"/>
      <c r="B31" s="2"/>
      <c r="C31" s="2"/>
      <c r="J31" s="2" t="s">
        <v>7</v>
      </c>
      <c r="K31" s="2">
        <v>0.73</v>
      </c>
      <c r="L31" s="2"/>
      <c r="M31" s="2"/>
      <c r="N31" s="2"/>
      <c r="O31" s="2"/>
    </row>
    <row r="32" spans="1:28" x14ac:dyDescent="0.2">
      <c r="A32" s="1" t="s">
        <v>418</v>
      </c>
      <c r="B32" s="2"/>
      <c r="C32" s="2"/>
      <c r="D32" s="2"/>
      <c r="E32" s="2"/>
      <c r="F32" s="2"/>
      <c r="G32" s="2" t="s">
        <v>707</v>
      </c>
      <c r="J32" s="2" t="s">
        <v>6</v>
      </c>
      <c r="K32" s="2">
        <v>4.38</v>
      </c>
      <c r="L32" s="2">
        <v>120</v>
      </c>
      <c r="M32" s="2" t="s">
        <v>12</v>
      </c>
      <c r="N32" s="2"/>
      <c r="O32" s="2"/>
    </row>
    <row r="34" spans="1:29" x14ac:dyDescent="0.2">
      <c r="B34" s="284"/>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row>
    <row r="35" spans="1:29" x14ac:dyDescent="0.2">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row>
    <row r="36" spans="1:29" x14ac:dyDescent="0.2">
      <c r="B36" s="30"/>
      <c r="C36" s="30"/>
      <c r="D36" s="30"/>
      <c r="E36" s="30"/>
      <c r="F36" s="30"/>
      <c r="G36" s="30"/>
      <c r="H36" s="30"/>
      <c r="I36" s="30"/>
      <c r="J36" s="30"/>
      <c r="K36" s="30"/>
    </row>
    <row r="37" spans="1:29" x14ac:dyDescent="0.2">
      <c r="A37" s="272" t="s">
        <v>410</v>
      </c>
      <c r="B37" s="273">
        <f>'Zehnder Charl. Tabelle'!C$3</f>
        <v>260</v>
      </c>
      <c r="C37" s="273">
        <f>'Zehnder Charl. Tabelle'!D$3</f>
        <v>300</v>
      </c>
      <c r="D37" s="273">
        <f>'Zehnder Charl. Tabelle'!E$3</f>
        <v>350</v>
      </c>
      <c r="E37" s="273">
        <f>'Zehnder Charl. Tabelle'!F$3</f>
        <v>400</v>
      </c>
      <c r="F37" s="273">
        <f>'Zehnder Charl. Tabelle'!G$3</f>
        <v>450</v>
      </c>
      <c r="G37" s="273">
        <f>'Zehnder Charl. Tabelle'!H$3</f>
        <v>500</v>
      </c>
      <c r="H37" s="273">
        <f>'Zehnder Charl. Tabelle'!I$3</f>
        <v>550</v>
      </c>
      <c r="I37" s="273">
        <f>'Zehnder Charl. Tabelle'!J$3</f>
        <v>600</v>
      </c>
      <c r="J37" s="273">
        <f>'Zehnder Charl. Tabelle'!K$3</f>
        <v>750</v>
      </c>
      <c r="K37" s="273">
        <f>'Zehnder Charl. Tabelle'!L$3</f>
        <v>900</v>
      </c>
      <c r="L37" s="273">
        <f>'Zehnder Charl. Tabelle'!M$3</f>
        <v>1000</v>
      </c>
      <c r="M37" s="273">
        <f>'Zehnder Charl. Tabelle'!N$3</f>
        <v>1100</v>
      </c>
      <c r="N37" s="273">
        <f>'Zehnder Charl. Tabelle'!O$3</f>
        <v>1200</v>
      </c>
      <c r="O37" s="273">
        <f>'Zehnder Charl. Tabelle'!P$3</f>
        <v>1500</v>
      </c>
      <c r="P37" s="273">
        <f>'Zehnder Charl. Tabelle'!Q$3</f>
        <v>1800</v>
      </c>
      <c r="Q37" s="273">
        <f>'Zehnder Charl. Tabelle'!R$3</f>
        <v>2000</v>
      </c>
      <c r="R37" s="273">
        <f>'Zehnder Charl. Tabelle'!S$3</f>
        <v>2200</v>
      </c>
      <c r="S37" s="273">
        <f>'Zehnder Charl. Tabelle'!T$3</f>
        <v>2500</v>
      </c>
      <c r="T37" s="273">
        <f>'Zehnder Charl. Tabelle'!U$3</f>
        <v>2800</v>
      </c>
      <c r="U37" s="273">
        <f>'Zehnder Charl. Tabelle'!V$3</f>
        <v>3000</v>
      </c>
    </row>
    <row r="38" spans="1:29" x14ac:dyDescent="0.2">
      <c r="A38" s="1" t="s">
        <v>399</v>
      </c>
      <c r="B38" s="340">
        <f>'Arbonia Tabelle'!E11</f>
        <v>1.25</v>
      </c>
      <c r="C38" s="51">
        <f>'Arbonia Tabelle'!F11</f>
        <v>1.26</v>
      </c>
      <c r="D38" s="51">
        <f>'Arbonia Tabelle'!G11</f>
        <v>1.31</v>
      </c>
      <c r="E38" s="340">
        <f>'Arbonia Tabelle'!H11</f>
        <v>1.31</v>
      </c>
      <c r="F38" s="51">
        <f>'Arbonia Tabelle'!I11</f>
        <v>1.31</v>
      </c>
      <c r="G38" s="51">
        <f>'Arbonia Tabelle'!J11</f>
        <v>1.31</v>
      </c>
      <c r="H38" s="51">
        <f>'Arbonia Tabelle'!K11</f>
        <v>1.31</v>
      </c>
      <c r="I38" s="51">
        <f>'Arbonia Tabelle'!L11</f>
        <v>1.31</v>
      </c>
      <c r="J38" s="51">
        <f>'Arbonia Tabelle'!M11</f>
        <v>1.31</v>
      </c>
      <c r="K38" s="51">
        <f>'Arbonia Tabelle'!N11</f>
        <v>1.31</v>
      </c>
      <c r="L38" s="51">
        <f>'Arbonia Tabelle'!O11</f>
        <v>1.32</v>
      </c>
      <c r="M38" s="51">
        <f>'Arbonia Tabelle'!P11</f>
        <v>1.32</v>
      </c>
      <c r="N38" s="51">
        <f>'Arbonia Tabelle'!Q11</f>
        <v>1.32</v>
      </c>
      <c r="O38" s="51">
        <f>'Arbonia Tabelle'!R11</f>
        <v>1.32</v>
      </c>
      <c r="P38" s="51">
        <f>'Arbonia Tabelle'!S11</f>
        <v>1.32</v>
      </c>
      <c r="Q38" s="51">
        <f>'Arbonia Tabelle'!T11</f>
        <v>1.32</v>
      </c>
      <c r="R38" s="51">
        <f>'Arbonia Tabelle'!U11</f>
        <v>1.32</v>
      </c>
      <c r="S38" s="51">
        <f>'Arbonia Tabelle'!V11</f>
        <v>1.32</v>
      </c>
      <c r="T38" s="51">
        <f>'Arbonia Tabelle'!W11</f>
        <v>1.33</v>
      </c>
      <c r="U38" s="51">
        <f>'Arbonia Tabelle'!X11</f>
        <v>1.33</v>
      </c>
    </row>
    <row r="39" spans="1:29" x14ac:dyDescent="0.2">
      <c r="A39" s="268" t="s">
        <v>421</v>
      </c>
      <c r="B39" s="279"/>
      <c r="C39" s="279"/>
      <c r="D39" s="279"/>
      <c r="E39" s="279"/>
      <c r="F39" s="279"/>
      <c r="G39" s="279"/>
      <c r="H39" s="279"/>
      <c r="I39" s="279"/>
      <c r="J39" s="279"/>
      <c r="K39" s="279"/>
      <c r="L39" s="279"/>
      <c r="M39" s="279"/>
      <c r="N39" s="279"/>
      <c r="O39" s="279"/>
      <c r="P39" s="279"/>
      <c r="Q39" s="279"/>
      <c r="R39" s="279"/>
      <c r="S39" s="279"/>
      <c r="T39" s="279"/>
      <c r="U39" s="279"/>
    </row>
    <row r="40" spans="1:29" x14ac:dyDescent="0.2">
      <c r="A40" s="269" t="s">
        <v>343</v>
      </c>
      <c r="B40" s="274">
        <f>'Zehnder Charl. Tabelle'!C13</f>
        <v>1.27</v>
      </c>
      <c r="C40" s="287">
        <f>'Zehnder Charl. Tabelle'!D13</f>
        <v>1.27</v>
      </c>
      <c r="D40" s="287">
        <f>'Zehnder Charl. Tabelle'!E13</f>
        <v>1.26</v>
      </c>
      <c r="E40" s="274">
        <f>'Zehnder Charl. Tabelle'!F13</f>
        <v>1.26</v>
      </c>
      <c r="F40" s="287">
        <f>'Zehnder Charl. Tabelle'!G13</f>
        <v>1.26</v>
      </c>
      <c r="G40" s="287">
        <f>'Zehnder Charl. Tabelle'!H13</f>
        <v>1.25</v>
      </c>
      <c r="H40" s="287">
        <f>'Zehnder Charl. Tabelle'!I13</f>
        <v>1.25</v>
      </c>
      <c r="I40" s="287">
        <f>'Zehnder Charl. Tabelle'!J13</f>
        <v>1.25</v>
      </c>
      <c r="J40" s="287">
        <f>'Zehnder Charl. Tabelle'!K13</f>
        <v>1.24</v>
      </c>
      <c r="K40" s="287">
        <f>'Zehnder Charl. Tabelle'!L13</f>
        <v>1.23</v>
      </c>
      <c r="L40" s="287">
        <f>'Zehnder Charl. Tabelle'!M13</f>
        <v>1.22</v>
      </c>
      <c r="M40" s="287">
        <f>'Zehnder Charl. Tabelle'!N13</f>
        <v>1.21</v>
      </c>
      <c r="N40" s="287">
        <f>'Zehnder Charl. Tabelle'!O13</f>
        <v>1.3</v>
      </c>
      <c r="O40" s="287">
        <f>'Zehnder Charl. Tabelle'!P13</f>
        <v>1.29</v>
      </c>
      <c r="P40" s="287">
        <f>'Zehnder Charl. Tabelle'!Q13</f>
        <v>1.29</v>
      </c>
      <c r="Q40" s="287">
        <f>'Zehnder Charl. Tabelle'!R13</f>
        <v>1.28</v>
      </c>
      <c r="R40" s="287">
        <f>'Zehnder Charl. Tabelle'!S13</f>
        <v>1.28</v>
      </c>
      <c r="S40" s="287">
        <f>'Zehnder Charl. Tabelle'!T13</f>
        <v>1.28</v>
      </c>
      <c r="T40" s="287">
        <f>'Zehnder Charl. Tabelle'!U13</f>
        <v>1.27</v>
      </c>
      <c r="U40" s="287">
        <f>'Zehnder Charl. Tabelle'!V13</f>
        <v>1.27</v>
      </c>
    </row>
    <row r="41" spans="1:29" x14ac:dyDescent="0.2">
      <c r="A41" s="268" t="s">
        <v>422</v>
      </c>
      <c r="B41" s="279"/>
      <c r="C41" s="279"/>
      <c r="D41" s="279"/>
      <c r="E41" s="279"/>
      <c r="F41" s="279"/>
      <c r="G41" s="279"/>
      <c r="H41" s="279"/>
      <c r="I41" s="279"/>
      <c r="J41" s="279"/>
      <c r="K41" s="279"/>
      <c r="L41" s="279"/>
      <c r="M41" s="279"/>
      <c r="N41" s="279"/>
      <c r="O41" s="279"/>
      <c r="P41" s="279"/>
      <c r="Q41" s="279"/>
      <c r="R41" s="279"/>
      <c r="S41" s="279"/>
      <c r="T41" s="279"/>
      <c r="U41" s="279"/>
    </row>
    <row r="42" spans="1:29" x14ac:dyDescent="0.2">
      <c r="A42" s="1" t="s">
        <v>441</v>
      </c>
      <c r="B42" s="51"/>
      <c r="C42" s="51">
        <f>'IRSAP Tabelle'!D11</f>
        <v>1.24</v>
      </c>
      <c r="D42" s="51">
        <f>'IRSAP Tabelle'!E11</f>
        <v>1.24</v>
      </c>
      <c r="E42" s="51">
        <f>'IRSAP Tabelle'!G11</f>
        <v>1.25</v>
      </c>
      <c r="F42" s="51">
        <f>'IRSAP Tabelle'!H11</f>
        <v>1.25</v>
      </c>
      <c r="G42" s="51">
        <f>'IRSAP Tabelle'!I11</f>
        <v>1.25</v>
      </c>
      <c r="H42" s="51">
        <f>'IRSAP Tabelle'!K11</f>
        <v>1.26</v>
      </c>
      <c r="I42" s="51">
        <f>'IRSAP Tabelle'!M11</f>
        <v>1.26</v>
      </c>
      <c r="J42" s="51">
        <f>'IRSAP Tabelle'!Q11</f>
        <v>1.27</v>
      </c>
      <c r="K42" s="51">
        <f>'IRSAP Tabelle'!V11</f>
        <v>1.29</v>
      </c>
      <c r="L42" s="51">
        <f>'IRSAP Tabelle'!W11</f>
        <v>1.29</v>
      </c>
      <c r="M42" s="341"/>
      <c r="N42" s="51">
        <f>'IRSAP Tabelle'!X11</f>
        <v>1.31</v>
      </c>
      <c r="O42" s="51">
        <f>'IRSAP Tabelle'!Y11</f>
        <v>1.33</v>
      </c>
      <c r="P42" s="51">
        <f>'IRSAP Tabelle'!Z11</f>
        <v>1.33</v>
      </c>
      <c r="Q42" s="51">
        <f>'IRSAP Tabelle'!AA11</f>
        <v>1.32</v>
      </c>
      <c r="R42" s="51">
        <f>'IRSAP Tabelle'!AB11</f>
        <v>1.31</v>
      </c>
      <c r="S42" s="51">
        <f>'IRSAP Tabelle'!AC11</f>
        <v>1.29</v>
      </c>
      <c r="T42" s="51"/>
      <c r="U42" s="51"/>
    </row>
    <row r="43" spans="1:29" x14ac:dyDescent="0.2">
      <c r="A43" s="1" t="s">
        <v>643</v>
      </c>
      <c r="B43" s="51"/>
      <c r="C43" s="51"/>
      <c r="D43" s="51"/>
      <c r="E43" s="51"/>
      <c r="F43" s="51"/>
      <c r="G43" s="51"/>
      <c r="H43" s="51"/>
      <c r="I43" s="51"/>
      <c r="J43" s="51"/>
      <c r="K43" s="51"/>
      <c r="L43" s="51"/>
      <c r="M43" s="51"/>
      <c r="N43" s="51"/>
      <c r="O43" s="51"/>
      <c r="P43" s="51"/>
      <c r="Q43" s="51"/>
      <c r="R43" s="51"/>
      <c r="S43" s="51"/>
      <c r="T43" s="51"/>
      <c r="U43" s="51"/>
    </row>
    <row r="44" spans="1:29" x14ac:dyDescent="0.2">
      <c r="A44" s="269" t="s">
        <v>635</v>
      </c>
      <c r="B44" s="274"/>
      <c r="C44" s="286">
        <f>'Cordivari Tabelle'!D11</f>
        <v>1.2470000000000001</v>
      </c>
      <c r="D44" s="274"/>
      <c r="E44" s="286">
        <f>'Cordivari Tabelle'!E11</f>
        <v>1.2609999999999999</v>
      </c>
      <c r="F44" s="274"/>
      <c r="G44" s="286">
        <f>'Cordivari Tabelle'!F11</f>
        <v>1.2749999999999999</v>
      </c>
      <c r="H44" s="286">
        <f>'Cordivari Tabelle'!G11</f>
        <v>1.2829999999999999</v>
      </c>
      <c r="I44" s="286">
        <f>'Cordivari Tabelle'!I11</f>
        <v>1.2889999999999999</v>
      </c>
      <c r="J44" s="274">
        <f>'Cordivari Tabelle'!M11</f>
        <v>1.31</v>
      </c>
      <c r="K44" s="274"/>
      <c r="L44" s="274">
        <f>'Cordivari Tabelle'!S11</f>
        <v>1.335</v>
      </c>
      <c r="M44" s="274"/>
      <c r="N44" s="286">
        <f>'Cordivari Tabelle'!T11</f>
        <v>1.343</v>
      </c>
      <c r="O44" s="286">
        <f>'Cordivari Tabelle'!U11</f>
        <v>1.355</v>
      </c>
      <c r="P44" s="286">
        <f>'Cordivari Tabelle'!W11</f>
        <v>1.355</v>
      </c>
      <c r="Q44" s="286">
        <f>'Cordivari Tabelle'!Y11</f>
        <v>1.355</v>
      </c>
      <c r="R44" s="286">
        <f>'Cordivari Tabelle'!AA11</f>
        <v>1.355</v>
      </c>
      <c r="S44" s="286">
        <f>'Cordivari Tabelle'!AB11</f>
        <v>1.355</v>
      </c>
      <c r="T44" s="274"/>
      <c r="U44" s="274"/>
    </row>
    <row r="45" spans="1:29" x14ac:dyDescent="0.2">
      <c r="A45" s="268" t="s">
        <v>644</v>
      </c>
      <c r="B45" s="279"/>
      <c r="C45" s="279"/>
      <c r="D45" s="279"/>
      <c r="E45" s="279"/>
      <c r="F45" s="279"/>
      <c r="G45" s="279"/>
      <c r="H45" s="279"/>
      <c r="I45" s="279"/>
      <c r="J45" s="279"/>
      <c r="K45" s="279"/>
      <c r="L45" s="279"/>
      <c r="M45" s="279"/>
      <c r="N45" s="279"/>
      <c r="O45" s="279"/>
      <c r="P45" s="279"/>
      <c r="Q45" s="279"/>
      <c r="R45" s="279"/>
      <c r="S45" s="279"/>
      <c r="T45" s="279"/>
      <c r="U45" s="279"/>
    </row>
    <row r="46" spans="1:29" x14ac:dyDescent="0.2">
      <c r="A46" s="1" t="s">
        <v>634</v>
      </c>
      <c r="B46" s="51"/>
      <c r="C46" s="51">
        <f>'FIR Iron'!D11</f>
        <v>1.22</v>
      </c>
      <c r="D46" s="51">
        <f>'FIR Iron'!E11</f>
        <v>1.23</v>
      </c>
      <c r="E46" s="51">
        <f>'FIR Iron'!G11</f>
        <v>1.23</v>
      </c>
      <c r="F46" s="51">
        <f>'FIR Iron'!I11</f>
        <v>1.23</v>
      </c>
      <c r="G46" s="51">
        <f>'FIR Iron'!J11</f>
        <v>1.24</v>
      </c>
      <c r="H46" s="51">
        <f>'FIR Iron'!K11</f>
        <v>1.24</v>
      </c>
      <c r="I46" s="51">
        <f>'FIR Iron'!M11</f>
        <v>1.24</v>
      </c>
      <c r="J46" s="342">
        <f>'FIR Iron'!O11</f>
        <v>1.25</v>
      </c>
      <c r="K46" s="51">
        <f>'FIR Iron'!Q11</f>
        <v>1.26</v>
      </c>
      <c r="L46" s="342">
        <f>'FIR Iron'!S11</f>
        <v>1.27</v>
      </c>
      <c r="M46" s="51">
        <f>'FIR Iron'!U11</f>
        <v>1.28</v>
      </c>
      <c r="N46" s="51">
        <f>'FIR Iron'!V11</f>
        <v>1.28</v>
      </c>
      <c r="O46" s="51">
        <f>'FIR Iron'!W11</f>
        <v>1.3</v>
      </c>
      <c r="P46" s="51">
        <f>'FIR Iron'!X11</f>
        <v>1.32</v>
      </c>
      <c r="Q46" s="51">
        <f>'FIR Iron'!Y11</f>
        <v>1.33</v>
      </c>
      <c r="R46" s="51">
        <f>'FIR Iron'!Z11</f>
        <v>1.34</v>
      </c>
      <c r="S46" s="51">
        <f>'FIR Iron'!AA11</f>
        <v>1.34</v>
      </c>
      <c r="T46" s="51">
        <f>'FIR Iron'!AB11</f>
        <v>1.34</v>
      </c>
      <c r="U46" s="51">
        <f>'FIR Iron'!AC11</f>
        <v>1.3</v>
      </c>
    </row>
    <row r="47" spans="1:29" x14ac:dyDescent="0.2">
      <c r="A47" s="1" t="s">
        <v>645</v>
      </c>
      <c r="B47" s="51"/>
      <c r="C47" s="51"/>
      <c r="D47" s="51"/>
      <c r="E47" s="51"/>
      <c r="F47" s="51"/>
      <c r="G47" s="51"/>
      <c r="H47" s="51"/>
      <c r="I47" s="51"/>
      <c r="J47" s="51"/>
      <c r="K47" s="51"/>
      <c r="L47" s="51"/>
      <c r="M47" s="51"/>
      <c r="N47" s="51"/>
      <c r="O47" s="51"/>
      <c r="P47" s="51"/>
      <c r="Q47" s="51"/>
      <c r="R47" s="51"/>
      <c r="S47" s="51"/>
      <c r="T47" s="51"/>
      <c r="U47" s="51"/>
    </row>
    <row r="48" spans="1:29" x14ac:dyDescent="0.2">
      <c r="A48" s="269" t="s">
        <v>646</v>
      </c>
      <c r="B48" s="274">
        <f>AVERAGE(B38,B40,B42,B44,B46)</f>
        <v>1.26</v>
      </c>
      <c r="C48" s="274">
        <f t="shared" ref="C48:U48" si="0">AVERAGE(C38,C40,C42,C44,C46)</f>
        <v>1.2474000000000001</v>
      </c>
      <c r="D48" s="274">
        <f t="shared" si="0"/>
        <v>1.2600000000000002</v>
      </c>
      <c r="E48" s="274">
        <f t="shared" si="0"/>
        <v>1.2622</v>
      </c>
      <c r="F48" s="274">
        <f t="shared" si="0"/>
        <v>1.2625000000000002</v>
      </c>
      <c r="G48" s="274">
        <f t="shared" si="0"/>
        <v>1.2650000000000001</v>
      </c>
      <c r="H48" s="274">
        <f t="shared" si="0"/>
        <v>1.2685999999999999</v>
      </c>
      <c r="I48" s="274">
        <f t="shared" si="0"/>
        <v>1.2698</v>
      </c>
      <c r="J48" s="274">
        <f t="shared" si="0"/>
        <v>1.276</v>
      </c>
      <c r="K48" s="274">
        <f t="shared" si="0"/>
        <v>1.2725</v>
      </c>
      <c r="L48" s="274">
        <f t="shared" si="0"/>
        <v>1.2870000000000001</v>
      </c>
      <c r="M48" s="274">
        <f t="shared" si="0"/>
        <v>1.2700000000000002</v>
      </c>
      <c r="N48" s="274">
        <f t="shared" si="0"/>
        <v>1.3106</v>
      </c>
      <c r="O48" s="274">
        <f t="shared" si="0"/>
        <v>1.319</v>
      </c>
      <c r="P48" s="274">
        <f t="shared" si="0"/>
        <v>1.323</v>
      </c>
      <c r="Q48" s="274">
        <f t="shared" si="0"/>
        <v>1.3210000000000002</v>
      </c>
      <c r="R48" s="274">
        <f t="shared" si="0"/>
        <v>1.3210000000000002</v>
      </c>
      <c r="S48" s="274">
        <f t="shared" si="0"/>
        <v>1.3169999999999999</v>
      </c>
      <c r="T48" s="274">
        <f t="shared" si="0"/>
        <v>1.3133333333333335</v>
      </c>
      <c r="U48" s="274">
        <f t="shared" si="0"/>
        <v>1.3</v>
      </c>
    </row>
    <row r="49" spans="1:25" s="1" customFormat="1" x14ac:dyDescent="0.2">
      <c r="A49" s="268" t="s">
        <v>647</v>
      </c>
      <c r="B49" s="288">
        <f>-0.00000002*B37^2+0.00008*B37 + 1.2298</f>
        <v>1.2492479999999999</v>
      </c>
      <c r="C49" s="288">
        <f t="shared" ref="C49:U49" si="1">-0.00000002*C37^2+0.00008*C37 + 1.2298</f>
        <v>1.252</v>
      </c>
      <c r="D49" s="288">
        <f t="shared" si="1"/>
        <v>1.25535</v>
      </c>
      <c r="E49" s="288">
        <f t="shared" si="1"/>
        <v>1.2585999999999999</v>
      </c>
      <c r="F49" s="288">
        <f t="shared" si="1"/>
        <v>1.2617499999999999</v>
      </c>
      <c r="G49" s="288">
        <f t="shared" si="1"/>
        <v>1.2647999999999999</v>
      </c>
      <c r="H49" s="288">
        <f t="shared" si="1"/>
        <v>1.2677499999999999</v>
      </c>
      <c r="I49" s="288">
        <f t="shared" si="1"/>
        <v>1.2706</v>
      </c>
      <c r="J49" s="288">
        <f t="shared" si="1"/>
        <v>1.2785500000000001</v>
      </c>
      <c r="K49" s="288">
        <f t="shared" si="1"/>
        <v>1.2856000000000001</v>
      </c>
      <c r="L49" s="288">
        <f t="shared" si="1"/>
        <v>1.2898000000000001</v>
      </c>
      <c r="M49" s="288">
        <f t="shared" si="1"/>
        <v>1.2936000000000001</v>
      </c>
      <c r="N49" s="288">
        <f t="shared" si="1"/>
        <v>1.2969999999999999</v>
      </c>
      <c r="O49" s="288">
        <f t="shared" si="1"/>
        <v>1.3048</v>
      </c>
      <c r="P49" s="288">
        <f t="shared" si="1"/>
        <v>1.3089999999999999</v>
      </c>
      <c r="Q49" s="288">
        <f t="shared" si="1"/>
        <v>1.3098000000000001</v>
      </c>
      <c r="R49" s="288">
        <f t="shared" si="1"/>
        <v>1.3089999999999999</v>
      </c>
      <c r="S49" s="288">
        <f t="shared" si="1"/>
        <v>1.3048</v>
      </c>
      <c r="T49" s="288">
        <f t="shared" si="1"/>
        <v>1.2969999999999999</v>
      </c>
      <c r="U49" s="288">
        <f t="shared" si="1"/>
        <v>1.2898000000000001</v>
      </c>
    </row>
    <row r="50" spans="1:25" x14ac:dyDescent="0.2">
      <c r="B50" s="267">
        <f>(B49-B48)/B48</f>
        <v>-8.5333333333334083E-3</v>
      </c>
      <c r="C50" s="267">
        <f t="shared" ref="C50:U50" si="2">(C49-C48)/C48</f>
        <v>3.6876703543369709E-3</v>
      </c>
      <c r="D50" s="267">
        <f t="shared" si="2"/>
        <v>-3.6904761904764001E-3</v>
      </c>
      <c r="E50" s="267">
        <f t="shared" si="2"/>
        <v>-2.8521628901917663E-3</v>
      </c>
      <c r="F50" s="267">
        <f t="shared" si="2"/>
        <v>-5.9405940594079235E-4</v>
      </c>
      <c r="G50" s="267">
        <f t="shared" si="2"/>
        <v>-1.5810276679857708E-4</v>
      </c>
      <c r="H50" s="267">
        <f t="shared" si="2"/>
        <v>-6.7002995428032278E-4</v>
      </c>
      <c r="I50" s="267">
        <f t="shared" si="2"/>
        <v>6.3002047566538969E-4</v>
      </c>
      <c r="J50" s="267">
        <f t="shared" si="2"/>
        <v>1.9984326018809184E-3</v>
      </c>
      <c r="K50" s="267">
        <f t="shared" si="2"/>
        <v>1.029469548133604E-2</v>
      </c>
      <c r="L50" s="267">
        <f t="shared" si="2"/>
        <v>2.1756021756021084E-3</v>
      </c>
      <c r="M50" s="267">
        <f t="shared" si="2"/>
        <v>1.8582677165354205E-2</v>
      </c>
      <c r="N50" s="267">
        <f t="shared" si="2"/>
        <v>-1.0376926598504544E-2</v>
      </c>
      <c r="O50" s="267">
        <f t="shared" si="2"/>
        <v>-1.0765731614859735E-2</v>
      </c>
      <c r="P50" s="267">
        <f t="shared" si="2"/>
        <v>-1.0582010582010592E-2</v>
      </c>
      <c r="Q50" s="267">
        <f t="shared" si="2"/>
        <v>-8.4784254352763787E-3</v>
      </c>
      <c r="R50" s="267">
        <f t="shared" si="2"/>
        <v>-9.0840272520819314E-3</v>
      </c>
      <c r="S50" s="267">
        <f t="shared" si="2"/>
        <v>-9.2634776006074327E-3</v>
      </c>
      <c r="T50" s="267">
        <f t="shared" si="2"/>
        <v>-1.2436548223350405E-2</v>
      </c>
      <c r="U50" s="267">
        <f t="shared" si="2"/>
        <v>-7.846153846153836E-3</v>
      </c>
    </row>
    <row r="51" spans="1:25" x14ac:dyDescent="0.2">
      <c r="B51" s="267"/>
      <c r="W51" t="s">
        <v>699</v>
      </c>
      <c r="X51" t="s">
        <v>162</v>
      </c>
    </row>
    <row r="52" spans="1:25" x14ac:dyDescent="0.2">
      <c r="A52" s="1" t="s">
        <v>423</v>
      </c>
      <c r="B52" s="51">
        <f t="shared" ref="B52:U52" si="3">MAX(B38,B40,B42,B44,B46)</f>
        <v>1.27</v>
      </c>
      <c r="C52" s="51">
        <f t="shared" si="3"/>
        <v>1.27</v>
      </c>
      <c r="D52" s="51">
        <f t="shared" si="3"/>
        <v>1.31</v>
      </c>
      <c r="E52" s="51">
        <f t="shared" si="3"/>
        <v>1.31</v>
      </c>
      <c r="F52" s="51">
        <f t="shared" si="3"/>
        <v>1.31</v>
      </c>
      <c r="G52" s="51">
        <f t="shared" si="3"/>
        <v>1.31</v>
      </c>
      <c r="H52" s="51">
        <f t="shared" si="3"/>
        <v>1.31</v>
      </c>
      <c r="I52" s="51">
        <f t="shared" si="3"/>
        <v>1.31</v>
      </c>
      <c r="J52" s="51">
        <f t="shared" si="3"/>
        <v>1.31</v>
      </c>
      <c r="K52" s="51">
        <f t="shared" si="3"/>
        <v>1.31</v>
      </c>
      <c r="L52" s="51">
        <f t="shared" si="3"/>
        <v>1.335</v>
      </c>
      <c r="M52" s="51">
        <f t="shared" si="3"/>
        <v>1.32</v>
      </c>
      <c r="N52" s="51">
        <f t="shared" si="3"/>
        <v>1.343</v>
      </c>
      <c r="O52" s="51">
        <f t="shared" si="3"/>
        <v>1.355</v>
      </c>
      <c r="P52" s="51">
        <f t="shared" si="3"/>
        <v>1.355</v>
      </c>
      <c r="Q52" s="51">
        <f t="shared" si="3"/>
        <v>1.355</v>
      </c>
      <c r="R52" s="51">
        <f t="shared" si="3"/>
        <v>1.355</v>
      </c>
      <c r="S52" s="51">
        <f t="shared" si="3"/>
        <v>1.355</v>
      </c>
      <c r="T52" s="51">
        <f t="shared" si="3"/>
        <v>1.34</v>
      </c>
      <c r="U52" s="51">
        <f t="shared" si="3"/>
        <v>1.33</v>
      </c>
      <c r="W52" s="51">
        <f>MAX(A52:U52)</f>
        <v>1.355</v>
      </c>
      <c r="X52" s="10">
        <f>MAX(A49:U49)</f>
        <v>1.3098000000000001</v>
      </c>
      <c r="Y52" s="173">
        <f>(X52-W52)/W52</f>
        <v>-3.3357933579335725E-2</v>
      </c>
    </row>
    <row r="53" spans="1:25" x14ac:dyDescent="0.2">
      <c r="A53" s="1" t="s">
        <v>424</v>
      </c>
      <c r="B53" s="51">
        <f t="shared" ref="B53:U53" si="4">MIN(B38,B40,B42,B44,B46)</f>
        <v>1.25</v>
      </c>
      <c r="C53" s="51">
        <f t="shared" si="4"/>
        <v>1.22</v>
      </c>
      <c r="D53" s="51">
        <f t="shared" si="4"/>
        <v>1.23</v>
      </c>
      <c r="E53" s="51">
        <f t="shared" si="4"/>
        <v>1.23</v>
      </c>
      <c r="F53" s="51">
        <f t="shared" si="4"/>
        <v>1.23</v>
      </c>
      <c r="G53" s="51">
        <f t="shared" si="4"/>
        <v>1.24</v>
      </c>
      <c r="H53" s="51">
        <f t="shared" si="4"/>
        <v>1.24</v>
      </c>
      <c r="I53" s="51">
        <f t="shared" si="4"/>
        <v>1.24</v>
      </c>
      <c r="J53" s="51">
        <f t="shared" si="4"/>
        <v>1.24</v>
      </c>
      <c r="K53" s="51">
        <f t="shared" si="4"/>
        <v>1.23</v>
      </c>
      <c r="L53" s="51">
        <f t="shared" si="4"/>
        <v>1.22</v>
      </c>
      <c r="M53" s="51">
        <f t="shared" si="4"/>
        <v>1.21</v>
      </c>
      <c r="N53" s="51">
        <f t="shared" si="4"/>
        <v>1.28</v>
      </c>
      <c r="O53" s="51">
        <f t="shared" si="4"/>
        <v>1.29</v>
      </c>
      <c r="P53" s="51">
        <f t="shared" si="4"/>
        <v>1.29</v>
      </c>
      <c r="Q53" s="51">
        <f t="shared" si="4"/>
        <v>1.28</v>
      </c>
      <c r="R53" s="51">
        <f t="shared" si="4"/>
        <v>1.28</v>
      </c>
      <c r="S53" s="51">
        <f t="shared" si="4"/>
        <v>1.28</v>
      </c>
      <c r="T53" s="51">
        <f t="shared" si="4"/>
        <v>1.27</v>
      </c>
      <c r="U53" s="51">
        <f t="shared" si="4"/>
        <v>1.27</v>
      </c>
      <c r="W53" s="51">
        <f>MIN(A53:U53)</f>
        <v>1.21</v>
      </c>
      <c r="X53" s="10">
        <f>MIN(A49:U49)</f>
        <v>1.2492479999999999</v>
      </c>
      <c r="Y53" s="173">
        <f>(X53-W53)/W53</f>
        <v>3.2436363636363597E-2</v>
      </c>
    </row>
    <row r="54" spans="1:25" x14ac:dyDescent="0.2">
      <c r="B54" s="267">
        <f t="shared" ref="B54:U54" si="5">(B52-B53)/B52</f>
        <v>1.5748031496063006E-2</v>
      </c>
      <c r="C54" s="267">
        <f t="shared" si="5"/>
        <v>3.9370078740157514E-2</v>
      </c>
      <c r="D54" s="267">
        <f t="shared" si="5"/>
        <v>6.1068702290076389E-2</v>
      </c>
      <c r="E54" s="267">
        <f t="shared" si="5"/>
        <v>6.1068702290076389E-2</v>
      </c>
      <c r="F54" s="267">
        <f t="shared" si="5"/>
        <v>6.1068702290076389E-2</v>
      </c>
      <c r="G54" s="267">
        <f t="shared" si="5"/>
        <v>5.3435114503816841E-2</v>
      </c>
      <c r="H54" s="267">
        <f t="shared" si="5"/>
        <v>5.3435114503816841E-2</v>
      </c>
      <c r="I54" s="267">
        <f t="shared" si="5"/>
        <v>5.3435114503816841E-2</v>
      </c>
      <c r="J54" s="267">
        <f t="shared" si="5"/>
        <v>5.3435114503816841E-2</v>
      </c>
      <c r="K54" s="267">
        <f t="shared" si="5"/>
        <v>6.1068702290076389E-2</v>
      </c>
      <c r="L54" s="267">
        <f t="shared" si="5"/>
        <v>8.6142322097378279E-2</v>
      </c>
      <c r="M54" s="267">
        <f t="shared" si="5"/>
        <v>8.3333333333333398E-2</v>
      </c>
      <c r="N54" s="267">
        <f t="shared" si="5"/>
        <v>4.6909903201787007E-2</v>
      </c>
      <c r="O54" s="267">
        <f t="shared" si="5"/>
        <v>4.7970479704797009E-2</v>
      </c>
      <c r="P54" s="267">
        <f t="shared" si="5"/>
        <v>4.7970479704797009E-2</v>
      </c>
      <c r="Q54" s="267">
        <f t="shared" si="5"/>
        <v>5.535055350553502E-2</v>
      </c>
      <c r="R54" s="267">
        <f t="shared" si="5"/>
        <v>5.535055350553502E-2</v>
      </c>
      <c r="S54" s="267">
        <f t="shared" si="5"/>
        <v>5.535055350553502E-2</v>
      </c>
      <c r="T54" s="267">
        <f t="shared" si="5"/>
        <v>5.22388059701493E-2</v>
      </c>
      <c r="U54" s="267">
        <f t="shared" si="5"/>
        <v>4.5112781954887257E-2</v>
      </c>
    </row>
    <row r="55" spans="1:25" x14ac:dyDescent="0.2">
      <c r="A55" s="173">
        <v>0.1</v>
      </c>
    </row>
    <row r="57" spans="1:25" x14ac:dyDescent="0.2">
      <c r="A57" s="272" t="s">
        <v>412</v>
      </c>
      <c r="B57" s="273">
        <f>'Zehnder Charl. Tabelle'!C$3</f>
        <v>260</v>
      </c>
      <c r="C57" s="273">
        <f>'Zehnder Charl. Tabelle'!D$3</f>
        <v>300</v>
      </c>
      <c r="D57" s="273">
        <f>'Zehnder Charl. Tabelle'!E$3</f>
        <v>350</v>
      </c>
      <c r="E57" s="273">
        <f>'Zehnder Charl. Tabelle'!F$3</f>
        <v>400</v>
      </c>
      <c r="F57" s="273">
        <f>'Zehnder Charl. Tabelle'!G$3</f>
        <v>450</v>
      </c>
      <c r="G57" s="273">
        <f>'Zehnder Charl. Tabelle'!H$3</f>
        <v>500</v>
      </c>
      <c r="H57" s="273">
        <f>'Zehnder Charl. Tabelle'!I$3</f>
        <v>550</v>
      </c>
      <c r="I57" s="273">
        <f>'Zehnder Charl. Tabelle'!J$3</f>
        <v>600</v>
      </c>
      <c r="J57" s="273">
        <f>'Zehnder Charl. Tabelle'!K$3</f>
        <v>750</v>
      </c>
      <c r="K57" s="273">
        <f>'Zehnder Charl. Tabelle'!L$3</f>
        <v>900</v>
      </c>
      <c r="L57" s="273">
        <f>'Zehnder Charl. Tabelle'!M$3</f>
        <v>1000</v>
      </c>
      <c r="M57" s="273">
        <f>'Zehnder Charl. Tabelle'!N$3</f>
        <v>1100</v>
      </c>
      <c r="N57" s="273">
        <f>'Zehnder Charl. Tabelle'!O$3</f>
        <v>1200</v>
      </c>
      <c r="O57" s="273">
        <f>'Zehnder Charl. Tabelle'!P$3</f>
        <v>1500</v>
      </c>
      <c r="P57" s="273">
        <f>'Zehnder Charl. Tabelle'!Q$3</f>
        <v>1800</v>
      </c>
      <c r="Q57" s="273">
        <f>'Zehnder Charl. Tabelle'!R$3</f>
        <v>2000</v>
      </c>
      <c r="R57" s="273">
        <f>'Zehnder Charl. Tabelle'!S$3</f>
        <v>2200</v>
      </c>
      <c r="S57" s="273">
        <f>'Zehnder Charl. Tabelle'!T$3</f>
        <v>2500</v>
      </c>
      <c r="T57" s="273">
        <f>'Zehnder Charl. Tabelle'!U$3</f>
        <v>2800</v>
      </c>
      <c r="U57" s="273">
        <f>'Zehnder Charl. Tabelle'!V$3</f>
        <v>3000</v>
      </c>
    </row>
    <row r="58" spans="1:25" x14ac:dyDescent="0.2">
      <c r="A58" s="1" t="s">
        <v>399</v>
      </c>
      <c r="B58" s="51">
        <f>'Arbonia Tabelle'!E12</f>
        <v>1.31</v>
      </c>
      <c r="C58" s="51">
        <f>'Arbonia Tabelle'!F12</f>
        <v>1.33</v>
      </c>
      <c r="D58" s="51">
        <f>'Arbonia Tabelle'!G12</f>
        <v>1.36</v>
      </c>
      <c r="E58" s="51">
        <f>'Arbonia Tabelle'!H12</f>
        <v>1.36</v>
      </c>
      <c r="F58" s="51">
        <f>'Arbonia Tabelle'!I12</f>
        <v>1.36</v>
      </c>
      <c r="G58" s="51">
        <f>'Arbonia Tabelle'!J12</f>
        <v>1.36</v>
      </c>
      <c r="H58" s="51">
        <f>'Arbonia Tabelle'!K12</f>
        <v>1.36</v>
      </c>
      <c r="I58" s="51">
        <f>'Arbonia Tabelle'!L12</f>
        <v>1.36</v>
      </c>
      <c r="J58" s="51">
        <f>'Arbonia Tabelle'!M12</f>
        <v>1.36</v>
      </c>
      <c r="K58" s="51">
        <f>'Arbonia Tabelle'!N12</f>
        <v>1.36</v>
      </c>
      <c r="L58" s="51">
        <f>'Arbonia Tabelle'!O12</f>
        <v>1.36</v>
      </c>
      <c r="M58" s="51">
        <f>'Arbonia Tabelle'!P12</f>
        <v>1.35</v>
      </c>
      <c r="N58" s="51">
        <f>'Arbonia Tabelle'!Q12</f>
        <v>1.35</v>
      </c>
      <c r="O58" s="51">
        <f>'Arbonia Tabelle'!R12</f>
        <v>1.35</v>
      </c>
      <c r="P58" s="51">
        <f>'Arbonia Tabelle'!S12</f>
        <v>1.35</v>
      </c>
      <c r="Q58" s="51">
        <f>'Arbonia Tabelle'!T12</f>
        <v>1.34</v>
      </c>
      <c r="R58" s="51">
        <f>'Arbonia Tabelle'!U12</f>
        <v>1.34</v>
      </c>
      <c r="S58" s="51">
        <f>'Arbonia Tabelle'!V12</f>
        <v>1.34</v>
      </c>
      <c r="T58" s="51">
        <f>'Arbonia Tabelle'!W12</f>
        <v>1.34</v>
      </c>
      <c r="U58" s="51">
        <f>'Arbonia Tabelle'!X12</f>
        <v>1.33</v>
      </c>
    </row>
    <row r="59" spans="1:25" x14ac:dyDescent="0.2">
      <c r="A59" s="268" t="s">
        <v>421</v>
      </c>
      <c r="B59" s="279"/>
      <c r="C59" s="279"/>
      <c r="D59" s="279"/>
      <c r="E59" s="279"/>
      <c r="F59" s="279"/>
      <c r="G59" s="279"/>
      <c r="H59" s="279"/>
      <c r="I59" s="279"/>
      <c r="J59" s="279"/>
      <c r="K59" s="279"/>
      <c r="L59" s="279"/>
      <c r="M59" s="279"/>
      <c r="N59" s="279"/>
      <c r="O59" s="279"/>
      <c r="P59" s="279"/>
      <c r="Q59" s="279"/>
      <c r="R59" s="279"/>
      <c r="S59" s="279"/>
      <c r="T59" s="279"/>
      <c r="U59" s="279"/>
    </row>
    <row r="60" spans="1:25" x14ac:dyDescent="0.2">
      <c r="A60" s="269" t="s">
        <v>343</v>
      </c>
      <c r="B60" s="287">
        <f>'Zehnder Charl. Tabelle'!C14</f>
        <v>1.28</v>
      </c>
      <c r="C60" s="287">
        <f>'Zehnder Charl. Tabelle'!D14</f>
        <v>1.28</v>
      </c>
      <c r="D60" s="287">
        <f>'Zehnder Charl. Tabelle'!E14</f>
        <v>1.28</v>
      </c>
      <c r="E60" s="287">
        <f>'Zehnder Charl. Tabelle'!F14</f>
        <v>1.28</v>
      </c>
      <c r="F60" s="287">
        <f>'Zehnder Charl. Tabelle'!G14</f>
        <v>1.27</v>
      </c>
      <c r="G60" s="287">
        <f>'Zehnder Charl. Tabelle'!H14</f>
        <v>1.27</v>
      </c>
      <c r="H60" s="287">
        <f>'Zehnder Charl. Tabelle'!I14</f>
        <v>1.27</v>
      </c>
      <c r="I60" s="287">
        <f>'Zehnder Charl. Tabelle'!J14</f>
        <v>1.27</v>
      </c>
      <c r="J60" s="287">
        <f>'Zehnder Charl. Tabelle'!K14</f>
        <v>1.26</v>
      </c>
      <c r="K60" s="287">
        <f>'Zehnder Charl. Tabelle'!L14</f>
        <v>1.25</v>
      </c>
      <c r="L60" s="287">
        <f>'Zehnder Charl. Tabelle'!M14</f>
        <v>1.25</v>
      </c>
      <c r="M60" s="287">
        <f>'Zehnder Charl. Tabelle'!N14</f>
        <v>1.25</v>
      </c>
      <c r="N60" s="287">
        <f>'Zehnder Charl. Tabelle'!O14</f>
        <v>1.31</v>
      </c>
      <c r="O60" s="287">
        <f>'Zehnder Charl. Tabelle'!P14</f>
        <v>1.31</v>
      </c>
      <c r="P60" s="287">
        <f>'Zehnder Charl. Tabelle'!Q14</f>
        <v>1.32</v>
      </c>
      <c r="Q60" s="287">
        <f>'Zehnder Charl. Tabelle'!R14</f>
        <v>1.32</v>
      </c>
      <c r="R60" s="287">
        <f>'Zehnder Charl. Tabelle'!S14</f>
        <v>1.32</v>
      </c>
      <c r="S60" s="287">
        <f>'Zehnder Charl. Tabelle'!T14</f>
        <v>1.32</v>
      </c>
      <c r="T60" s="287">
        <f>'Zehnder Charl. Tabelle'!U14</f>
        <v>1.33</v>
      </c>
      <c r="U60" s="287">
        <f>'Zehnder Charl. Tabelle'!V14</f>
        <v>1.33</v>
      </c>
    </row>
    <row r="61" spans="1:25" x14ac:dyDescent="0.2">
      <c r="A61" s="268" t="s">
        <v>422</v>
      </c>
      <c r="B61" s="279"/>
      <c r="C61" s="279"/>
      <c r="D61" s="279"/>
      <c r="E61" s="279"/>
      <c r="F61" s="279"/>
      <c r="G61" s="279"/>
      <c r="H61" s="279"/>
      <c r="I61" s="279"/>
      <c r="J61" s="279"/>
      <c r="K61" s="279"/>
      <c r="L61" s="279"/>
      <c r="M61" s="279"/>
      <c r="N61" s="279"/>
      <c r="O61" s="279"/>
      <c r="P61" s="279"/>
      <c r="Q61" s="279"/>
      <c r="R61" s="279"/>
      <c r="S61" s="279"/>
      <c r="T61" s="279"/>
      <c r="U61" s="279"/>
    </row>
    <row r="62" spans="1:25" x14ac:dyDescent="0.2">
      <c r="A62" s="1" t="s">
        <v>441</v>
      </c>
      <c r="B62" s="51"/>
      <c r="C62" s="51">
        <f>'IRSAP Tabelle'!D12</f>
        <v>1.25</v>
      </c>
      <c r="D62" s="51">
        <f>'IRSAP Tabelle'!E12</f>
        <v>1.25</v>
      </c>
      <c r="E62" s="51">
        <f>'IRSAP Tabelle'!G12</f>
        <v>1.26</v>
      </c>
      <c r="F62" s="51">
        <f>'IRSAP Tabelle'!H12</f>
        <v>1.26</v>
      </c>
      <c r="G62" s="51">
        <f>'IRSAP Tabelle'!I12</f>
        <v>1.27</v>
      </c>
      <c r="H62" s="51">
        <f>'IRSAP Tabelle'!K12</f>
        <v>1.28</v>
      </c>
      <c r="I62" s="51">
        <f>'IRSAP Tabelle'!M12</f>
        <v>1.28</v>
      </c>
      <c r="J62" s="51">
        <f>'IRSAP Tabelle'!Q12</f>
        <v>1.3</v>
      </c>
      <c r="K62" s="51">
        <f>'IRSAP Tabelle'!V12</f>
        <v>1.31</v>
      </c>
      <c r="L62" s="51">
        <f>'IRSAP Tabelle'!W12</f>
        <v>1.32</v>
      </c>
      <c r="M62" s="341"/>
      <c r="N62" s="51">
        <f>'IRSAP Tabelle'!X12</f>
        <v>1.32</v>
      </c>
      <c r="O62" s="51">
        <f>'IRSAP Tabelle'!Y12</f>
        <v>1.33</v>
      </c>
      <c r="P62" s="51">
        <f>'IRSAP Tabelle'!Z12</f>
        <v>1.33</v>
      </c>
      <c r="Q62" s="51">
        <f>'IRSAP Tabelle'!AA12</f>
        <v>1.3180000000000001</v>
      </c>
      <c r="R62" s="51">
        <f>'IRSAP Tabelle'!AB12</f>
        <v>1.31</v>
      </c>
      <c r="S62" s="51">
        <f>'IRSAP Tabelle'!AC12</f>
        <v>1.2989999999999999</v>
      </c>
      <c r="T62" s="51"/>
      <c r="U62" s="51"/>
    </row>
    <row r="63" spans="1:25" x14ac:dyDescent="0.2">
      <c r="A63" s="1" t="s">
        <v>643</v>
      </c>
      <c r="B63" s="51"/>
      <c r="C63" s="51"/>
      <c r="D63" s="51"/>
      <c r="E63" s="51"/>
      <c r="F63" s="51"/>
      <c r="G63" s="51"/>
      <c r="H63" s="51"/>
      <c r="I63" s="51"/>
      <c r="J63" s="51"/>
      <c r="K63" s="51"/>
      <c r="L63" s="51"/>
      <c r="M63" s="51"/>
      <c r="N63" s="51"/>
      <c r="O63" s="51"/>
      <c r="P63" s="51"/>
      <c r="Q63" s="51"/>
      <c r="R63" s="51"/>
      <c r="S63" s="51"/>
      <c r="T63" s="51"/>
      <c r="U63" s="51"/>
    </row>
    <row r="64" spans="1:25" x14ac:dyDescent="0.2">
      <c r="A64" s="269" t="s">
        <v>635</v>
      </c>
      <c r="B64" s="274"/>
      <c r="C64" s="274">
        <f>'Cordivari Tabelle'!D12</f>
        <v>1.2729999999999999</v>
      </c>
      <c r="D64" s="274"/>
      <c r="E64" s="274">
        <f>'Cordivari Tabelle'!E12</f>
        <v>1.284</v>
      </c>
      <c r="F64" s="274"/>
      <c r="G64" s="274">
        <f>'Cordivari Tabelle'!F12</f>
        <v>1.296</v>
      </c>
      <c r="H64" s="286">
        <f>'Cordivari Tabelle'!G12</f>
        <v>1.302</v>
      </c>
      <c r="I64" s="286">
        <f>'Cordivari Tabelle'!I12</f>
        <v>1.3069999999999999</v>
      </c>
      <c r="J64" s="286">
        <f>'Cordivari Tabelle'!M12</f>
        <v>1.325</v>
      </c>
      <c r="K64" s="274"/>
      <c r="L64" s="286">
        <f>'Cordivari Tabelle'!S12</f>
        <v>1.345</v>
      </c>
      <c r="M64" s="274"/>
      <c r="N64" s="286">
        <f>'Cordivari Tabelle'!T12</f>
        <v>1.35</v>
      </c>
      <c r="O64" s="286">
        <f>'Cordivari Tabelle'!U12</f>
        <v>1.359</v>
      </c>
      <c r="P64" s="286">
        <f>'Cordivari Tabelle'!W12</f>
        <v>1.341</v>
      </c>
      <c r="Q64" s="286">
        <f>'Cordivari Tabelle'!Y12</f>
        <v>1.33</v>
      </c>
      <c r="R64" s="286">
        <f>'Cordivari Tabelle'!AA12</f>
        <v>1.3180000000000001</v>
      </c>
      <c r="S64" s="286">
        <f>'Cordivari Tabelle'!AB12</f>
        <v>1.3009999999999999</v>
      </c>
      <c r="T64" s="274"/>
      <c r="U64" s="274"/>
    </row>
    <row r="65" spans="1:25" x14ac:dyDescent="0.2">
      <c r="A65" s="268" t="s">
        <v>644</v>
      </c>
      <c r="B65" s="279"/>
      <c r="C65" s="279"/>
      <c r="D65" s="279"/>
      <c r="E65" s="279"/>
      <c r="F65" s="279"/>
      <c r="G65" s="279"/>
      <c r="H65" s="279"/>
      <c r="I65" s="279"/>
      <c r="J65" s="279"/>
      <c r="K65" s="279"/>
      <c r="L65" s="279"/>
      <c r="M65" s="279"/>
      <c r="N65" s="279"/>
      <c r="O65" s="279"/>
      <c r="P65" s="279"/>
      <c r="Q65" s="279"/>
      <c r="R65" s="279"/>
      <c r="S65" s="279"/>
      <c r="T65" s="279"/>
      <c r="U65" s="279"/>
    </row>
    <row r="66" spans="1:25" x14ac:dyDescent="0.2">
      <c r="A66" s="1" t="s">
        <v>634</v>
      </c>
      <c r="B66" s="51"/>
      <c r="C66" s="342">
        <f>'FIR Iron'!D12</f>
        <v>1.23</v>
      </c>
      <c r="D66" s="342">
        <f>'FIR Iron'!E12</f>
        <v>1.23</v>
      </c>
      <c r="E66" s="342">
        <f>'FIR Iron'!G12</f>
        <v>1.24</v>
      </c>
      <c r="F66" s="342">
        <f>'FIR Iron'!I12</f>
        <v>1.24</v>
      </c>
      <c r="G66" s="342">
        <f>'FIR Iron'!J12</f>
        <v>1.25</v>
      </c>
      <c r="H66" s="51">
        <f>'FIR Iron'!K12</f>
        <v>1.26</v>
      </c>
      <c r="I66" s="51">
        <f>'FIR Iron'!M12</f>
        <v>1.26</v>
      </c>
      <c r="J66" s="51">
        <f>'FIR Iron'!O12</f>
        <v>1.28</v>
      </c>
      <c r="K66" s="51">
        <f>'FIR Iron'!Q12</f>
        <v>1.29</v>
      </c>
      <c r="L66" s="51">
        <f>'FIR Iron'!S12</f>
        <v>1.3</v>
      </c>
      <c r="M66" s="51">
        <f>'FIR Iron'!U12</f>
        <v>1.3</v>
      </c>
      <c r="N66" s="51">
        <f>'FIR Iron'!V12</f>
        <v>1.31</v>
      </c>
      <c r="O66" s="51">
        <f>'FIR Iron'!W12</f>
        <v>1.33</v>
      </c>
      <c r="P66" s="51">
        <f>'FIR Iron'!X12</f>
        <v>1.34</v>
      </c>
      <c r="Q66" s="51">
        <f>'FIR Iron'!Y12</f>
        <v>1.34</v>
      </c>
      <c r="R66" s="51">
        <f>'FIR Iron'!Z12</f>
        <v>1.34</v>
      </c>
      <c r="S66" s="51">
        <f>'FIR Iron'!AA12</f>
        <v>1.34</v>
      </c>
      <c r="T66" s="51">
        <f>'FIR Iron'!AB12</f>
        <v>1.33</v>
      </c>
      <c r="U66" s="51">
        <f>'FIR Iron'!AC12</f>
        <v>1.32</v>
      </c>
    </row>
    <row r="67" spans="1:25" x14ac:dyDescent="0.2">
      <c r="A67" s="1" t="s">
        <v>645</v>
      </c>
      <c r="B67" s="51"/>
      <c r="C67" s="51"/>
      <c r="D67" s="51"/>
      <c r="E67" s="51"/>
      <c r="F67" s="51"/>
      <c r="G67" s="51"/>
      <c r="H67" s="51"/>
      <c r="I67" s="51"/>
      <c r="J67" s="51"/>
      <c r="K67" s="51"/>
      <c r="L67" s="51"/>
      <c r="M67" s="51"/>
      <c r="N67" s="51"/>
      <c r="O67" s="51"/>
      <c r="P67" s="51"/>
      <c r="Q67" s="51"/>
      <c r="R67" s="51"/>
      <c r="S67" s="51"/>
      <c r="T67" s="51"/>
      <c r="U67" s="51"/>
    </row>
    <row r="68" spans="1:25" x14ac:dyDescent="0.2">
      <c r="A68" s="269" t="s">
        <v>646</v>
      </c>
      <c r="B68" s="274">
        <f>AVERAGE(B58,B60,B62,B64,B66)</f>
        <v>1.2949999999999999</v>
      </c>
      <c r="C68" s="274">
        <f t="shared" ref="C68:U68" si="6">AVERAGE(C58,C60,C62,C64,C66)</f>
        <v>1.2726</v>
      </c>
      <c r="D68" s="274">
        <f t="shared" si="6"/>
        <v>1.28</v>
      </c>
      <c r="E68" s="274">
        <f t="shared" si="6"/>
        <v>1.2848000000000002</v>
      </c>
      <c r="F68" s="274">
        <f t="shared" si="6"/>
        <v>1.2825</v>
      </c>
      <c r="G68" s="274">
        <f t="shared" si="6"/>
        <v>1.2891999999999999</v>
      </c>
      <c r="H68" s="274">
        <f t="shared" si="6"/>
        <v>1.2944</v>
      </c>
      <c r="I68" s="274">
        <f t="shared" si="6"/>
        <v>1.2954000000000001</v>
      </c>
      <c r="J68" s="274">
        <f t="shared" si="6"/>
        <v>1.3050000000000002</v>
      </c>
      <c r="K68" s="274">
        <f t="shared" si="6"/>
        <v>1.3025000000000002</v>
      </c>
      <c r="L68" s="274">
        <f t="shared" si="6"/>
        <v>1.3149999999999999</v>
      </c>
      <c r="M68" s="274">
        <f t="shared" si="6"/>
        <v>1.3</v>
      </c>
      <c r="N68" s="274">
        <f t="shared" si="6"/>
        <v>1.3280000000000001</v>
      </c>
      <c r="O68" s="274">
        <f t="shared" si="6"/>
        <v>1.3358000000000001</v>
      </c>
      <c r="P68" s="274">
        <f t="shared" si="6"/>
        <v>1.3362000000000001</v>
      </c>
      <c r="Q68" s="274">
        <f t="shared" si="6"/>
        <v>1.3295999999999999</v>
      </c>
      <c r="R68" s="274">
        <f t="shared" si="6"/>
        <v>1.3256000000000001</v>
      </c>
      <c r="S68" s="274">
        <f t="shared" si="6"/>
        <v>1.3199999999999998</v>
      </c>
      <c r="T68" s="274">
        <f t="shared" si="6"/>
        <v>1.3333333333333333</v>
      </c>
      <c r="U68" s="274">
        <f t="shared" si="6"/>
        <v>1.3266666666666669</v>
      </c>
    </row>
    <row r="69" spans="1:25" s="1" customFormat="1" x14ac:dyDescent="0.2">
      <c r="A69" s="268" t="s">
        <v>647</v>
      </c>
      <c r="B69" s="288">
        <f>-0.00000001*B57^2+0.00006*B57 + 1.2636</f>
        <v>1.278524</v>
      </c>
      <c r="C69" s="288">
        <f t="shared" ref="C69:U69" si="7">-0.00000001*C57^2+0.00006*C57 + 1.2636</f>
        <v>1.2806999999999999</v>
      </c>
      <c r="D69" s="288">
        <f t="shared" si="7"/>
        <v>1.2833750000000002</v>
      </c>
      <c r="E69" s="288">
        <f t="shared" si="7"/>
        <v>1.286</v>
      </c>
      <c r="F69" s="288">
        <f t="shared" si="7"/>
        <v>1.288575</v>
      </c>
      <c r="G69" s="288">
        <f t="shared" si="7"/>
        <v>1.2911000000000001</v>
      </c>
      <c r="H69" s="288">
        <f t="shared" si="7"/>
        <v>1.2935750000000001</v>
      </c>
      <c r="I69" s="288">
        <f t="shared" si="7"/>
        <v>1.296</v>
      </c>
      <c r="J69" s="288">
        <f t="shared" si="7"/>
        <v>1.302975</v>
      </c>
      <c r="K69" s="288">
        <f t="shared" si="7"/>
        <v>1.3095000000000001</v>
      </c>
      <c r="L69" s="288">
        <f t="shared" si="7"/>
        <v>1.3136000000000001</v>
      </c>
      <c r="M69" s="288">
        <f t="shared" si="7"/>
        <v>1.3175000000000001</v>
      </c>
      <c r="N69" s="288">
        <f t="shared" si="7"/>
        <v>1.3212000000000002</v>
      </c>
      <c r="O69" s="288">
        <f t="shared" si="7"/>
        <v>1.3311000000000002</v>
      </c>
      <c r="P69" s="288">
        <f t="shared" si="7"/>
        <v>1.3391999999999999</v>
      </c>
      <c r="Q69" s="288">
        <f t="shared" si="7"/>
        <v>1.3436000000000001</v>
      </c>
      <c r="R69" s="288">
        <f t="shared" si="7"/>
        <v>1.3472</v>
      </c>
      <c r="S69" s="288">
        <f t="shared" si="7"/>
        <v>1.3511</v>
      </c>
      <c r="T69" s="288">
        <f t="shared" si="7"/>
        <v>1.3532000000000002</v>
      </c>
      <c r="U69" s="288">
        <f t="shared" si="7"/>
        <v>1.3536000000000001</v>
      </c>
    </row>
    <row r="70" spans="1:25" x14ac:dyDescent="0.2">
      <c r="B70" s="267">
        <f>(B69-B68)/B68</f>
        <v>-1.2722779922779873E-2</v>
      </c>
      <c r="C70" s="267">
        <f t="shared" ref="C70:U70" si="8">(C69-C68)/C68</f>
        <v>6.3649222065063618E-3</v>
      </c>
      <c r="D70" s="267">
        <f t="shared" si="8"/>
        <v>2.6367187500000999E-3</v>
      </c>
      <c r="E70" s="267">
        <f t="shared" si="8"/>
        <v>9.3399750933987214E-4</v>
      </c>
      <c r="F70" s="267">
        <f t="shared" si="8"/>
        <v>4.736842105263199E-3</v>
      </c>
      <c r="G70" s="267">
        <f t="shared" si="8"/>
        <v>1.4737821905059223E-3</v>
      </c>
      <c r="H70" s="267">
        <f t="shared" si="8"/>
        <v>-6.3736093943128375E-4</v>
      </c>
      <c r="I70" s="267">
        <f t="shared" si="8"/>
        <v>4.6317739694297811E-4</v>
      </c>
      <c r="J70" s="267">
        <f t="shared" si="8"/>
        <v>-1.5517241379311611E-3</v>
      </c>
      <c r="K70" s="267">
        <f t="shared" si="8"/>
        <v>5.3742802303262142E-3</v>
      </c>
      <c r="L70" s="267">
        <f t="shared" si="8"/>
        <v>-1.0646387832698447E-3</v>
      </c>
      <c r="M70" s="267">
        <f t="shared" si="8"/>
        <v>1.3461538461538516E-2</v>
      </c>
      <c r="N70" s="267">
        <f t="shared" si="8"/>
        <v>-5.1204819277107811E-3</v>
      </c>
      <c r="O70" s="267">
        <f t="shared" si="8"/>
        <v>-3.5184907920346804E-3</v>
      </c>
      <c r="P70" s="267">
        <f t="shared" si="8"/>
        <v>2.2451728783115486E-3</v>
      </c>
      <c r="Q70" s="267">
        <f t="shared" si="8"/>
        <v>1.0529482551143379E-2</v>
      </c>
      <c r="R70" s="267">
        <f t="shared" si="8"/>
        <v>1.6294508147253951E-2</v>
      </c>
      <c r="S70" s="267">
        <f t="shared" si="8"/>
        <v>2.356060606060616E-2</v>
      </c>
      <c r="T70" s="267">
        <f t="shared" si="8"/>
        <v>1.4900000000000191E-2</v>
      </c>
      <c r="U70" s="267">
        <f t="shared" si="8"/>
        <v>2.030150753768838E-2</v>
      </c>
    </row>
    <row r="71" spans="1:25" x14ac:dyDescent="0.2">
      <c r="B71" s="51"/>
      <c r="C71" s="51"/>
      <c r="D71" s="51"/>
      <c r="E71" s="51"/>
      <c r="F71" s="51"/>
      <c r="G71" s="51"/>
      <c r="H71" s="51"/>
      <c r="I71" s="51"/>
      <c r="J71" s="51"/>
      <c r="K71" s="51"/>
      <c r="L71" s="51"/>
      <c r="M71" s="51"/>
      <c r="N71" s="51"/>
      <c r="O71" s="51"/>
      <c r="P71" s="51"/>
      <c r="Q71" s="51"/>
      <c r="R71" s="51"/>
      <c r="S71" s="51"/>
      <c r="T71" s="51"/>
      <c r="U71" s="51"/>
      <c r="W71" t="s">
        <v>699</v>
      </c>
      <c r="X71" t="s">
        <v>162</v>
      </c>
    </row>
    <row r="72" spans="1:25" x14ac:dyDescent="0.2">
      <c r="A72" s="1" t="s">
        <v>423</v>
      </c>
      <c r="B72" s="51">
        <f t="shared" ref="B72:U72" si="9">MAX(B58,B60,B62,B64,B66)</f>
        <v>1.31</v>
      </c>
      <c r="C72" s="51">
        <f t="shared" si="9"/>
        <v>1.33</v>
      </c>
      <c r="D72" s="51">
        <f t="shared" si="9"/>
        <v>1.36</v>
      </c>
      <c r="E72" s="51">
        <f t="shared" si="9"/>
        <v>1.36</v>
      </c>
      <c r="F72" s="51">
        <f t="shared" si="9"/>
        <v>1.36</v>
      </c>
      <c r="G72" s="51">
        <f t="shared" si="9"/>
        <v>1.36</v>
      </c>
      <c r="H72" s="51">
        <f t="shared" si="9"/>
        <v>1.36</v>
      </c>
      <c r="I72" s="51">
        <f t="shared" si="9"/>
        <v>1.36</v>
      </c>
      <c r="J72" s="51">
        <f t="shared" si="9"/>
        <v>1.36</v>
      </c>
      <c r="K72" s="51">
        <f t="shared" si="9"/>
        <v>1.36</v>
      </c>
      <c r="L72" s="51">
        <f t="shared" si="9"/>
        <v>1.36</v>
      </c>
      <c r="M72" s="51">
        <f t="shared" si="9"/>
        <v>1.35</v>
      </c>
      <c r="N72" s="51">
        <f t="shared" si="9"/>
        <v>1.35</v>
      </c>
      <c r="O72" s="51">
        <f t="shared" si="9"/>
        <v>1.359</v>
      </c>
      <c r="P72" s="51">
        <f t="shared" si="9"/>
        <v>1.35</v>
      </c>
      <c r="Q72" s="51">
        <f t="shared" si="9"/>
        <v>1.34</v>
      </c>
      <c r="R72" s="51">
        <f t="shared" si="9"/>
        <v>1.34</v>
      </c>
      <c r="S72" s="51">
        <f t="shared" si="9"/>
        <v>1.34</v>
      </c>
      <c r="T72" s="51">
        <f t="shared" si="9"/>
        <v>1.34</v>
      </c>
      <c r="U72" s="51">
        <f t="shared" si="9"/>
        <v>1.33</v>
      </c>
      <c r="W72" s="51">
        <f>MAX(A72:U72)</f>
        <v>1.36</v>
      </c>
      <c r="X72" s="10">
        <f>MAX(A69:U69)</f>
        <v>1.3536000000000001</v>
      </c>
      <c r="Y72" s="173">
        <f>(X72-W72)/W72</f>
        <v>-4.7058823529411474E-3</v>
      </c>
    </row>
    <row r="73" spans="1:25" x14ac:dyDescent="0.2">
      <c r="A73" s="1" t="s">
        <v>424</v>
      </c>
      <c r="B73" s="51">
        <f t="shared" ref="B73:U73" si="10">MIN(B58,B60,B62,B64,B66)</f>
        <v>1.28</v>
      </c>
      <c r="C73" s="51">
        <f t="shared" si="10"/>
        <v>1.23</v>
      </c>
      <c r="D73" s="51">
        <f t="shared" si="10"/>
        <v>1.23</v>
      </c>
      <c r="E73" s="51">
        <f t="shared" si="10"/>
        <v>1.24</v>
      </c>
      <c r="F73" s="51">
        <f t="shared" si="10"/>
        <v>1.24</v>
      </c>
      <c r="G73" s="51">
        <f t="shared" si="10"/>
        <v>1.25</v>
      </c>
      <c r="H73" s="51">
        <f t="shared" si="10"/>
        <v>1.26</v>
      </c>
      <c r="I73" s="51">
        <f t="shared" si="10"/>
        <v>1.26</v>
      </c>
      <c r="J73" s="51">
        <f t="shared" si="10"/>
        <v>1.26</v>
      </c>
      <c r="K73" s="51">
        <f t="shared" si="10"/>
        <v>1.25</v>
      </c>
      <c r="L73" s="51">
        <f t="shared" si="10"/>
        <v>1.25</v>
      </c>
      <c r="M73" s="51">
        <f t="shared" si="10"/>
        <v>1.25</v>
      </c>
      <c r="N73" s="51">
        <f t="shared" si="10"/>
        <v>1.31</v>
      </c>
      <c r="O73" s="51">
        <f t="shared" si="10"/>
        <v>1.31</v>
      </c>
      <c r="P73" s="51">
        <f t="shared" si="10"/>
        <v>1.32</v>
      </c>
      <c r="Q73" s="51">
        <f t="shared" si="10"/>
        <v>1.3180000000000001</v>
      </c>
      <c r="R73" s="51">
        <f t="shared" si="10"/>
        <v>1.31</v>
      </c>
      <c r="S73" s="51">
        <f t="shared" si="10"/>
        <v>1.2989999999999999</v>
      </c>
      <c r="T73" s="51">
        <f t="shared" si="10"/>
        <v>1.33</v>
      </c>
      <c r="U73" s="51">
        <f t="shared" si="10"/>
        <v>1.32</v>
      </c>
      <c r="W73" s="51">
        <f>MIN(A73:U73)</f>
        <v>1.23</v>
      </c>
      <c r="X73" s="10">
        <f>MIN(A69:U69)</f>
        <v>1.278524</v>
      </c>
      <c r="Y73" s="173">
        <f>(X73-W73)/W73</f>
        <v>3.9450406504065054E-2</v>
      </c>
    </row>
    <row r="74" spans="1:25" x14ac:dyDescent="0.2">
      <c r="B74" s="173">
        <f t="shared" ref="B74:U74" si="11">(B72-B73)/B72</f>
        <v>2.2900763358778647E-2</v>
      </c>
      <c r="C74" s="173">
        <f t="shared" si="11"/>
        <v>7.5187969924812095E-2</v>
      </c>
      <c r="D74" s="173">
        <f t="shared" si="11"/>
        <v>9.5588235294117724E-2</v>
      </c>
      <c r="E74" s="173">
        <f t="shared" si="11"/>
        <v>8.8235294117647134E-2</v>
      </c>
      <c r="F74" s="173">
        <f t="shared" si="11"/>
        <v>8.8235294117647134E-2</v>
      </c>
      <c r="G74" s="173">
        <f t="shared" si="11"/>
        <v>8.088235294117653E-2</v>
      </c>
      <c r="H74" s="173">
        <f t="shared" si="11"/>
        <v>7.352941176470594E-2</v>
      </c>
      <c r="I74" s="173">
        <f t="shared" si="11"/>
        <v>7.352941176470594E-2</v>
      </c>
      <c r="J74" s="173">
        <f t="shared" si="11"/>
        <v>7.352941176470594E-2</v>
      </c>
      <c r="K74" s="173">
        <f t="shared" si="11"/>
        <v>8.088235294117653E-2</v>
      </c>
      <c r="L74" s="173">
        <f t="shared" si="11"/>
        <v>8.088235294117653E-2</v>
      </c>
      <c r="M74" s="173">
        <f t="shared" si="11"/>
        <v>7.4074074074074139E-2</v>
      </c>
      <c r="N74" s="173">
        <f t="shared" si="11"/>
        <v>2.9629629629629655E-2</v>
      </c>
      <c r="O74" s="173">
        <f t="shared" si="11"/>
        <v>3.6055923473141967E-2</v>
      </c>
      <c r="P74" s="173">
        <f t="shared" si="11"/>
        <v>2.222222222222224E-2</v>
      </c>
      <c r="Q74" s="173">
        <f t="shared" si="11"/>
        <v>1.6417910447761207E-2</v>
      </c>
      <c r="R74" s="173">
        <f t="shared" si="11"/>
        <v>2.2388059701492557E-2</v>
      </c>
      <c r="S74" s="173">
        <f t="shared" si="11"/>
        <v>3.0597014925373242E-2</v>
      </c>
      <c r="T74" s="173">
        <f t="shared" si="11"/>
        <v>7.462686567164185E-3</v>
      </c>
      <c r="U74" s="173">
        <f t="shared" si="11"/>
        <v>7.5187969924812095E-3</v>
      </c>
    </row>
    <row r="76" spans="1:25" x14ac:dyDescent="0.2">
      <c r="A76" s="272" t="s">
        <v>413</v>
      </c>
      <c r="B76" s="273">
        <f>'Zehnder Charl. Tabelle'!C$3</f>
        <v>260</v>
      </c>
      <c r="C76" s="273">
        <f>'Zehnder Charl. Tabelle'!D$3</f>
        <v>300</v>
      </c>
      <c r="D76" s="273">
        <f>'Zehnder Charl. Tabelle'!E$3</f>
        <v>350</v>
      </c>
      <c r="E76" s="273">
        <f>'Zehnder Charl. Tabelle'!F$3</f>
        <v>400</v>
      </c>
      <c r="F76" s="273">
        <f>'Zehnder Charl. Tabelle'!G$3</f>
        <v>450</v>
      </c>
      <c r="G76" s="273">
        <f>'Zehnder Charl. Tabelle'!H$3</f>
        <v>500</v>
      </c>
      <c r="H76" s="273">
        <f>'Zehnder Charl. Tabelle'!I$3</f>
        <v>550</v>
      </c>
      <c r="I76" s="273">
        <f>'Zehnder Charl. Tabelle'!J$3</f>
        <v>600</v>
      </c>
      <c r="J76" s="273">
        <f>'Zehnder Charl. Tabelle'!K$3</f>
        <v>750</v>
      </c>
      <c r="K76" s="273">
        <f>'Zehnder Charl. Tabelle'!L$3</f>
        <v>900</v>
      </c>
      <c r="L76" s="273">
        <f>'Zehnder Charl. Tabelle'!M$3</f>
        <v>1000</v>
      </c>
      <c r="M76" s="273">
        <f>'Zehnder Charl. Tabelle'!N$3</f>
        <v>1100</v>
      </c>
      <c r="N76" s="273">
        <f>'Zehnder Charl. Tabelle'!O$3</f>
        <v>1200</v>
      </c>
      <c r="O76" s="273">
        <f>'Zehnder Charl. Tabelle'!P$3</f>
        <v>1500</v>
      </c>
      <c r="P76" s="273">
        <f>'Zehnder Charl. Tabelle'!Q$3</f>
        <v>1800</v>
      </c>
      <c r="Q76" s="273">
        <f>'Zehnder Charl. Tabelle'!R$3</f>
        <v>2000</v>
      </c>
      <c r="R76" s="273">
        <f>'Zehnder Charl. Tabelle'!S$3</f>
        <v>2200</v>
      </c>
      <c r="S76" s="273">
        <f>'Zehnder Charl. Tabelle'!T$3</f>
        <v>2500</v>
      </c>
      <c r="T76" s="273">
        <f>'Zehnder Charl. Tabelle'!U$3</f>
        <v>2800</v>
      </c>
      <c r="U76" s="273">
        <f>'Zehnder Charl. Tabelle'!V$3</f>
        <v>3000</v>
      </c>
    </row>
    <row r="77" spans="1:25" x14ac:dyDescent="0.2">
      <c r="A77" s="1" t="s">
        <v>399</v>
      </c>
      <c r="B77" s="340">
        <f>'Arbonia Tabelle'!E13</f>
        <v>1.3</v>
      </c>
      <c r="C77" s="51">
        <f>'Arbonia Tabelle'!F13</f>
        <v>1.33</v>
      </c>
      <c r="D77" s="51">
        <f>'Arbonia Tabelle'!G13</f>
        <v>1.35</v>
      </c>
      <c r="E77" s="51">
        <f>'Arbonia Tabelle'!H13</f>
        <v>1.35</v>
      </c>
      <c r="F77" s="51">
        <f>'Arbonia Tabelle'!I13</f>
        <v>1.35</v>
      </c>
      <c r="G77" s="51">
        <f>'Arbonia Tabelle'!J13</f>
        <v>1.35</v>
      </c>
      <c r="H77" s="51">
        <f>'Arbonia Tabelle'!K13</f>
        <v>1.35</v>
      </c>
      <c r="I77" s="51">
        <f>'Arbonia Tabelle'!L13</f>
        <v>1.35</v>
      </c>
      <c r="J77" s="51">
        <f>'Arbonia Tabelle'!M13</f>
        <v>1.35</v>
      </c>
      <c r="K77" s="51">
        <f>'Arbonia Tabelle'!N13</f>
        <v>1.35</v>
      </c>
      <c r="L77" s="51">
        <f>'Arbonia Tabelle'!O13</f>
        <v>1.35</v>
      </c>
      <c r="M77" s="51">
        <f>'Arbonia Tabelle'!P13</f>
        <v>1.35</v>
      </c>
      <c r="N77" s="51">
        <f>'Arbonia Tabelle'!Q13</f>
        <v>1.35</v>
      </c>
      <c r="O77" s="51">
        <f>'Arbonia Tabelle'!R13</f>
        <v>1.35</v>
      </c>
      <c r="P77" s="51">
        <f>'Arbonia Tabelle'!S13</f>
        <v>1.34</v>
      </c>
      <c r="Q77" s="51">
        <f>'Arbonia Tabelle'!T13</f>
        <v>1.34</v>
      </c>
      <c r="R77" s="51">
        <f>'Arbonia Tabelle'!U13</f>
        <v>1.34</v>
      </c>
      <c r="S77" s="51">
        <f>'Arbonia Tabelle'!V13</f>
        <v>1.34</v>
      </c>
      <c r="T77" s="340">
        <f>'Arbonia Tabelle'!W13</f>
        <v>1.34</v>
      </c>
      <c r="U77" s="340">
        <f>'Arbonia Tabelle'!X13</f>
        <v>1.34</v>
      </c>
    </row>
    <row r="78" spans="1:25" x14ac:dyDescent="0.2">
      <c r="A78" s="268" t="s">
        <v>421</v>
      </c>
      <c r="B78" s="279"/>
      <c r="C78" s="279"/>
      <c r="D78" s="279"/>
      <c r="E78" s="279"/>
      <c r="F78" s="279"/>
      <c r="G78" s="279"/>
      <c r="H78" s="279"/>
      <c r="I78" s="279"/>
      <c r="J78" s="279"/>
      <c r="K78" s="279"/>
      <c r="L78" s="279"/>
      <c r="M78" s="279"/>
      <c r="N78" s="279"/>
      <c r="O78" s="279"/>
      <c r="P78" s="279"/>
      <c r="Q78" s="279"/>
      <c r="R78" s="279"/>
      <c r="S78" s="279"/>
      <c r="T78" s="279"/>
      <c r="U78" s="279"/>
    </row>
    <row r="79" spans="1:25" x14ac:dyDescent="0.2">
      <c r="A79" s="280" t="s">
        <v>343</v>
      </c>
      <c r="B79" s="274">
        <f>'Zehnder Charl. Tabelle'!C15</f>
        <v>1.28</v>
      </c>
      <c r="C79" s="287">
        <f>'Zehnder Charl. Tabelle'!D15</f>
        <v>1.28</v>
      </c>
      <c r="D79" s="287">
        <f>'Zehnder Charl. Tabelle'!E15</f>
        <v>1.28</v>
      </c>
      <c r="E79" s="287">
        <f>'Zehnder Charl. Tabelle'!F15</f>
        <v>1.28</v>
      </c>
      <c r="F79" s="287">
        <f>'Zehnder Charl. Tabelle'!G15</f>
        <v>1.27</v>
      </c>
      <c r="G79" s="287">
        <f>'Zehnder Charl. Tabelle'!H15</f>
        <v>1.27</v>
      </c>
      <c r="H79" s="287">
        <f>'Zehnder Charl. Tabelle'!I15</f>
        <v>1.27</v>
      </c>
      <c r="I79" s="287">
        <f>'Zehnder Charl. Tabelle'!J15</f>
        <v>1.27</v>
      </c>
      <c r="J79" s="287">
        <f>'Zehnder Charl. Tabelle'!K15</f>
        <v>1.26</v>
      </c>
      <c r="K79" s="287">
        <f>'Zehnder Charl. Tabelle'!L15</f>
        <v>1.25</v>
      </c>
      <c r="L79" s="287">
        <f>'Zehnder Charl. Tabelle'!M15</f>
        <v>1.25</v>
      </c>
      <c r="M79" s="287">
        <f>'Zehnder Charl. Tabelle'!N15</f>
        <v>1.25</v>
      </c>
      <c r="N79" s="287">
        <f>'Zehnder Charl. Tabelle'!O15</f>
        <v>1.31</v>
      </c>
      <c r="O79" s="287">
        <f>'Zehnder Charl. Tabelle'!P15</f>
        <v>1.31</v>
      </c>
      <c r="P79" s="287">
        <f>'Zehnder Charl. Tabelle'!Q15</f>
        <v>1.32</v>
      </c>
      <c r="Q79" s="287">
        <f>'Zehnder Charl. Tabelle'!R15</f>
        <v>1.32</v>
      </c>
      <c r="R79" s="287">
        <f>'Zehnder Charl. Tabelle'!S15</f>
        <v>1.32</v>
      </c>
      <c r="S79" s="287">
        <f>'Zehnder Charl. Tabelle'!T15</f>
        <v>1.32</v>
      </c>
      <c r="T79" s="274">
        <f>'Zehnder Charl. Tabelle'!U15</f>
        <v>1.33</v>
      </c>
      <c r="U79" s="274">
        <f>'Zehnder Charl. Tabelle'!V15</f>
        <v>1.33</v>
      </c>
    </row>
    <row r="80" spans="1:25" x14ac:dyDescent="0.2">
      <c r="A80" s="268" t="s">
        <v>422</v>
      </c>
      <c r="B80" s="279"/>
      <c r="C80" s="279"/>
      <c r="D80" s="279"/>
      <c r="E80" s="279"/>
      <c r="F80" s="279"/>
      <c r="G80" s="279"/>
      <c r="H80" s="279"/>
      <c r="I80" s="279"/>
      <c r="J80" s="279"/>
      <c r="K80" s="279"/>
      <c r="L80" s="279"/>
      <c r="M80" s="279"/>
      <c r="N80" s="279"/>
      <c r="O80" s="279"/>
      <c r="P80" s="279"/>
      <c r="Q80" s="279"/>
      <c r="R80" s="279"/>
      <c r="S80" s="279"/>
      <c r="T80" s="279"/>
      <c r="U80" s="279"/>
    </row>
    <row r="81" spans="1:25" x14ac:dyDescent="0.2">
      <c r="A81" s="1" t="s">
        <v>441</v>
      </c>
      <c r="B81" s="51"/>
      <c r="C81" s="51">
        <f>'IRSAP Tabelle'!D13</f>
        <v>1.258</v>
      </c>
      <c r="D81" s="51">
        <f>'IRSAP Tabelle'!E13</f>
        <v>1.2649999999999999</v>
      </c>
      <c r="E81" s="51">
        <f>'IRSAP Tabelle'!G13</f>
        <v>1.272</v>
      </c>
      <c r="F81" s="51">
        <f>'IRSAP Tabelle'!H13</f>
        <v>1.2789999999999999</v>
      </c>
      <c r="G81" s="51">
        <f>'IRSAP Tabelle'!I13</f>
        <v>1.286</v>
      </c>
      <c r="H81" s="51">
        <f>'IRSAP Tabelle'!K13</f>
        <v>1.2929999999999999</v>
      </c>
      <c r="I81" s="51">
        <f>'IRSAP Tabelle'!M13</f>
        <v>1.3</v>
      </c>
      <c r="J81" s="51">
        <f>'IRSAP Tabelle'!Q13</f>
        <v>1.3220000000000001</v>
      </c>
      <c r="K81" s="51">
        <f>'IRSAP Tabelle'!V13</f>
        <v>1.343</v>
      </c>
      <c r="L81" s="51">
        <f>'IRSAP Tabelle'!W13</f>
        <v>1.34</v>
      </c>
      <c r="M81" s="341"/>
      <c r="N81" s="51">
        <f>'IRSAP Tabelle'!X13</f>
        <v>1.335</v>
      </c>
      <c r="O81" s="51">
        <f>'IRSAP Tabelle'!Y13</f>
        <v>1.3280000000000001</v>
      </c>
      <c r="P81" s="51">
        <f>'IRSAP Tabelle'!Z13</f>
        <v>1.321</v>
      </c>
      <c r="Q81" s="51">
        <f>'IRSAP Tabelle'!AA13</f>
        <v>1.3169999999999999</v>
      </c>
      <c r="R81" s="51">
        <f>'IRSAP Tabelle'!AB13</f>
        <v>1.3120000000000001</v>
      </c>
      <c r="S81" s="51">
        <f>'IRSAP Tabelle'!AC13</f>
        <v>1.306</v>
      </c>
      <c r="T81" s="51"/>
      <c r="U81" s="51"/>
    </row>
    <row r="82" spans="1:25" x14ac:dyDescent="0.2">
      <c r="A82" s="1" t="s">
        <v>643</v>
      </c>
      <c r="B82" s="51"/>
      <c r="C82" s="51"/>
      <c r="D82" s="51"/>
      <c r="E82" s="51"/>
      <c r="F82" s="51"/>
      <c r="G82" s="51"/>
      <c r="H82" s="51"/>
      <c r="I82" s="51"/>
      <c r="J82" s="51"/>
      <c r="K82" s="51"/>
      <c r="L82" s="51"/>
      <c r="M82" s="51"/>
      <c r="N82" s="51"/>
      <c r="O82" s="51"/>
      <c r="P82" s="51"/>
      <c r="Q82" s="51"/>
      <c r="R82" s="51"/>
      <c r="S82" s="51"/>
      <c r="T82" s="51"/>
      <c r="U82" s="51"/>
    </row>
    <row r="83" spans="1:25" x14ac:dyDescent="0.2">
      <c r="A83" s="269" t="s">
        <v>635</v>
      </c>
      <c r="B83" s="274"/>
      <c r="C83" s="286">
        <f>'Cordivari Tabelle'!D13</f>
        <v>1.2649999999999999</v>
      </c>
      <c r="D83" s="286"/>
      <c r="E83" s="286">
        <f>'Cordivari Tabelle'!E13</f>
        <v>1.28</v>
      </c>
      <c r="F83" s="286"/>
      <c r="G83" s="286">
        <f>'Cordivari Tabelle'!F13</f>
        <v>1.296</v>
      </c>
      <c r="H83" s="286">
        <f>'Cordivari Tabelle'!G13</f>
        <v>1.3049999999999999</v>
      </c>
      <c r="I83" s="286">
        <f>'Cordivari Tabelle'!I13</f>
        <v>1.3120000000000001</v>
      </c>
      <c r="J83" s="286">
        <f>'Cordivari Tabelle'!M13</f>
        <v>1.335</v>
      </c>
      <c r="K83" s="286"/>
      <c r="L83" s="286">
        <f>'Cordivari Tabelle'!S13</f>
        <v>1.355</v>
      </c>
      <c r="M83" s="286"/>
      <c r="N83" s="286">
        <f>'Cordivari Tabelle'!T13</f>
        <v>1.3480000000000001</v>
      </c>
      <c r="O83" s="286">
        <f>'Cordivari Tabelle'!U13</f>
        <v>1.3380000000000001</v>
      </c>
      <c r="P83" s="286">
        <f>'Cordivari Tabelle'!W13</f>
        <v>1.353</v>
      </c>
      <c r="Q83" s="286">
        <f>'Cordivari Tabelle'!Y13</f>
        <v>1.3640000000000001</v>
      </c>
      <c r="R83" s="286">
        <f>'Cordivari Tabelle'!AA13</f>
        <v>1.3740000000000001</v>
      </c>
      <c r="S83" s="286">
        <f>'Cordivari Tabelle'!AB13</f>
        <v>1.389</v>
      </c>
      <c r="T83" s="274"/>
      <c r="U83" s="274"/>
    </row>
    <row r="84" spans="1:25" x14ac:dyDescent="0.2">
      <c r="A84" s="268" t="s">
        <v>644</v>
      </c>
      <c r="B84" s="279"/>
      <c r="C84" s="279"/>
      <c r="D84" s="279"/>
      <c r="E84" s="279"/>
      <c r="F84" s="279"/>
      <c r="G84" s="279"/>
      <c r="H84" s="279"/>
      <c r="I84" s="279"/>
      <c r="J84" s="279"/>
      <c r="K84" s="279"/>
      <c r="L84" s="279"/>
      <c r="M84" s="279"/>
      <c r="N84" s="279"/>
      <c r="O84" s="279"/>
      <c r="P84" s="279"/>
      <c r="Q84" s="279"/>
      <c r="R84" s="279"/>
      <c r="S84" s="279"/>
      <c r="T84" s="279"/>
      <c r="U84" s="279"/>
    </row>
    <row r="85" spans="1:25" x14ac:dyDescent="0.2">
      <c r="A85" s="1" t="s">
        <v>634</v>
      </c>
      <c r="B85" s="51"/>
      <c r="C85" s="51">
        <f>'FIR Iron'!D13</f>
        <v>1.23</v>
      </c>
      <c r="D85" s="51">
        <f>'FIR Iron'!E13</f>
        <v>1.24</v>
      </c>
      <c r="E85" s="51">
        <f>'FIR Iron'!G13</f>
        <v>1.25</v>
      </c>
      <c r="F85" s="51">
        <f>'FIR Iron'!I13</f>
        <v>1.26</v>
      </c>
      <c r="G85" s="51">
        <f>'FIR Iron'!J13</f>
        <v>1.26</v>
      </c>
      <c r="H85" s="51">
        <f>'FIR Iron'!K13</f>
        <v>1.27</v>
      </c>
      <c r="I85" s="51">
        <f>'FIR Iron'!M13</f>
        <v>1.28</v>
      </c>
      <c r="J85" s="51">
        <f>'FIR Iron'!O13</f>
        <v>1.28</v>
      </c>
      <c r="K85" s="51">
        <f>'FIR Iron'!Q13</f>
        <v>1.31</v>
      </c>
      <c r="L85" s="51">
        <f>'FIR Iron'!S13</f>
        <v>1.32</v>
      </c>
      <c r="M85" s="51">
        <f>'FIR Iron'!U13</f>
        <v>1.33</v>
      </c>
      <c r="N85" s="51">
        <f>'FIR Iron'!V13</f>
        <v>1.34</v>
      </c>
      <c r="O85" s="51">
        <f>'FIR Iron'!W13</f>
        <v>1.35</v>
      </c>
      <c r="P85" s="51">
        <f>'FIR Iron'!X13</f>
        <v>1.35</v>
      </c>
      <c r="Q85" s="51">
        <f>'FIR Iron'!Y13</f>
        <v>1.35</v>
      </c>
      <c r="R85" s="51">
        <f>'FIR Iron'!Z13</f>
        <v>1.35</v>
      </c>
      <c r="S85" s="51">
        <f>'FIR Iron'!AA13</f>
        <v>1.34</v>
      </c>
      <c r="T85" s="51">
        <f>'FIR Iron'!AB13</f>
        <v>1.3</v>
      </c>
      <c r="U85" s="51">
        <f>'FIR Iron'!AC13</f>
        <v>1.32</v>
      </c>
    </row>
    <row r="86" spans="1:25" x14ac:dyDescent="0.2">
      <c r="A86" s="1" t="s">
        <v>645</v>
      </c>
      <c r="B86" s="51"/>
      <c r="C86" s="51"/>
      <c r="D86" s="51"/>
      <c r="E86" s="51"/>
      <c r="F86" s="51"/>
      <c r="G86" s="51"/>
      <c r="H86" s="51"/>
      <c r="I86" s="51"/>
      <c r="J86" s="51"/>
      <c r="K86" s="51"/>
      <c r="L86" s="51"/>
      <c r="M86" s="51"/>
      <c r="N86" s="51"/>
      <c r="O86" s="51"/>
      <c r="P86" s="51"/>
      <c r="Q86" s="51"/>
      <c r="R86" s="51"/>
      <c r="S86" s="51"/>
      <c r="T86" s="51"/>
      <c r="U86" s="51"/>
    </row>
    <row r="87" spans="1:25" x14ac:dyDescent="0.2">
      <c r="A87" s="269" t="s">
        <v>646</v>
      </c>
      <c r="B87" s="274">
        <f>AVERAGE(B77,B79,B81,B83,B85)</f>
        <v>1.29</v>
      </c>
      <c r="C87" s="274">
        <f t="shared" ref="C87:U87" si="12">AVERAGE(C77,C79,C81,C83,C85)</f>
        <v>1.2726</v>
      </c>
      <c r="D87" s="274">
        <f t="shared" si="12"/>
        <v>1.2837499999999999</v>
      </c>
      <c r="E87" s="274">
        <f t="shared" si="12"/>
        <v>1.2864</v>
      </c>
      <c r="F87" s="274">
        <f t="shared" si="12"/>
        <v>1.28975</v>
      </c>
      <c r="G87" s="274">
        <f t="shared" si="12"/>
        <v>1.2924</v>
      </c>
      <c r="H87" s="274">
        <f t="shared" si="12"/>
        <v>1.2975999999999999</v>
      </c>
      <c r="I87" s="274">
        <f t="shared" si="12"/>
        <v>1.3024</v>
      </c>
      <c r="J87" s="274">
        <f t="shared" si="12"/>
        <v>1.3094000000000001</v>
      </c>
      <c r="K87" s="274">
        <f t="shared" si="12"/>
        <v>1.31325</v>
      </c>
      <c r="L87" s="274">
        <f t="shared" si="12"/>
        <v>1.323</v>
      </c>
      <c r="M87" s="274">
        <f t="shared" si="12"/>
        <v>1.31</v>
      </c>
      <c r="N87" s="274">
        <f t="shared" si="12"/>
        <v>1.3366</v>
      </c>
      <c r="O87" s="274">
        <f t="shared" si="12"/>
        <v>1.3351999999999999</v>
      </c>
      <c r="P87" s="274">
        <f t="shared" si="12"/>
        <v>1.3367999999999998</v>
      </c>
      <c r="Q87" s="274">
        <f t="shared" si="12"/>
        <v>1.3382000000000001</v>
      </c>
      <c r="R87" s="274">
        <f t="shared" si="12"/>
        <v>1.3391999999999999</v>
      </c>
      <c r="S87" s="274">
        <f t="shared" si="12"/>
        <v>1.339</v>
      </c>
      <c r="T87" s="274">
        <f t="shared" si="12"/>
        <v>1.3233333333333333</v>
      </c>
      <c r="U87" s="274">
        <f t="shared" si="12"/>
        <v>1.33</v>
      </c>
    </row>
    <row r="88" spans="1:25" s="1" customFormat="1" x14ac:dyDescent="0.2">
      <c r="A88" s="268" t="s">
        <v>647</v>
      </c>
      <c r="B88" s="288">
        <f>-0.00000002*B76^2+0.00008*B76 + 1.2608</f>
        <v>1.2802479999999998</v>
      </c>
      <c r="C88" s="288">
        <f t="shared" ref="C88:U88" si="13">-0.00000002*C76^2+0.00008*C76 + 1.2608</f>
        <v>1.2829999999999999</v>
      </c>
      <c r="D88" s="288">
        <f t="shared" si="13"/>
        <v>1.2863499999999999</v>
      </c>
      <c r="E88" s="288">
        <f t="shared" si="13"/>
        <v>1.2895999999999999</v>
      </c>
      <c r="F88" s="288">
        <f t="shared" si="13"/>
        <v>1.2927499999999998</v>
      </c>
      <c r="G88" s="288">
        <f t="shared" si="13"/>
        <v>1.2957999999999998</v>
      </c>
      <c r="H88" s="288">
        <f t="shared" si="13"/>
        <v>1.2987499999999998</v>
      </c>
      <c r="I88" s="288">
        <f t="shared" si="13"/>
        <v>1.3015999999999999</v>
      </c>
      <c r="J88" s="288">
        <f t="shared" si="13"/>
        <v>1.30955</v>
      </c>
      <c r="K88" s="288">
        <f t="shared" si="13"/>
        <v>1.3166</v>
      </c>
      <c r="L88" s="288">
        <f t="shared" si="13"/>
        <v>1.3208</v>
      </c>
      <c r="M88" s="288">
        <f t="shared" si="13"/>
        <v>1.3246</v>
      </c>
      <c r="N88" s="288">
        <f t="shared" si="13"/>
        <v>1.3279999999999998</v>
      </c>
      <c r="O88" s="288">
        <f t="shared" si="13"/>
        <v>1.3357999999999999</v>
      </c>
      <c r="P88" s="288">
        <f t="shared" si="13"/>
        <v>1.3399999999999999</v>
      </c>
      <c r="Q88" s="288">
        <f t="shared" si="13"/>
        <v>1.3408</v>
      </c>
      <c r="R88" s="288">
        <f t="shared" si="13"/>
        <v>1.3399999999999999</v>
      </c>
      <c r="S88" s="288">
        <f t="shared" si="13"/>
        <v>1.3357999999999999</v>
      </c>
      <c r="T88" s="288">
        <f t="shared" si="13"/>
        <v>1.3279999999999998</v>
      </c>
      <c r="U88" s="288">
        <f t="shared" si="13"/>
        <v>1.3208</v>
      </c>
    </row>
    <row r="89" spans="1:25" x14ac:dyDescent="0.2">
      <c r="B89" s="267">
        <f>(B88-B87)/B87</f>
        <v>-7.5596899224807789E-3</v>
      </c>
      <c r="C89" s="267">
        <f t="shared" ref="C89:U89" si="14">(C88-C87)/C87</f>
        <v>8.1722457960081447E-3</v>
      </c>
      <c r="D89" s="267">
        <f t="shared" si="14"/>
        <v>2.0253164556961523E-3</v>
      </c>
      <c r="E89" s="267">
        <f t="shared" si="14"/>
        <v>2.4875621890546248E-3</v>
      </c>
      <c r="F89" s="267">
        <f t="shared" si="14"/>
        <v>2.3260321767783615E-3</v>
      </c>
      <c r="G89" s="267">
        <f t="shared" si="14"/>
        <v>2.6307644692044629E-3</v>
      </c>
      <c r="H89" s="267">
        <f t="shared" si="14"/>
        <v>8.8625154130701636E-4</v>
      </c>
      <c r="I89" s="267">
        <f t="shared" si="14"/>
        <v>-6.1425061425071713E-4</v>
      </c>
      <c r="J89" s="267">
        <f t="shared" si="14"/>
        <v>1.145562853214239E-4</v>
      </c>
      <c r="K89" s="267">
        <f t="shared" si="14"/>
        <v>2.5509232819341055E-3</v>
      </c>
      <c r="L89" s="267">
        <f t="shared" si="14"/>
        <v>-1.6628873771730762E-3</v>
      </c>
      <c r="M89" s="267">
        <f t="shared" si="14"/>
        <v>1.114503816793889E-2</v>
      </c>
      <c r="N89" s="267">
        <f t="shared" si="14"/>
        <v>-6.4342361215024412E-3</v>
      </c>
      <c r="O89" s="267">
        <f t="shared" si="14"/>
        <v>4.4937088076687685E-4</v>
      </c>
      <c r="P89" s="267">
        <f t="shared" si="14"/>
        <v>2.3937761819270587E-3</v>
      </c>
      <c r="Q89" s="267">
        <f t="shared" si="14"/>
        <v>1.9429083843969029E-3</v>
      </c>
      <c r="R89" s="267">
        <f t="shared" si="14"/>
        <v>5.9737156511343486E-4</v>
      </c>
      <c r="S89" s="267">
        <f t="shared" si="14"/>
        <v>-2.3898431665422644E-3</v>
      </c>
      <c r="T89" s="267">
        <f t="shared" si="14"/>
        <v>3.5264483627203505E-3</v>
      </c>
      <c r="U89" s="267">
        <f t="shared" si="14"/>
        <v>-6.9172932330827793E-3</v>
      </c>
    </row>
    <row r="90" spans="1:25" x14ac:dyDescent="0.2">
      <c r="W90" t="s">
        <v>699</v>
      </c>
      <c r="X90" t="s">
        <v>162</v>
      </c>
    </row>
    <row r="91" spans="1:25" x14ac:dyDescent="0.2">
      <c r="A91" s="1" t="s">
        <v>423</v>
      </c>
      <c r="B91" s="51">
        <f t="shared" ref="B91:U91" si="15">MAX(B77,B79,B81,B83,B85)</f>
        <v>1.3</v>
      </c>
      <c r="C91" s="51">
        <f t="shared" si="15"/>
        <v>1.33</v>
      </c>
      <c r="D91" s="51">
        <f t="shared" si="15"/>
        <v>1.35</v>
      </c>
      <c r="E91" s="51">
        <f t="shared" si="15"/>
        <v>1.35</v>
      </c>
      <c r="F91" s="51">
        <f t="shared" si="15"/>
        <v>1.35</v>
      </c>
      <c r="G91" s="51">
        <f t="shared" si="15"/>
        <v>1.35</v>
      </c>
      <c r="H91" s="51">
        <f t="shared" si="15"/>
        <v>1.35</v>
      </c>
      <c r="I91" s="51">
        <f t="shared" si="15"/>
        <v>1.35</v>
      </c>
      <c r="J91" s="51">
        <f t="shared" si="15"/>
        <v>1.35</v>
      </c>
      <c r="K91" s="51">
        <f t="shared" si="15"/>
        <v>1.35</v>
      </c>
      <c r="L91" s="51">
        <f t="shared" si="15"/>
        <v>1.355</v>
      </c>
      <c r="M91" s="51">
        <f t="shared" si="15"/>
        <v>1.35</v>
      </c>
      <c r="N91" s="51">
        <f t="shared" si="15"/>
        <v>1.35</v>
      </c>
      <c r="O91" s="51">
        <f t="shared" si="15"/>
        <v>1.35</v>
      </c>
      <c r="P91" s="51">
        <f t="shared" si="15"/>
        <v>1.353</v>
      </c>
      <c r="Q91" s="51">
        <f t="shared" si="15"/>
        <v>1.3640000000000001</v>
      </c>
      <c r="R91" s="51">
        <f t="shared" si="15"/>
        <v>1.3740000000000001</v>
      </c>
      <c r="S91" s="51">
        <f t="shared" si="15"/>
        <v>1.389</v>
      </c>
      <c r="T91" s="51">
        <f t="shared" si="15"/>
        <v>1.34</v>
      </c>
      <c r="U91" s="51">
        <f t="shared" si="15"/>
        <v>1.34</v>
      </c>
      <c r="W91" s="51">
        <f>MAX(A91:U91)</f>
        <v>1.389</v>
      </c>
      <c r="X91" s="10">
        <f>MAX(A88:U88)</f>
        <v>1.3408</v>
      </c>
      <c r="Y91" s="173">
        <f>(X91-W91)/W91</f>
        <v>-3.4701223902087845E-2</v>
      </c>
    </row>
    <row r="92" spans="1:25" x14ac:dyDescent="0.2">
      <c r="A92" s="1" t="s">
        <v>424</v>
      </c>
      <c r="B92" s="51">
        <f t="shared" ref="B92:U92" si="16">MIN(B77,B79,B81,B83,B85)</f>
        <v>1.28</v>
      </c>
      <c r="C92" s="51">
        <f t="shared" si="16"/>
        <v>1.23</v>
      </c>
      <c r="D92" s="51">
        <f t="shared" si="16"/>
        <v>1.24</v>
      </c>
      <c r="E92" s="51">
        <f t="shared" si="16"/>
        <v>1.25</v>
      </c>
      <c r="F92" s="51">
        <f t="shared" si="16"/>
        <v>1.26</v>
      </c>
      <c r="G92" s="51">
        <f t="shared" si="16"/>
        <v>1.26</v>
      </c>
      <c r="H92" s="51">
        <f t="shared" si="16"/>
        <v>1.27</v>
      </c>
      <c r="I92" s="51">
        <f t="shared" si="16"/>
        <v>1.27</v>
      </c>
      <c r="J92" s="51">
        <f t="shared" si="16"/>
        <v>1.26</v>
      </c>
      <c r="K92" s="51">
        <f t="shared" si="16"/>
        <v>1.25</v>
      </c>
      <c r="L92" s="51">
        <f t="shared" si="16"/>
        <v>1.25</v>
      </c>
      <c r="M92" s="51">
        <f t="shared" si="16"/>
        <v>1.25</v>
      </c>
      <c r="N92" s="51">
        <f t="shared" si="16"/>
        <v>1.31</v>
      </c>
      <c r="O92" s="51">
        <f t="shared" si="16"/>
        <v>1.31</v>
      </c>
      <c r="P92" s="51">
        <f t="shared" si="16"/>
        <v>1.32</v>
      </c>
      <c r="Q92" s="51">
        <f t="shared" si="16"/>
        <v>1.3169999999999999</v>
      </c>
      <c r="R92" s="51">
        <f t="shared" si="16"/>
        <v>1.3120000000000001</v>
      </c>
      <c r="S92" s="51">
        <f t="shared" si="16"/>
        <v>1.306</v>
      </c>
      <c r="T92" s="51">
        <f t="shared" si="16"/>
        <v>1.3</v>
      </c>
      <c r="U92" s="51">
        <f t="shared" si="16"/>
        <v>1.32</v>
      </c>
      <c r="W92" s="51">
        <f>MIN(A92:U92)</f>
        <v>1.23</v>
      </c>
      <c r="X92" s="10">
        <f>MIN(A88:U88)</f>
        <v>1.2802479999999998</v>
      </c>
      <c r="Y92" s="173">
        <f>(X92-W92)/W92</f>
        <v>4.0852032520325078E-2</v>
      </c>
    </row>
    <row r="93" spans="1:25" x14ac:dyDescent="0.2">
      <c r="B93" s="173">
        <f t="shared" ref="B93:U93" si="17">(B91-B92)/B91</f>
        <v>1.5384615384615398E-2</v>
      </c>
      <c r="C93" s="173">
        <f t="shared" si="17"/>
        <v>7.5187969924812095E-2</v>
      </c>
      <c r="D93" s="173">
        <f t="shared" si="17"/>
        <v>8.1481481481481544E-2</v>
      </c>
      <c r="E93" s="173">
        <f t="shared" si="17"/>
        <v>7.4074074074074139E-2</v>
      </c>
      <c r="F93" s="173">
        <f t="shared" si="17"/>
        <v>6.6666666666666721E-2</v>
      </c>
      <c r="G93" s="173">
        <f t="shared" si="17"/>
        <v>6.6666666666666721E-2</v>
      </c>
      <c r="H93" s="173">
        <f t="shared" si="17"/>
        <v>5.925925925925931E-2</v>
      </c>
      <c r="I93" s="173">
        <f t="shared" si="17"/>
        <v>5.925925925925931E-2</v>
      </c>
      <c r="J93" s="173">
        <f t="shared" si="17"/>
        <v>6.6666666666666721E-2</v>
      </c>
      <c r="K93" s="173">
        <f t="shared" si="17"/>
        <v>7.4074074074074139E-2</v>
      </c>
      <c r="L93" s="173">
        <f t="shared" si="17"/>
        <v>7.7490774907749069E-2</v>
      </c>
      <c r="M93" s="173">
        <f t="shared" si="17"/>
        <v>7.4074074074074139E-2</v>
      </c>
      <c r="N93" s="173">
        <f t="shared" si="17"/>
        <v>2.9629629629629655E-2</v>
      </c>
      <c r="O93" s="173">
        <f t="shared" si="17"/>
        <v>2.9629629629629655E-2</v>
      </c>
      <c r="P93" s="173">
        <f t="shared" si="17"/>
        <v>2.4390243902438963E-2</v>
      </c>
      <c r="Q93" s="173">
        <f t="shared" si="17"/>
        <v>3.4457478005865211E-2</v>
      </c>
      <c r="R93" s="173">
        <f t="shared" si="17"/>
        <v>4.5123726346433808E-2</v>
      </c>
      <c r="S93" s="173">
        <f t="shared" si="17"/>
        <v>5.9755219582433378E-2</v>
      </c>
      <c r="T93" s="173">
        <f t="shared" si="17"/>
        <v>2.985074626865674E-2</v>
      </c>
      <c r="U93" s="173">
        <f t="shared" si="17"/>
        <v>1.492537313432837E-2</v>
      </c>
    </row>
    <row r="95" spans="1:25" x14ac:dyDescent="0.2">
      <c r="A95" s="272" t="s">
        <v>417</v>
      </c>
      <c r="B95" s="273">
        <f>'Zehnder Charl. Tabelle'!C$3</f>
        <v>260</v>
      </c>
      <c r="C95" s="273">
        <f>'Zehnder Charl. Tabelle'!D$3</f>
        <v>300</v>
      </c>
      <c r="D95" s="273">
        <f>'Zehnder Charl. Tabelle'!E$3</f>
        <v>350</v>
      </c>
      <c r="E95" s="273">
        <f>'Zehnder Charl. Tabelle'!F$3</f>
        <v>400</v>
      </c>
      <c r="F95" s="273">
        <f>'Zehnder Charl. Tabelle'!G$3</f>
        <v>450</v>
      </c>
      <c r="G95" s="273">
        <f>'Zehnder Charl. Tabelle'!H$3</f>
        <v>500</v>
      </c>
      <c r="H95" s="273">
        <f>'Zehnder Charl. Tabelle'!I$3</f>
        <v>550</v>
      </c>
      <c r="I95" s="273">
        <f>'Zehnder Charl. Tabelle'!J$3</f>
        <v>600</v>
      </c>
      <c r="J95" s="273">
        <f>'Zehnder Charl. Tabelle'!K$3</f>
        <v>750</v>
      </c>
      <c r="K95" s="273">
        <f>'Zehnder Charl. Tabelle'!L$3</f>
        <v>900</v>
      </c>
      <c r="L95" s="273">
        <f>'Zehnder Charl. Tabelle'!M$3</f>
        <v>1000</v>
      </c>
      <c r="M95" s="273">
        <f>'Zehnder Charl. Tabelle'!N$3</f>
        <v>1100</v>
      </c>
      <c r="N95" s="273">
        <f>'Zehnder Charl. Tabelle'!O$3</f>
        <v>1200</v>
      </c>
      <c r="O95" s="273">
        <f>'Zehnder Charl. Tabelle'!P$3</f>
        <v>1500</v>
      </c>
      <c r="P95" s="273">
        <f>'Zehnder Charl. Tabelle'!Q$3</f>
        <v>1800</v>
      </c>
      <c r="Q95" s="273">
        <f>'Zehnder Charl. Tabelle'!R$3</f>
        <v>2000</v>
      </c>
      <c r="R95" s="273">
        <f>'Zehnder Charl. Tabelle'!S$3</f>
        <v>2200</v>
      </c>
      <c r="S95" s="273">
        <f>'Zehnder Charl. Tabelle'!T$3</f>
        <v>2500</v>
      </c>
      <c r="T95" s="273">
        <f>'Zehnder Charl. Tabelle'!U$3</f>
        <v>2800</v>
      </c>
      <c r="U95" s="273">
        <f>'Zehnder Charl. Tabelle'!V$3</f>
        <v>3000</v>
      </c>
    </row>
    <row r="96" spans="1:25" x14ac:dyDescent="0.2">
      <c r="A96" s="1" t="s">
        <v>399</v>
      </c>
      <c r="B96" s="340">
        <f>'Arbonia Tabelle'!E14</f>
        <v>1.33</v>
      </c>
      <c r="C96" s="51">
        <f>'Arbonia Tabelle'!F14</f>
        <v>1.36</v>
      </c>
      <c r="D96" s="51">
        <f>'Arbonia Tabelle'!G14</f>
        <v>1.39</v>
      </c>
      <c r="E96" s="51">
        <f>'Arbonia Tabelle'!H14</f>
        <v>1.39</v>
      </c>
      <c r="F96" s="51">
        <f>'Arbonia Tabelle'!I14</f>
        <v>1.39</v>
      </c>
      <c r="G96" s="51">
        <f>'Arbonia Tabelle'!J14</f>
        <v>1.39</v>
      </c>
      <c r="H96" s="51">
        <f>'Arbonia Tabelle'!K14</f>
        <v>1.39</v>
      </c>
      <c r="I96" s="51">
        <f>'Arbonia Tabelle'!L14</f>
        <v>1.39</v>
      </c>
      <c r="J96" s="51">
        <f>'Arbonia Tabelle'!M14</f>
        <v>1.39</v>
      </c>
      <c r="K96" s="51">
        <f>'Arbonia Tabelle'!N14</f>
        <v>1.39</v>
      </c>
      <c r="L96" s="51">
        <f>'Arbonia Tabelle'!O14</f>
        <v>1.38</v>
      </c>
      <c r="M96" s="51">
        <f>'Arbonia Tabelle'!P14</f>
        <v>1.38</v>
      </c>
      <c r="N96" s="51">
        <f>'Arbonia Tabelle'!Q14</f>
        <v>1.38</v>
      </c>
      <c r="O96" s="51">
        <f>'Arbonia Tabelle'!R14</f>
        <v>1.37</v>
      </c>
      <c r="P96" s="51">
        <f>'Arbonia Tabelle'!S14</f>
        <v>1.37</v>
      </c>
      <c r="Q96" s="51">
        <f>'Arbonia Tabelle'!T14</f>
        <v>1.37</v>
      </c>
      <c r="R96" s="340">
        <f>'Arbonia Tabelle'!U14</f>
        <v>1.36</v>
      </c>
      <c r="S96" s="340">
        <f>'Arbonia Tabelle'!V14</f>
        <v>1.36</v>
      </c>
      <c r="T96" s="340">
        <f>'Arbonia Tabelle'!W14</f>
        <v>1.35</v>
      </c>
      <c r="U96" s="340">
        <f>'Arbonia Tabelle'!X14</f>
        <v>1.35</v>
      </c>
    </row>
    <row r="97" spans="1:25" x14ac:dyDescent="0.2">
      <c r="A97" s="268" t="s">
        <v>421</v>
      </c>
      <c r="B97" s="279"/>
      <c r="C97" s="279"/>
      <c r="D97" s="279"/>
      <c r="E97" s="279"/>
      <c r="F97" s="279"/>
      <c r="G97" s="279"/>
      <c r="H97" s="279"/>
      <c r="I97" s="279"/>
      <c r="J97" s="279"/>
      <c r="K97" s="279"/>
      <c r="L97" s="279"/>
      <c r="M97" s="279"/>
      <c r="N97" s="279"/>
      <c r="O97" s="279"/>
      <c r="P97" s="279"/>
      <c r="Q97" s="279"/>
      <c r="R97" s="279"/>
      <c r="S97" s="279"/>
      <c r="T97" s="279"/>
      <c r="U97" s="279"/>
    </row>
    <row r="98" spans="1:25" x14ac:dyDescent="0.2">
      <c r="A98" s="269" t="s">
        <v>343</v>
      </c>
      <c r="B98" s="274">
        <f>'Zehnder Charl. Tabelle'!C16</f>
        <v>1.28</v>
      </c>
      <c r="C98" s="287">
        <f>'Zehnder Charl. Tabelle'!D16</f>
        <v>1.28</v>
      </c>
      <c r="D98" s="287">
        <f>'Zehnder Charl. Tabelle'!E16</f>
        <v>1.28</v>
      </c>
      <c r="E98" s="287">
        <f>'Zehnder Charl. Tabelle'!F16</f>
        <v>1.28</v>
      </c>
      <c r="F98" s="287">
        <f>'Zehnder Charl. Tabelle'!G16</f>
        <v>1.27</v>
      </c>
      <c r="G98" s="287">
        <f>'Zehnder Charl. Tabelle'!H16</f>
        <v>1.27</v>
      </c>
      <c r="H98" s="287">
        <f>'Zehnder Charl. Tabelle'!I16</f>
        <v>1.27</v>
      </c>
      <c r="I98" s="287">
        <f>'Zehnder Charl. Tabelle'!J16</f>
        <v>1.27</v>
      </c>
      <c r="J98" s="287">
        <f>'Zehnder Charl. Tabelle'!K16</f>
        <v>1.26</v>
      </c>
      <c r="K98" s="287">
        <f>'Zehnder Charl. Tabelle'!L16</f>
        <v>1.25</v>
      </c>
      <c r="L98" s="287">
        <f>'Zehnder Charl. Tabelle'!M16</f>
        <v>1.25</v>
      </c>
      <c r="M98" s="287">
        <f>'Zehnder Charl. Tabelle'!N16</f>
        <v>1.25</v>
      </c>
      <c r="N98" s="287">
        <f>'Zehnder Charl. Tabelle'!O16</f>
        <v>1.31</v>
      </c>
      <c r="O98" s="287">
        <f>'Zehnder Charl. Tabelle'!P16</f>
        <v>1.31</v>
      </c>
      <c r="P98" s="287">
        <f>'Zehnder Charl. Tabelle'!Q16</f>
        <v>1.32</v>
      </c>
      <c r="Q98" s="287">
        <f>'Zehnder Charl. Tabelle'!R16</f>
        <v>1.32</v>
      </c>
      <c r="R98" s="274">
        <f>'Zehnder Charl. Tabelle'!S16</f>
        <v>1.32</v>
      </c>
      <c r="S98" s="274">
        <f>'Zehnder Charl. Tabelle'!T16</f>
        <v>1.32</v>
      </c>
      <c r="T98" s="274">
        <f>'Zehnder Charl. Tabelle'!U16</f>
        <v>1.33</v>
      </c>
      <c r="U98" s="274">
        <f>'Zehnder Charl. Tabelle'!V16</f>
        <v>1.33</v>
      </c>
    </row>
    <row r="99" spans="1:25" x14ac:dyDescent="0.2">
      <c r="A99" s="268" t="s">
        <v>422</v>
      </c>
      <c r="B99" s="279"/>
      <c r="C99" s="279"/>
      <c r="D99" s="279"/>
      <c r="E99" s="279"/>
      <c r="F99" s="279"/>
      <c r="G99" s="279"/>
      <c r="H99" s="279"/>
      <c r="I99" s="279"/>
      <c r="J99" s="279"/>
      <c r="K99" s="279"/>
      <c r="L99" s="279"/>
      <c r="M99" s="279"/>
      <c r="N99" s="279"/>
      <c r="O99" s="279"/>
      <c r="P99" s="279"/>
      <c r="Q99" s="279"/>
      <c r="R99" s="279"/>
      <c r="S99" s="279"/>
      <c r="T99" s="279"/>
      <c r="U99" s="279"/>
    </row>
    <row r="100" spans="1:25" x14ac:dyDescent="0.2">
      <c r="A100" s="1" t="s">
        <v>441</v>
      </c>
      <c r="B100" s="51"/>
      <c r="C100" s="51">
        <f>'IRSAP Tabelle'!D14</f>
        <v>1.276</v>
      </c>
      <c r="D100" s="51">
        <f>'IRSAP Tabelle'!E14</f>
        <v>1.2829999999999999</v>
      </c>
      <c r="E100" s="51">
        <f>'IRSAP Tabelle'!G14</f>
        <v>1.2909999999999999</v>
      </c>
      <c r="F100" s="51">
        <f>'IRSAP Tabelle'!H14</f>
        <v>1.2989999999999999</v>
      </c>
      <c r="G100" s="51">
        <f>'IRSAP Tabelle'!I14</f>
        <v>1.3069999999999999</v>
      </c>
      <c r="H100" s="51">
        <f>'IRSAP Tabelle'!K14</f>
        <v>1.3149999999999999</v>
      </c>
      <c r="I100" s="51">
        <f>'IRSAP Tabelle'!M14</f>
        <v>1.3220000000000001</v>
      </c>
      <c r="J100" s="51">
        <f>'IRSAP Tabelle'!Q14</f>
        <v>1.3460000000000001</v>
      </c>
      <c r="K100" s="51">
        <f>'IRSAP Tabelle'!V14</f>
        <v>1.369</v>
      </c>
      <c r="L100" s="51">
        <f>'IRSAP Tabelle'!W14</f>
        <v>1.3640000000000001</v>
      </c>
      <c r="M100" s="341"/>
      <c r="N100" s="51">
        <f>'IRSAP Tabelle'!X14</f>
        <v>1.353</v>
      </c>
      <c r="O100" s="51">
        <f>'IRSAP Tabelle'!Y14</f>
        <v>1.337</v>
      </c>
      <c r="P100" s="51">
        <f>'IRSAP Tabelle'!Z14</f>
        <v>1.327</v>
      </c>
      <c r="Q100" s="51">
        <f>'IRSAP Tabelle'!AA14</f>
        <v>1.323</v>
      </c>
      <c r="R100" s="51">
        <f>'IRSAP Tabelle'!AB14</f>
        <v>1.32</v>
      </c>
      <c r="S100" s="51">
        <f>'IRSAP Tabelle'!AC14</f>
        <v>1.3140000000000001</v>
      </c>
      <c r="T100" s="51"/>
      <c r="U100" s="51"/>
    </row>
    <row r="101" spans="1:25" x14ac:dyDescent="0.2">
      <c r="A101" s="1" t="s">
        <v>643</v>
      </c>
      <c r="B101" s="51"/>
      <c r="C101" s="51"/>
      <c r="D101" s="51"/>
      <c r="E101" s="51"/>
      <c r="F101" s="51"/>
      <c r="G101" s="51"/>
      <c r="H101" s="51"/>
      <c r="I101" s="51"/>
      <c r="J101" s="51"/>
      <c r="K101" s="51"/>
      <c r="L101" s="51"/>
      <c r="M101" s="51"/>
      <c r="N101" s="51"/>
      <c r="O101" s="51"/>
      <c r="P101" s="51"/>
      <c r="Q101" s="51"/>
      <c r="R101" s="51"/>
      <c r="S101" s="51"/>
      <c r="T101" s="51"/>
      <c r="U101" s="51"/>
    </row>
    <row r="102" spans="1:25" x14ac:dyDescent="0.2">
      <c r="A102" s="269" t="s">
        <v>635</v>
      </c>
      <c r="B102" s="274"/>
      <c r="C102" s="286">
        <f>'Cordivari Tabelle'!D14</f>
        <v>1.32</v>
      </c>
      <c r="D102" s="286"/>
      <c r="E102" s="286">
        <f>'Cordivari Tabelle'!E14</f>
        <v>1.323</v>
      </c>
      <c r="F102" s="286"/>
      <c r="G102" s="286">
        <f>'Cordivari Tabelle'!F14</f>
        <v>1.3260000000000001</v>
      </c>
      <c r="H102" s="286">
        <f>'Cordivari Tabelle'!G14</f>
        <v>1.3280000000000001</v>
      </c>
      <c r="I102" s="286">
        <f>'Cordivari Tabelle'!I14</f>
        <v>1.329</v>
      </c>
      <c r="J102" s="286">
        <f>'Cordivari Tabelle'!M14</f>
        <v>1.3340000000000001</v>
      </c>
      <c r="K102" s="274"/>
      <c r="L102" s="274">
        <f>'Cordivari Tabelle'!S14</f>
        <v>1.3480000000000001</v>
      </c>
      <c r="M102" s="274"/>
      <c r="N102" s="274">
        <f>'Cordivari Tabelle'!T14</f>
        <v>1.3660000000000001</v>
      </c>
      <c r="O102" s="274">
        <f>'Cordivari Tabelle'!U14</f>
        <v>1.393</v>
      </c>
      <c r="P102" s="274">
        <f>'Cordivari Tabelle'!W14</f>
        <v>1.37</v>
      </c>
      <c r="Q102" s="274">
        <f>'Cordivari Tabelle'!Y14</f>
        <v>1.3560000000000001</v>
      </c>
      <c r="R102" s="274">
        <f>'Cordivari Tabelle'!AA14</f>
        <v>1.341</v>
      </c>
      <c r="S102" s="274">
        <f>'Cordivari Tabelle'!AB14</f>
        <v>1.3180000000000001</v>
      </c>
      <c r="T102" s="274"/>
      <c r="U102" s="274"/>
    </row>
    <row r="103" spans="1:25" x14ac:dyDescent="0.2">
      <c r="A103" s="268" t="s">
        <v>644</v>
      </c>
      <c r="B103" s="279"/>
      <c r="C103" s="279"/>
      <c r="D103" s="279"/>
      <c r="E103" s="279"/>
      <c r="F103" s="279"/>
      <c r="G103" s="279"/>
      <c r="H103" s="279"/>
      <c r="I103" s="279"/>
      <c r="J103" s="279"/>
      <c r="K103" s="279"/>
      <c r="L103" s="279"/>
      <c r="M103" s="279"/>
      <c r="N103" s="279"/>
      <c r="O103" s="279"/>
      <c r="P103" s="279"/>
      <c r="Q103" s="279"/>
      <c r="R103" s="279"/>
      <c r="S103" s="279"/>
      <c r="T103" s="279"/>
      <c r="U103" s="279"/>
    </row>
    <row r="104" spans="1:25" x14ac:dyDescent="0.2">
      <c r="A104" s="1" t="s">
        <v>634</v>
      </c>
      <c r="B104" s="51"/>
      <c r="C104" s="51">
        <f>'FIR Iron'!D14</f>
        <v>1.24</v>
      </c>
      <c r="D104" s="51">
        <f>'FIR Iron'!E14</f>
        <v>1.25</v>
      </c>
      <c r="E104" s="51">
        <f>'FIR Iron'!G14</f>
        <v>1.26</v>
      </c>
      <c r="F104" s="51">
        <f>'FIR Iron'!I14</f>
        <v>1.26</v>
      </c>
      <c r="G104" s="51">
        <f>'FIR Iron'!J14</f>
        <v>1.27</v>
      </c>
      <c r="H104" s="51">
        <f>'FIR Iron'!K14</f>
        <v>1.28</v>
      </c>
      <c r="I104" s="51">
        <f>'FIR Iron'!M14</f>
        <v>1.28</v>
      </c>
      <c r="J104" s="51">
        <f>'FIR Iron'!O14</f>
        <v>1.28</v>
      </c>
      <c r="K104" s="342">
        <f>'FIR Iron'!Q14</f>
        <v>1.31</v>
      </c>
      <c r="L104" s="342">
        <f>'FIR Iron'!S14</f>
        <v>1.32</v>
      </c>
      <c r="M104" s="342">
        <f>'FIR Iron'!U14</f>
        <v>1.33</v>
      </c>
      <c r="N104" s="342">
        <f>'FIR Iron'!V14</f>
        <v>1.34</v>
      </c>
      <c r="O104" s="342">
        <f>'FIR Iron'!W14</f>
        <v>1.35</v>
      </c>
      <c r="P104" s="342">
        <f>'FIR Iron'!X14</f>
        <v>1.35</v>
      </c>
      <c r="Q104" s="342">
        <f>'FIR Iron'!Y14</f>
        <v>1.35</v>
      </c>
      <c r="R104" s="342">
        <f>'FIR Iron'!Z14</f>
        <v>1.34</v>
      </c>
      <c r="S104" s="342">
        <f>'FIR Iron'!AA14</f>
        <v>1.33</v>
      </c>
      <c r="T104" s="342">
        <f>'FIR Iron'!AB14</f>
        <v>1.31</v>
      </c>
      <c r="U104" s="342">
        <f>'FIR Iron'!AC14</f>
        <v>1.3</v>
      </c>
    </row>
    <row r="105" spans="1:25" x14ac:dyDescent="0.2">
      <c r="A105" s="1" t="s">
        <v>645</v>
      </c>
      <c r="B105" s="51"/>
      <c r="C105" s="51"/>
      <c r="D105" s="51"/>
      <c r="E105" s="51"/>
      <c r="F105" s="51"/>
      <c r="G105" s="51"/>
      <c r="H105" s="51"/>
      <c r="I105" s="51"/>
      <c r="J105" s="51"/>
      <c r="K105" s="51"/>
      <c r="L105" s="51"/>
      <c r="M105" s="51"/>
      <c r="N105" s="51"/>
      <c r="O105" s="51"/>
      <c r="P105" s="51"/>
      <c r="Q105" s="51"/>
      <c r="R105" s="51"/>
      <c r="S105" s="51"/>
      <c r="T105" s="51"/>
      <c r="U105" s="51"/>
    </row>
    <row r="106" spans="1:25" x14ac:dyDescent="0.2">
      <c r="A106" s="269" t="s">
        <v>646</v>
      </c>
      <c r="B106" s="274">
        <f>AVERAGE(B96,B98,B100,B102,B104)</f>
        <v>1.3050000000000002</v>
      </c>
      <c r="C106" s="274">
        <f t="shared" ref="C106:U106" si="18">AVERAGE(C96,C98,C100,C102,C104)</f>
        <v>1.2952000000000001</v>
      </c>
      <c r="D106" s="274">
        <f t="shared" si="18"/>
        <v>1.3007499999999999</v>
      </c>
      <c r="E106" s="274">
        <f t="shared" si="18"/>
        <v>1.3088</v>
      </c>
      <c r="F106" s="274">
        <f t="shared" si="18"/>
        <v>1.3047500000000001</v>
      </c>
      <c r="G106" s="274">
        <f t="shared" si="18"/>
        <v>1.3126000000000002</v>
      </c>
      <c r="H106" s="274">
        <f t="shared" si="18"/>
        <v>1.3166</v>
      </c>
      <c r="I106" s="274">
        <f t="shared" si="18"/>
        <v>1.3182</v>
      </c>
      <c r="J106" s="274">
        <f t="shared" si="18"/>
        <v>1.3220000000000001</v>
      </c>
      <c r="K106" s="274">
        <f t="shared" si="18"/>
        <v>1.3297499999999998</v>
      </c>
      <c r="L106" s="274">
        <f t="shared" si="18"/>
        <v>1.3324</v>
      </c>
      <c r="M106" s="274">
        <f t="shared" si="18"/>
        <v>1.32</v>
      </c>
      <c r="N106" s="274">
        <f t="shared" si="18"/>
        <v>1.3498000000000001</v>
      </c>
      <c r="O106" s="274">
        <f t="shared" si="18"/>
        <v>1.3519999999999999</v>
      </c>
      <c r="P106" s="274">
        <f t="shared" si="18"/>
        <v>1.3473999999999999</v>
      </c>
      <c r="Q106" s="274">
        <f t="shared" si="18"/>
        <v>1.3437999999999999</v>
      </c>
      <c r="R106" s="274">
        <f t="shared" si="18"/>
        <v>1.3362000000000001</v>
      </c>
      <c r="S106" s="274">
        <f t="shared" si="18"/>
        <v>1.3284</v>
      </c>
      <c r="T106" s="274">
        <f t="shared" si="18"/>
        <v>1.33</v>
      </c>
      <c r="U106" s="274">
        <f t="shared" si="18"/>
        <v>1.3266666666666669</v>
      </c>
    </row>
    <row r="107" spans="1:25" s="1" customFormat="1" x14ac:dyDescent="0.2">
      <c r="A107" s="268" t="s">
        <v>647</v>
      </c>
      <c r="B107" s="288">
        <f>-0.00000002*B95^2+0.00007*B95 + 1.2826</f>
        <v>1.2994479999999999</v>
      </c>
      <c r="C107" s="288">
        <f t="shared" ref="C107:U107" si="19">-0.00000002*C95^2+0.00007*C95 + 1.2826</f>
        <v>1.3018000000000001</v>
      </c>
      <c r="D107" s="288">
        <f t="shared" si="19"/>
        <v>1.3046499999999999</v>
      </c>
      <c r="E107" s="288">
        <f t="shared" si="19"/>
        <v>1.3073999999999999</v>
      </c>
      <c r="F107" s="288">
        <f t="shared" si="19"/>
        <v>1.3100499999999999</v>
      </c>
      <c r="G107" s="288">
        <f t="shared" si="19"/>
        <v>1.3126</v>
      </c>
      <c r="H107" s="288">
        <f t="shared" si="19"/>
        <v>1.3150500000000001</v>
      </c>
      <c r="I107" s="288">
        <f t="shared" si="19"/>
        <v>1.3173999999999999</v>
      </c>
      <c r="J107" s="288">
        <f t="shared" si="19"/>
        <v>1.32385</v>
      </c>
      <c r="K107" s="288">
        <f t="shared" si="19"/>
        <v>1.3293999999999999</v>
      </c>
      <c r="L107" s="288">
        <f t="shared" si="19"/>
        <v>1.3326</v>
      </c>
      <c r="M107" s="288">
        <f t="shared" si="19"/>
        <v>1.3353999999999999</v>
      </c>
      <c r="N107" s="288">
        <f t="shared" si="19"/>
        <v>1.3377999999999999</v>
      </c>
      <c r="O107" s="288">
        <f t="shared" si="19"/>
        <v>1.3426</v>
      </c>
      <c r="P107" s="288">
        <f t="shared" si="19"/>
        <v>1.3437999999999999</v>
      </c>
      <c r="Q107" s="288">
        <f t="shared" si="19"/>
        <v>1.3426</v>
      </c>
      <c r="R107" s="288">
        <f t="shared" si="19"/>
        <v>1.3397999999999999</v>
      </c>
      <c r="S107" s="288">
        <f t="shared" si="19"/>
        <v>1.3326</v>
      </c>
      <c r="T107" s="288">
        <f t="shared" si="19"/>
        <v>1.3217999999999999</v>
      </c>
      <c r="U107" s="288">
        <f t="shared" si="19"/>
        <v>1.3126</v>
      </c>
    </row>
    <row r="108" spans="1:25" x14ac:dyDescent="0.2">
      <c r="B108" s="267">
        <f>(B107-B106)/B106</f>
        <v>-4.2544061302683695E-3</v>
      </c>
      <c r="C108" s="267">
        <f t="shared" ref="C108:U108" si="20">(C107-C106)/C106</f>
        <v>5.0957381099443625E-3</v>
      </c>
      <c r="D108" s="267">
        <f t="shared" si="20"/>
        <v>2.998270228714215E-3</v>
      </c>
      <c r="E108" s="267">
        <f t="shared" si="20"/>
        <v>-1.069682151589294E-3</v>
      </c>
      <c r="F108" s="267">
        <f t="shared" si="20"/>
        <v>4.0620808584018852E-3</v>
      </c>
      <c r="G108" s="267">
        <f t="shared" si="20"/>
        <v>-1.6916395316549694E-16</v>
      </c>
      <c r="H108" s="267">
        <f t="shared" si="20"/>
        <v>-1.1772747987239408E-3</v>
      </c>
      <c r="I108" s="267">
        <f t="shared" si="20"/>
        <v>-6.0688818085277946E-4</v>
      </c>
      <c r="J108" s="267">
        <f t="shared" si="20"/>
        <v>1.3993948562782959E-3</v>
      </c>
      <c r="K108" s="267">
        <f t="shared" si="20"/>
        <v>-2.6320736980624216E-4</v>
      </c>
      <c r="L108" s="267">
        <f t="shared" si="20"/>
        <v>1.5010507355146951E-4</v>
      </c>
      <c r="M108" s="267">
        <f t="shared" si="20"/>
        <v>1.1666666666666558E-2</v>
      </c>
      <c r="N108" s="267">
        <f t="shared" si="20"/>
        <v>-8.890205956438163E-3</v>
      </c>
      <c r="O108" s="267">
        <f t="shared" si="20"/>
        <v>-6.9526627218933828E-3</v>
      </c>
      <c r="P108" s="267">
        <f t="shared" si="20"/>
        <v>-2.6718123793973932E-3</v>
      </c>
      <c r="Q108" s="267">
        <f t="shared" si="20"/>
        <v>-8.9299002827791926E-4</v>
      </c>
      <c r="R108" s="267">
        <f t="shared" si="20"/>
        <v>2.6942074539738252E-3</v>
      </c>
      <c r="S108" s="267">
        <f t="shared" si="20"/>
        <v>3.161698283649489E-3</v>
      </c>
      <c r="T108" s="267">
        <f t="shared" si="20"/>
        <v>-6.1654135338347418E-3</v>
      </c>
      <c r="U108" s="267">
        <f t="shared" si="20"/>
        <v>-1.0603015075377054E-2</v>
      </c>
    </row>
    <row r="109" spans="1:25" x14ac:dyDescent="0.2">
      <c r="W109" t="s">
        <v>699</v>
      </c>
      <c r="X109" t="s">
        <v>162</v>
      </c>
    </row>
    <row r="110" spans="1:25" x14ac:dyDescent="0.2">
      <c r="A110" s="1" t="s">
        <v>423</v>
      </c>
      <c r="B110" s="51">
        <f t="shared" ref="B110:U110" si="21">MAX(B96,B98,B100,B102,B104)</f>
        <v>1.33</v>
      </c>
      <c r="C110" s="51">
        <f t="shared" si="21"/>
        <v>1.36</v>
      </c>
      <c r="D110" s="51">
        <f t="shared" si="21"/>
        <v>1.39</v>
      </c>
      <c r="E110" s="51">
        <f t="shared" si="21"/>
        <v>1.39</v>
      </c>
      <c r="F110" s="51">
        <f t="shared" si="21"/>
        <v>1.39</v>
      </c>
      <c r="G110" s="51">
        <f t="shared" si="21"/>
        <v>1.39</v>
      </c>
      <c r="H110" s="51">
        <f t="shared" si="21"/>
        <v>1.39</v>
      </c>
      <c r="I110" s="51">
        <f t="shared" si="21"/>
        <v>1.39</v>
      </c>
      <c r="J110" s="51">
        <f t="shared" si="21"/>
        <v>1.39</v>
      </c>
      <c r="K110" s="51">
        <f t="shared" si="21"/>
        <v>1.39</v>
      </c>
      <c r="L110" s="51">
        <f t="shared" si="21"/>
        <v>1.38</v>
      </c>
      <c r="M110" s="51">
        <f t="shared" si="21"/>
        <v>1.38</v>
      </c>
      <c r="N110" s="51">
        <f t="shared" si="21"/>
        <v>1.38</v>
      </c>
      <c r="O110" s="51">
        <f t="shared" si="21"/>
        <v>1.393</v>
      </c>
      <c r="P110" s="51">
        <f t="shared" si="21"/>
        <v>1.37</v>
      </c>
      <c r="Q110" s="51">
        <f t="shared" si="21"/>
        <v>1.37</v>
      </c>
      <c r="R110" s="51">
        <f t="shared" si="21"/>
        <v>1.36</v>
      </c>
      <c r="S110" s="51">
        <f t="shared" si="21"/>
        <v>1.36</v>
      </c>
      <c r="T110" s="51">
        <f t="shared" si="21"/>
        <v>1.35</v>
      </c>
      <c r="U110" s="51">
        <f t="shared" si="21"/>
        <v>1.35</v>
      </c>
      <c r="W110" s="51">
        <f>MAX(A110:U110)</f>
        <v>1.393</v>
      </c>
      <c r="X110" s="10">
        <f>MAX(A107:U107)</f>
        <v>1.3437999999999999</v>
      </c>
      <c r="Y110" s="173">
        <f>(X110-W110)/W110</f>
        <v>-3.5319454414931895E-2</v>
      </c>
    </row>
    <row r="111" spans="1:25" x14ac:dyDescent="0.2">
      <c r="A111" s="1" t="s">
        <v>424</v>
      </c>
      <c r="B111" s="51">
        <f t="shared" ref="B111:U111" si="22">MIN(B96,B98,B100,B102,B104)</f>
        <v>1.28</v>
      </c>
      <c r="C111" s="51">
        <f t="shared" si="22"/>
        <v>1.24</v>
      </c>
      <c r="D111" s="51">
        <f t="shared" si="22"/>
        <v>1.25</v>
      </c>
      <c r="E111" s="51">
        <f t="shared" si="22"/>
        <v>1.26</v>
      </c>
      <c r="F111" s="51">
        <f t="shared" si="22"/>
        <v>1.26</v>
      </c>
      <c r="G111" s="51">
        <f t="shared" si="22"/>
        <v>1.27</v>
      </c>
      <c r="H111" s="51">
        <f t="shared" si="22"/>
        <v>1.27</v>
      </c>
      <c r="I111" s="51">
        <f t="shared" si="22"/>
        <v>1.27</v>
      </c>
      <c r="J111" s="51">
        <f t="shared" si="22"/>
        <v>1.26</v>
      </c>
      <c r="K111" s="51">
        <f t="shared" si="22"/>
        <v>1.25</v>
      </c>
      <c r="L111" s="51">
        <f t="shared" si="22"/>
        <v>1.25</v>
      </c>
      <c r="M111" s="51">
        <f t="shared" si="22"/>
        <v>1.25</v>
      </c>
      <c r="N111" s="51">
        <f t="shared" si="22"/>
        <v>1.31</v>
      </c>
      <c r="O111" s="51">
        <f t="shared" si="22"/>
        <v>1.31</v>
      </c>
      <c r="P111" s="51">
        <f t="shared" si="22"/>
        <v>1.32</v>
      </c>
      <c r="Q111" s="51">
        <f t="shared" si="22"/>
        <v>1.32</v>
      </c>
      <c r="R111" s="51">
        <f t="shared" si="22"/>
        <v>1.32</v>
      </c>
      <c r="S111" s="51">
        <f t="shared" si="22"/>
        <v>1.3140000000000001</v>
      </c>
      <c r="T111" s="51">
        <f t="shared" si="22"/>
        <v>1.31</v>
      </c>
      <c r="U111" s="51">
        <f t="shared" si="22"/>
        <v>1.3</v>
      </c>
      <c r="W111" s="51">
        <f>MIN(A111:U111)</f>
        <v>1.24</v>
      </c>
      <c r="X111" s="10">
        <f>MIN(A107:U107)</f>
        <v>1.2994479999999999</v>
      </c>
      <c r="Y111" s="173">
        <f>(X111-W111)/W111</f>
        <v>4.7941935483870927E-2</v>
      </c>
    </row>
    <row r="112" spans="1:25" x14ac:dyDescent="0.2">
      <c r="B112" s="173">
        <f t="shared" ref="B112:U112" si="23">(B110-B111)/B110</f>
        <v>3.7593984962406048E-2</v>
      </c>
      <c r="C112" s="173">
        <f t="shared" si="23"/>
        <v>8.8235294117647134E-2</v>
      </c>
      <c r="D112" s="173">
        <f t="shared" si="23"/>
        <v>0.1007194244604316</v>
      </c>
      <c r="E112" s="173">
        <f t="shared" si="23"/>
        <v>9.352517985611504E-2</v>
      </c>
      <c r="F112" s="173">
        <f t="shared" si="23"/>
        <v>9.352517985611504E-2</v>
      </c>
      <c r="G112" s="173">
        <f t="shared" si="23"/>
        <v>8.6330935251798482E-2</v>
      </c>
      <c r="H112" s="173">
        <f t="shared" si="23"/>
        <v>8.6330935251798482E-2</v>
      </c>
      <c r="I112" s="173">
        <f t="shared" si="23"/>
        <v>8.6330935251798482E-2</v>
      </c>
      <c r="J112" s="173">
        <f t="shared" si="23"/>
        <v>9.352517985611504E-2</v>
      </c>
      <c r="K112" s="173">
        <f t="shared" si="23"/>
        <v>0.1007194244604316</v>
      </c>
      <c r="L112" s="173">
        <f t="shared" si="23"/>
        <v>9.420289855072457E-2</v>
      </c>
      <c r="M112" s="173">
        <f t="shared" si="23"/>
        <v>9.420289855072457E-2</v>
      </c>
      <c r="N112" s="173">
        <f t="shared" si="23"/>
        <v>5.0724637681159306E-2</v>
      </c>
      <c r="O112" s="173">
        <f t="shared" si="23"/>
        <v>5.9583632447954026E-2</v>
      </c>
      <c r="P112" s="173">
        <f t="shared" si="23"/>
        <v>3.6496350364963535E-2</v>
      </c>
      <c r="Q112" s="173">
        <f t="shared" si="23"/>
        <v>3.6496350364963535E-2</v>
      </c>
      <c r="R112" s="173">
        <f t="shared" si="23"/>
        <v>2.9411764705882377E-2</v>
      </c>
      <c r="S112" s="173">
        <f t="shared" si="23"/>
        <v>3.3823529411764731E-2</v>
      </c>
      <c r="T112" s="173">
        <f t="shared" si="23"/>
        <v>2.9629629629629655E-2</v>
      </c>
      <c r="U112" s="173">
        <f t="shared" si="23"/>
        <v>3.703703703703707E-2</v>
      </c>
    </row>
    <row r="114" spans="1:24" x14ac:dyDescent="0.2">
      <c r="A114" s="272" t="s">
        <v>418</v>
      </c>
      <c r="B114" s="273">
        <f>'Zehnder Charl. Tabelle'!C$3</f>
        <v>260</v>
      </c>
      <c r="C114" s="273">
        <f>'Zehnder Charl. Tabelle'!D$3</f>
        <v>300</v>
      </c>
      <c r="D114" s="273">
        <f>'Zehnder Charl. Tabelle'!E$3</f>
        <v>350</v>
      </c>
      <c r="E114" s="273">
        <f>'Zehnder Charl. Tabelle'!F$3</f>
        <v>400</v>
      </c>
      <c r="F114" s="273">
        <f>'Zehnder Charl. Tabelle'!G$3</f>
        <v>450</v>
      </c>
      <c r="G114" s="273">
        <f>'Zehnder Charl. Tabelle'!H$3</f>
        <v>500</v>
      </c>
      <c r="H114" s="273">
        <f>'Zehnder Charl. Tabelle'!I$3</f>
        <v>550</v>
      </c>
      <c r="I114" s="273">
        <f>'Zehnder Charl. Tabelle'!J$3</f>
        <v>600</v>
      </c>
      <c r="J114" s="273">
        <f>'Zehnder Charl. Tabelle'!K$3</f>
        <v>750</v>
      </c>
      <c r="K114" s="273">
        <f>'Zehnder Charl. Tabelle'!L$3</f>
        <v>900</v>
      </c>
      <c r="L114" s="273">
        <f>'Zehnder Charl. Tabelle'!M$3</f>
        <v>1000</v>
      </c>
      <c r="M114" s="273">
        <f>'Zehnder Charl. Tabelle'!N$3</f>
        <v>1100</v>
      </c>
      <c r="N114" s="273">
        <f>'Zehnder Charl. Tabelle'!O$3</f>
        <v>1200</v>
      </c>
      <c r="O114" s="273">
        <f>'Zehnder Charl. Tabelle'!P$3</f>
        <v>1500</v>
      </c>
      <c r="P114" s="273">
        <f>'Zehnder Charl. Tabelle'!Q$3</f>
        <v>1800</v>
      </c>
      <c r="Q114" s="273">
        <f>'Zehnder Charl. Tabelle'!R$3</f>
        <v>2000</v>
      </c>
      <c r="R114" s="273">
        <f>'Zehnder Charl. Tabelle'!S$3</f>
        <v>2200</v>
      </c>
      <c r="S114" s="273">
        <f>'Zehnder Charl. Tabelle'!T$3</f>
        <v>2500</v>
      </c>
      <c r="T114" s="273">
        <f>'Zehnder Charl. Tabelle'!U$3</f>
        <v>2800</v>
      </c>
      <c r="U114" s="273">
        <f>'Zehnder Charl. Tabelle'!V$3</f>
        <v>3000</v>
      </c>
    </row>
    <row r="115" spans="1:24" x14ac:dyDescent="0.2">
      <c r="A115" s="1" t="s">
        <v>399</v>
      </c>
      <c r="B115" s="340">
        <f>'Arbonia Tabelle'!E15</f>
        <v>1.36</v>
      </c>
      <c r="C115" s="51">
        <f>'Arbonia Tabelle'!F15</f>
        <v>1.39</v>
      </c>
      <c r="D115" s="51">
        <f>'Arbonia Tabelle'!G15</f>
        <v>1.41</v>
      </c>
      <c r="E115" s="51">
        <f>'Arbonia Tabelle'!H15</f>
        <v>1.41</v>
      </c>
      <c r="F115" s="51">
        <f>'Arbonia Tabelle'!I15</f>
        <v>1.41</v>
      </c>
      <c r="G115" s="51">
        <f>'Arbonia Tabelle'!J15</f>
        <v>1.41</v>
      </c>
      <c r="H115" s="51">
        <f>'Arbonia Tabelle'!K15</f>
        <v>1.41</v>
      </c>
      <c r="I115" s="51">
        <f>'Arbonia Tabelle'!L15</f>
        <v>1.41</v>
      </c>
      <c r="J115" s="51">
        <f>'Arbonia Tabelle'!M15</f>
        <v>1.4</v>
      </c>
      <c r="K115" s="51">
        <f>'Arbonia Tabelle'!N15</f>
        <v>1.4</v>
      </c>
      <c r="L115" s="51">
        <f>'Arbonia Tabelle'!O15</f>
        <v>1.4</v>
      </c>
      <c r="M115" s="51">
        <f>'Arbonia Tabelle'!P15</f>
        <v>1.4</v>
      </c>
      <c r="N115" s="51">
        <f>'Arbonia Tabelle'!Q15</f>
        <v>1.4</v>
      </c>
      <c r="O115" s="51">
        <f>'Arbonia Tabelle'!R15</f>
        <v>1.4</v>
      </c>
      <c r="P115" s="51">
        <f>'Arbonia Tabelle'!S15</f>
        <v>1.39</v>
      </c>
      <c r="Q115" s="51">
        <f>'Arbonia Tabelle'!T15</f>
        <v>1.39</v>
      </c>
      <c r="R115" s="51">
        <f>'Arbonia Tabelle'!U15</f>
        <v>1.39</v>
      </c>
      <c r="S115" s="340">
        <f>'Arbonia Tabelle'!V15</f>
        <v>1.39</v>
      </c>
      <c r="T115" s="340">
        <f>'Arbonia Tabelle'!W15</f>
        <v>1.38</v>
      </c>
      <c r="U115" s="340">
        <f>'Arbonia Tabelle'!X15</f>
        <v>1.38</v>
      </c>
    </row>
    <row r="116" spans="1:24" x14ac:dyDescent="0.2">
      <c r="A116" s="268" t="s">
        <v>421</v>
      </c>
      <c r="B116" s="279"/>
      <c r="C116" s="279"/>
      <c r="D116" s="279"/>
      <c r="E116" s="279"/>
      <c r="F116" s="279"/>
      <c r="G116" s="279"/>
      <c r="H116" s="279"/>
      <c r="I116" s="279"/>
      <c r="J116" s="279"/>
      <c r="K116" s="279"/>
      <c r="L116" s="279"/>
      <c r="M116" s="279"/>
      <c r="N116" s="279"/>
      <c r="O116" s="279"/>
      <c r="P116" s="279"/>
      <c r="Q116" s="279"/>
      <c r="R116" s="279"/>
      <c r="S116" s="279"/>
      <c r="T116" s="279"/>
      <c r="U116" s="279"/>
    </row>
    <row r="117" spans="1:24" x14ac:dyDescent="0.2">
      <c r="A117" s="269" t="s">
        <v>343</v>
      </c>
      <c r="B117" s="274">
        <f>'Zehnder Charl. Tabelle'!C17</f>
        <v>1.28</v>
      </c>
      <c r="C117" s="287">
        <f>'Zehnder Charl. Tabelle'!D17</f>
        <v>1.28</v>
      </c>
      <c r="D117" s="287">
        <f>'Zehnder Charl. Tabelle'!E17</f>
        <v>1.28</v>
      </c>
      <c r="E117" s="287">
        <f>'Zehnder Charl. Tabelle'!F17</f>
        <v>1.28</v>
      </c>
      <c r="F117" s="287">
        <f>'Zehnder Charl. Tabelle'!G17</f>
        <v>1.27</v>
      </c>
      <c r="G117" s="287">
        <f>'Zehnder Charl. Tabelle'!H17</f>
        <v>1.27</v>
      </c>
      <c r="H117" s="287">
        <f>'Zehnder Charl. Tabelle'!I17</f>
        <v>1.27</v>
      </c>
      <c r="I117" s="287">
        <f>'Zehnder Charl. Tabelle'!J17</f>
        <v>1.27</v>
      </c>
      <c r="J117" s="287">
        <f>'Zehnder Charl. Tabelle'!K17</f>
        <v>1.26</v>
      </c>
      <c r="K117" s="287">
        <f>'Zehnder Charl. Tabelle'!L17</f>
        <v>1.25</v>
      </c>
      <c r="L117" s="287">
        <f>'Zehnder Charl. Tabelle'!M17</f>
        <v>1.25</v>
      </c>
      <c r="M117" s="287">
        <f>'Zehnder Charl. Tabelle'!N17</f>
        <v>1.25</v>
      </c>
      <c r="N117" s="287">
        <f>'Zehnder Charl. Tabelle'!O17</f>
        <v>1.25</v>
      </c>
      <c r="O117" s="287">
        <f>'Zehnder Charl. Tabelle'!P17</f>
        <v>1.31</v>
      </c>
      <c r="P117" s="287">
        <f>'Zehnder Charl. Tabelle'!Q17</f>
        <v>1.32</v>
      </c>
      <c r="Q117" s="287">
        <f>'Zehnder Charl. Tabelle'!R17</f>
        <v>1.32</v>
      </c>
      <c r="R117" s="287">
        <f>'Zehnder Charl. Tabelle'!S17</f>
        <v>1.32</v>
      </c>
      <c r="S117" s="274">
        <f>'Zehnder Charl. Tabelle'!T17</f>
        <v>1.32</v>
      </c>
      <c r="T117" s="274">
        <f>'Zehnder Charl. Tabelle'!U17</f>
        <v>1.33</v>
      </c>
      <c r="U117" s="274">
        <f>'Zehnder Charl. Tabelle'!V17</f>
        <v>1.33</v>
      </c>
    </row>
    <row r="118" spans="1:24" x14ac:dyDescent="0.2">
      <c r="A118" s="268" t="s">
        <v>422</v>
      </c>
      <c r="B118" s="279"/>
      <c r="C118" s="279"/>
      <c r="D118" s="279"/>
      <c r="E118" s="279"/>
      <c r="F118" s="279"/>
      <c r="G118" s="279"/>
      <c r="H118" s="279"/>
      <c r="I118" s="279"/>
      <c r="J118" s="279"/>
      <c r="K118" s="279"/>
      <c r="L118" s="279"/>
      <c r="M118" s="279"/>
      <c r="N118" s="279"/>
      <c r="O118" s="279"/>
      <c r="P118" s="279"/>
      <c r="Q118" s="279"/>
      <c r="R118" s="279"/>
      <c r="S118" s="279"/>
      <c r="T118" s="279"/>
      <c r="U118" s="279"/>
    </row>
    <row r="119" spans="1:24" x14ac:dyDescent="0.2">
      <c r="A119" s="1" t="s">
        <v>441</v>
      </c>
      <c r="B119" s="51"/>
      <c r="C119" s="51">
        <f>'IRSAP Tabelle'!D15</f>
        <v>1.2929999999999999</v>
      </c>
      <c r="D119" s="51">
        <f>'IRSAP Tabelle'!E15</f>
        <v>1.302</v>
      </c>
      <c r="E119" s="51">
        <f>'IRSAP Tabelle'!G15</f>
        <v>1.31</v>
      </c>
      <c r="F119" s="51">
        <f>'IRSAP Tabelle'!H15</f>
        <v>1.319</v>
      </c>
      <c r="G119" s="51">
        <f>'IRSAP Tabelle'!I15</f>
        <v>1.327</v>
      </c>
      <c r="H119" s="51">
        <f>'IRSAP Tabelle'!K15</f>
        <v>1.3360000000000001</v>
      </c>
      <c r="I119" s="51">
        <f>'IRSAP Tabelle'!M15</f>
        <v>1.345</v>
      </c>
      <c r="J119" s="51">
        <f>'IRSAP Tabelle'!Q15</f>
        <v>1.37</v>
      </c>
      <c r="K119" s="51">
        <f>'IRSAP Tabelle'!V15</f>
        <v>1.3959999999999999</v>
      </c>
      <c r="L119" s="51">
        <f>'IRSAP Tabelle'!W15</f>
        <v>1.3879999999999999</v>
      </c>
      <c r="M119" s="341"/>
      <c r="N119" s="51">
        <f>'IRSAP Tabelle'!X15</f>
        <v>1.371</v>
      </c>
      <c r="O119" s="51">
        <f>'IRSAP Tabelle'!Y15</f>
        <v>1.3460000000000001</v>
      </c>
      <c r="P119" s="51">
        <f>'IRSAP Tabelle'!Z15</f>
        <v>1.3340000000000001</v>
      </c>
      <c r="Q119" s="51">
        <f>'IRSAP Tabelle'!AA15</f>
        <v>1.33</v>
      </c>
      <c r="R119" s="51">
        <f>'IRSAP Tabelle'!AB15</f>
        <v>1.327</v>
      </c>
      <c r="S119" s="51">
        <f>'IRSAP Tabelle'!AC15</f>
        <v>1.3220000000000001</v>
      </c>
      <c r="T119" s="51"/>
      <c r="U119" s="51"/>
    </row>
    <row r="120" spans="1:24" x14ac:dyDescent="0.2">
      <c r="A120" s="1" t="s">
        <v>643</v>
      </c>
      <c r="B120" s="51"/>
      <c r="C120" s="51"/>
      <c r="D120" s="51"/>
      <c r="E120" s="51"/>
      <c r="F120" s="51"/>
      <c r="G120" s="51"/>
      <c r="H120" s="51"/>
      <c r="I120" s="51"/>
      <c r="J120" s="51"/>
      <c r="K120" s="51"/>
      <c r="L120" s="51"/>
      <c r="M120" s="51"/>
      <c r="N120" s="51"/>
      <c r="O120" s="51"/>
      <c r="P120" s="51"/>
      <c r="Q120" s="51"/>
      <c r="R120" s="51"/>
      <c r="S120" s="51"/>
      <c r="T120" s="51"/>
      <c r="U120" s="51"/>
    </row>
    <row r="121" spans="1:24" x14ac:dyDescent="0.2">
      <c r="A121" s="269" t="s">
        <v>635</v>
      </c>
      <c r="B121" s="274"/>
      <c r="C121" s="286">
        <f>'Cordivari Tabelle'!D15</f>
        <v>1.3220000000000001</v>
      </c>
      <c r="D121" s="274"/>
      <c r="E121" s="286">
        <f>'Cordivari Tabelle'!E15</f>
        <v>1.3129999999999999</v>
      </c>
      <c r="F121" s="274"/>
      <c r="G121" s="286">
        <f>'Cordivari Tabelle'!F15</f>
        <v>1.3049999999999999</v>
      </c>
      <c r="H121" s="286">
        <f>'Cordivari Tabelle'!G15</f>
        <v>1.3</v>
      </c>
      <c r="I121" s="286">
        <f>'Cordivari Tabelle'!I15</f>
        <v>1.296</v>
      </c>
      <c r="J121" s="286">
        <f>'Cordivari Tabelle'!M15</f>
        <v>1.284</v>
      </c>
      <c r="K121" s="274"/>
      <c r="L121" s="286">
        <f>'Cordivari Tabelle'!S15</f>
        <v>1.296</v>
      </c>
      <c r="M121" s="274"/>
      <c r="N121" s="274">
        <f>'Cordivari Tabelle'!T15</f>
        <v>1.345</v>
      </c>
      <c r="O121" s="274">
        <f>'Cordivari Tabelle'!U15</f>
        <v>1.4179999999999999</v>
      </c>
      <c r="P121" s="274">
        <f>'Cordivari Tabelle'!W15</f>
        <v>1.3959999999999999</v>
      </c>
      <c r="Q121" s="274">
        <f>'Cordivari Tabelle'!Y15</f>
        <v>1.3819999999999999</v>
      </c>
      <c r="R121" s="274">
        <f>'Cordivari Tabelle'!AA15</f>
        <v>1.367</v>
      </c>
      <c r="S121" s="274">
        <f>'Cordivari Tabelle'!AB15</f>
        <v>1.345</v>
      </c>
      <c r="T121" s="274"/>
      <c r="U121" s="274"/>
    </row>
    <row r="122" spans="1:24" x14ac:dyDescent="0.2">
      <c r="A122" s="268" t="s">
        <v>644</v>
      </c>
      <c r="B122" s="279"/>
      <c r="C122" s="279"/>
      <c r="D122" s="279"/>
      <c r="E122" s="279"/>
      <c r="F122" s="279"/>
      <c r="G122" s="279"/>
      <c r="H122" s="279"/>
      <c r="I122" s="279"/>
      <c r="J122" s="279"/>
      <c r="K122" s="279"/>
      <c r="L122" s="279"/>
      <c r="M122" s="279"/>
      <c r="N122" s="279"/>
      <c r="O122" s="279"/>
      <c r="P122" s="279"/>
      <c r="Q122" s="279"/>
      <c r="R122" s="279"/>
      <c r="S122" s="279"/>
      <c r="T122" s="279"/>
      <c r="U122" s="279"/>
    </row>
    <row r="123" spans="1:24" x14ac:dyDescent="0.2">
      <c r="A123" s="1" t="s">
        <v>634</v>
      </c>
      <c r="B123" s="51"/>
      <c r="C123" s="51">
        <f>'FIR Iron'!D15</f>
        <v>1.25</v>
      </c>
      <c r="D123" s="51">
        <f>'FIR Iron'!E15</f>
        <v>1.26</v>
      </c>
      <c r="E123" s="51">
        <f>'FIR Iron'!G15</f>
        <v>1.26</v>
      </c>
      <c r="F123" s="51">
        <f>'FIR Iron'!I15</f>
        <v>1.27</v>
      </c>
      <c r="G123" s="51">
        <f>'FIR Iron'!J15</f>
        <v>1.28</v>
      </c>
      <c r="H123" s="51">
        <f>'FIR Iron'!K15</f>
        <v>1.28</v>
      </c>
      <c r="I123" s="51">
        <f>'FIR Iron'!M15</f>
        <v>1.29</v>
      </c>
      <c r="J123" s="51">
        <f>'FIR Iron'!O15</f>
        <v>1.3</v>
      </c>
      <c r="K123" s="51">
        <f>'FIR Iron'!Q15</f>
        <v>1.31</v>
      </c>
      <c r="L123" s="51">
        <f>'FIR Iron'!S15</f>
        <v>1.32</v>
      </c>
      <c r="M123" s="51">
        <f>'FIR Iron'!U15</f>
        <v>1.33</v>
      </c>
      <c r="N123" s="342">
        <f>'FIR Iron'!V15</f>
        <v>1.33</v>
      </c>
      <c r="O123" s="342">
        <f>'FIR Iron'!W15</f>
        <v>1.34</v>
      </c>
      <c r="P123" s="342">
        <f>'FIR Iron'!X15</f>
        <v>1.35</v>
      </c>
      <c r="Q123" s="342">
        <f>'FIR Iron'!Y15</f>
        <v>1.34</v>
      </c>
      <c r="R123" s="342">
        <f>'FIR Iron'!Z15</f>
        <v>1.34</v>
      </c>
      <c r="S123" s="342">
        <f>'FIR Iron'!AA15</f>
        <v>1.32</v>
      </c>
      <c r="T123" s="342">
        <f>'FIR Iron'!AB15</f>
        <v>1.3</v>
      </c>
      <c r="U123" s="342">
        <f>'FIR Iron'!AC15</f>
        <v>1.28</v>
      </c>
    </row>
    <row r="124" spans="1:24" x14ac:dyDescent="0.2">
      <c r="A124" s="1" t="s">
        <v>645</v>
      </c>
      <c r="B124" s="51"/>
      <c r="C124" s="51"/>
      <c r="D124" s="51"/>
      <c r="E124" s="51"/>
      <c r="F124" s="51"/>
      <c r="G124" s="51"/>
      <c r="H124" s="51"/>
      <c r="I124" s="51"/>
      <c r="J124" s="51"/>
      <c r="K124" s="51"/>
      <c r="L124" s="51"/>
      <c r="M124" s="51"/>
      <c r="N124" s="51"/>
      <c r="O124" s="51"/>
      <c r="P124" s="51"/>
      <c r="Q124" s="51"/>
      <c r="R124" s="51"/>
      <c r="S124" s="51"/>
      <c r="T124" s="51"/>
      <c r="U124" s="51"/>
    </row>
    <row r="125" spans="1:24" x14ac:dyDescent="0.2">
      <c r="A125" s="269" t="s">
        <v>646</v>
      </c>
      <c r="B125" s="274">
        <f>AVERAGE(B115,B117,B119,B121,B123)</f>
        <v>1.32</v>
      </c>
      <c r="C125" s="274">
        <f t="shared" ref="C125:U125" si="24">AVERAGE(C115,C117,C119,C121,C123)</f>
        <v>1.3069999999999999</v>
      </c>
      <c r="D125" s="274">
        <f t="shared" si="24"/>
        <v>1.3129999999999999</v>
      </c>
      <c r="E125" s="274">
        <f t="shared" si="24"/>
        <v>1.3146</v>
      </c>
      <c r="F125" s="274">
        <f t="shared" si="24"/>
        <v>1.31725</v>
      </c>
      <c r="G125" s="274">
        <f t="shared" si="24"/>
        <v>1.3184</v>
      </c>
      <c r="H125" s="274">
        <f t="shared" si="24"/>
        <v>1.3191999999999999</v>
      </c>
      <c r="I125" s="274">
        <f t="shared" si="24"/>
        <v>1.3222</v>
      </c>
      <c r="J125" s="274">
        <f t="shared" si="24"/>
        <v>1.3228</v>
      </c>
      <c r="K125" s="274">
        <f t="shared" si="24"/>
        <v>1.339</v>
      </c>
      <c r="L125" s="274">
        <f t="shared" si="24"/>
        <v>1.3308000000000002</v>
      </c>
      <c r="M125" s="274">
        <f t="shared" si="24"/>
        <v>1.3266666666666667</v>
      </c>
      <c r="N125" s="274">
        <f t="shared" si="24"/>
        <v>1.3391999999999999</v>
      </c>
      <c r="O125" s="274">
        <f t="shared" si="24"/>
        <v>1.3628</v>
      </c>
      <c r="P125" s="274">
        <f t="shared" si="24"/>
        <v>1.3580000000000001</v>
      </c>
      <c r="Q125" s="274">
        <f t="shared" si="24"/>
        <v>1.3523999999999998</v>
      </c>
      <c r="R125" s="274">
        <f t="shared" si="24"/>
        <v>1.3488</v>
      </c>
      <c r="S125" s="274">
        <f t="shared" si="24"/>
        <v>1.3393999999999999</v>
      </c>
      <c r="T125" s="274">
        <f t="shared" si="24"/>
        <v>1.3366666666666667</v>
      </c>
      <c r="U125" s="274">
        <f t="shared" si="24"/>
        <v>1.33</v>
      </c>
    </row>
    <row r="126" spans="1:24" s="1" customFormat="1" x14ac:dyDescent="0.2">
      <c r="A126" s="268" t="s">
        <v>647</v>
      </c>
      <c r="B126" s="288">
        <f>-0.00000002*B114^2+0.00006*B114 + 1.2931</f>
        <v>1.307348</v>
      </c>
      <c r="C126" s="288">
        <f t="shared" ref="C126:U126" si="25">-0.00000002*C114^2+0.00006*C114 + 1.2931</f>
        <v>1.3092999999999999</v>
      </c>
      <c r="D126" s="288">
        <f t="shared" si="25"/>
        <v>1.31165</v>
      </c>
      <c r="E126" s="288">
        <f t="shared" si="25"/>
        <v>1.3138999999999998</v>
      </c>
      <c r="F126" s="288">
        <f t="shared" si="25"/>
        <v>1.3160499999999999</v>
      </c>
      <c r="G126" s="288">
        <f t="shared" si="25"/>
        <v>1.3180999999999998</v>
      </c>
      <c r="H126" s="288">
        <f t="shared" si="25"/>
        <v>1.3200499999999999</v>
      </c>
      <c r="I126" s="288">
        <f t="shared" si="25"/>
        <v>1.3218999999999999</v>
      </c>
      <c r="J126" s="288">
        <f t="shared" si="25"/>
        <v>1.3268499999999999</v>
      </c>
      <c r="K126" s="288">
        <f t="shared" si="25"/>
        <v>1.3309</v>
      </c>
      <c r="L126" s="288">
        <f t="shared" si="25"/>
        <v>1.3331</v>
      </c>
      <c r="M126" s="288">
        <f t="shared" si="25"/>
        <v>1.3349</v>
      </c>
      <c r="N126" s="288">
        <f t="shared" si="25"/>
        <v>1.3362999999999998</v>
      </c>
      <c r="O126" s="288">
        <f t="shared" si="25"/>
        <v>1.3380999999999998</v>
      </c>
      <c r="P126" s="288">
        <f t="shared" si="25"/>
        <v>1.3362999999999998</v>
      </c>
      <c r="Q126" s="288">
        <f t="shared" si="25"/>
        <v>1.3331</v>
      </c>
      <c r="R126" s="288">
        <f t="shared" si="25"/>
        <v>1.3283</v>
      </c>
      <c r="S126" s="288">
        <f t="shared" si="25"/>
        <v>1.3180999999999998</v>
      </c>
      <c r="T126" s="288">
        <f t="shared" si="25"/>
        <v>1.3043</v>
      </c>
      <c r="U126" s="288">
        <f t="shared" si="25"/>
        <v>1.2930999999999999</v>
      </c>
    </row>
    <row r="127" spans="1:24" x14ac:dyDescent="0.2">
      <c r="B127" s="267">
        <f>(B126-B125)/B125</f>
        <v>-9.5848484848485658E-3</v>
      </c>
      <c r="C127" s="267">
        <f t="shared" ref="C127:U127" si="26">(C126-C125)/C125</f>
        <v>1.7597551644988284E-3</v>
      </c>
      <c r="D127" s="267">
        <f t="shared" si="26"/>
        <v>-1.0281797410509996E-3</v>
      </c>
      <c r="E127" s="267">
        <f t="shared" si="26"/>
        <v>-5.3248136315239998E-4</v>
      </c>
      <c r="F127" s="267">
        <f t="shared" si="26"/>
        <v>-9.109888024293717E-4</v>
      </c>
      <c r="G127" s="267">
        <f t="shared" si="26"/>
        <v>-2.2754854368946375E-4</v>
      </c>
      <c r="H127" s="267">
        <f t="shared" si="26"/>
        <v>6.4432989690722971E-4</v>
      </c>
      <c r="I127" s="267">
        <f t="shared" si="26"/>
        <v>-2.2689456965677582E-4</v>
      </c>
      <c r="J127" s="267">
        <f t="shared" si="26"/>
        <v>3.061687329906174E-3</v>
      </c>
      <c r="K127" s="267">
        <f t="shared" si="26"/>
        <v>-6.0492905153099298E-3</v>
      </c>
      <c r="L127" s="267">
        <f t="shared" si="26"/>
        <v>1.7282837391041075E-3</v>
      </c>
      <c r="M127" s="267">
        <f t="shared" si="26"/>
        <v>6.2060301507537545E-3</v>
      </c>
      <c r="N127" s="267">
        <f t="shared" si="26"/>
        <v>-2.1654719235365328E-3</v>
      </c>
      <c r="O127" s="267">
        <f t="shared" si="26"/>
        <v>-1.8124449662459765E-2</v>
      </c>
      <c r="P127" s="267">
        <f t="shared" si="26"/>
        <v>-1.5979381443299169E-2</v>
      </c>
      <c r="Q127" s="267">
        <f t="shared" si="26"/>
        <v>-1.4270925761608899E-2</v>
      </c>
      <c r="R127" s="267">
        <f t="shared" si="26"/>
        <v>-1.5198695136417528E-2</v>
      </c>
      <c r="S127" s="267">
        <f t="shared" si="26"/>
        <v>-1.5902642974466252E-2</v>
      </c>
      <c r="T127" s="267">
        <f t="shared" si="26"/>
        <v>-2.4214463840398992E-2</v>
      </c>
      <c r="U127" s="267">
        <f t="shared" si="26"/>
        <v>-2.7744360902255755E-2</v>
      </c>
    </row>
    <row r="128" spans="1:24" x14ac:dyDescent="0.2">
      <c r="W128" t="s">
        <v>699</v>
      </c>
      <c r="X128" t="s">
        <v>162</v>
      </c>
    </row>
    <row r="129" spans="1:25" x14ac:dyDescent="0.2">
      <c r="A129" s="1" t="s">
        <v>423</v>
      </c>
      <c r="B129" s="51">
        <f t="shared" ref="B129:U129" si="27">MAX(B115,B117,B119,B121,B123)</f>
        <v>1.36</v>
      </c>
      <c r="C129" s="51">
        <f t="shared" si="27"/>
        <v>1.39</v>
      </c>
      <c r="D129" s="51">
        <f t="shared" si="27"/>
        <v>1.41</v>
      </c>
      <c r="E129" s="51">
        <f t="shared" si="27"/>
        <v>1.41</v>
      </c>
      <c r="F129" s="51">
        <f t="shared" si="27"/>
        <v>1.41</v>
      </c>
      <c r="G129" s="51">
        <f t="shared" si="27"/>
        <v>1.41</v>
      </c>
      <c r="H129" s="51">
        <f t="shared" si="27"/>
        <v>1.41</v>
      </c>
      <c r="I129" s="51">
        <f t="shared" si="27"/>
        <v>1.41</v>
      </c>
      <c r="J129" s="51">
        <f t="shared" si="27"/>
        <v>1.4</v>
      </c>
      <c r="K129" s="51">
        <f t="shared" si="27"/>
        <v>1.4</v>
      </c>
      <c r="L129" s="51">
        <f t="shared" si="27"/>
        <v>1.4</v>
      </c>
      <c r="M129" s="51">
        <f t="shared" si="27"/>
        <v>1.4</v>
      </c>
      <c r="N129" s="51">
        <f t="shared" si="27"/>
        <v>1.4</v>
      </c>
      <c r="O129" s="51">
        <f t="shared" si="27"/>
        <v>1.4179999999999999</v>
      </c>
      <c r="P129" s="51">
        <f t="shared" si="27"/>
        <v>1.3959999999999999</v>
      </c>
      <c r="Q129" s="51">
        <f t="shared" si="27"/>
        <v>1.39</v>
      </c>
      <c r="R129" s="51">
        <f t="shared" si="27"/>
        <v>1.39</v>
      </c>
      <c r="S129" s="51">
        <f t="shared" si="27"/>
        <v>1.39</v>
      </c>
      <c r="T129" s="51">
        <f t="shared" si="27"/>
        <v>1.38</v>
      </c>
      <c r="U129" s="51">
        <f t="shared" si="27"/>
        <v>1.38</v>
      </c>
      <c r="W129" s="51">
        <f>MAX(A129:U129)</f>
        <v>1.4179999999999999</v>
      </c>
      <c r="X129" s="10">
        <f>MAX(A126:U126)</f>
        <v>1.3380999999999998</v>
      </c>
      <c r="Y129" s="173">
        <f>(X129-W129)/W129</f>
        <v>-5.6346967559943645E-2</v>
      </c>
    </row>
    <row r="130" spans="1:25" x14ac:dyDescent="0.2">
      <c r="A130" s="1" t="s">
        <v>424</v>
      </c>
      <c r="B130" s="51">
        <f t="shared" ref="B130:U130" si="28">MIN(B115,B117,B119,B121,B123)</f>
        <v>1.28</v>
      </c>
      <c r="C130" s="51">
        <f t="shared" si="28"/>
        <v>1.25</v>
      </c>
      <c r="D130" s="51">
        <f t="shared" si="28"/>
        <v>1.26</v>
      </c>
      <c r="E130" s="51">
        <f t="shared" si="28"/>
        <v>1.26</v>
      </c>
      <c r="F130" s="51">
        <f t="shared" si="28"/>
        <v>1.27</v>
      </c>
      <c r="G130" s="51">
        <f t="shared" si="28"/>
        <v>1.27</v>
      </c>
      <c r="H130" s="51">
        <f t="shared" si="28"/>
        <v>1.27</v>
      </c>
      <c r="I130" s="51">
        <f t="shared" si="28"/>
        <v>1.27</v>
      </c>
      <c r="J130" s="51">
        <f t="shared" si="28"/>
        <v>1.26</v>
      </c>
      <c r="K130" s="51">
        <f t="shared" si="28"/>
        <v>1.25</v>
      </c>
      <c r="L130" s="51">
        <f t="shared" si="28"/>
        <v>1.25</v>
      </c>
      <c r="M130" s="51">
        <f t="shared" si="28"/>
        <v>1.25</v>
      </c>
      <c r="N130" s="51">
        <f t="shared" si="28"/>
        <v>1.25</v>
      </c>
      <c r="O130" s="51">
        <f t="shared" si="28"/>
        <v>1.31</v>
      </c>
      <c r="P130" s="51">
        <f t="shared" si="28"/>
        <v>1.32</v>
      </c>
      <c r="Q130" s="51">
        <f t="shared" si="28"/>
        <v>1.32</v>
      </c>
      <c r="R130" s="51">
        <f t="shared" si="28"/>
        <v>1.32</v>
      </c>
      <c r="S130" s="51">
        <f t="shared" si="28"/>
        <v>1.32</v>
      </c>
      <c r="T130" s="51">
        <f t="shared" si="28"/>
        <v>1.3</v>
      </c>
      <c r="U130" s="51">
        <f t="shared" si="28"/>
        <v>1.28</v>
      </c>
      <c r="W130" s="51">
        <f>MIN(A130:U130)</f>
        <v>1.25</v>
      </c>
      <c r="X130" s="10">
        <f>MIN(A126:U126)</f>
        <v>1.2930999999999999</v>
      </c>
      <c r="Y130" s="173">
        <f>(X130-W130)/W130</f>
        <v>3.4479999999999934E-2</v>
      </c>
    </row>
    <row r="131" spans="1:25" x14ac:dyDescent="0.2">
      <c r="B131" s="173">
        <f t="shared" ref="B131:U131" si="29">(B129-B130)/B129</f>
        <v>5.8823529411764754E-2</v>
      </c>
      <c r="C131" s="173">
        <f t="shared" si="29"/>
        <v>0.1007194244604316</v>
      </c>
      <c r="D131" s="173">
        <f t="shared" si="29"/>
        <v>0.1063829787234042</v>
      </c>
      <c r="E131" s="173">
        <f t="shared" si="29"/>
        <v>0.1063829787234042</v>
      </c>
      <c r="F131" s="173">
        <f t="shared" si="29"/>
        <v>9.9290780141843907E-2</v>
      </c>
      <c r="G131" s="173">
        <f t="shared" si="29"/>
        <v>9.9290780141843907E-2</v>
      </c>
      <c r="H131" s="173">
        <f t="shared" si="29"/>
        <v>9.9290780141843907E-2</v>
      </c>
      <c r="I131" s="173">
        <f t="shared" si="29"/>
        <v>9.9290780141843907E-2</v>
      </c>
      <c r="J131" s="173">
        <f t="shared" si="29"/>
        <v>9.9999999999999936E-2</v>
      </c>
      <c r="K131" s="173">
        <f t="shared" si="29"/>
        <v>0.10714285714285708</v>
      </c>
      <c r="L131" s="173">
        <f t="shared" si="29"/>
        <v>0.10714285714285708</v>
      </c>
      <c r="M131" s="173">
        <f t="shared" si="29"/>
        <v>0.10714285714285708</v>
      </c>
      <c r="N131" s="173">
        <f t="shared" si="29"/>
        <v>0.10714285714285708</v>
      </c>
      <c r="O131" s="173">
        <f t="shared" si="29"/>
        <v>7.61636107193229E-2</v>
      </c>
      <c r="P131" s="173">
        <f t="shared" si="29"/>
        <v>5.4441260744985565E-2</v>
      </c>
      <c r="Q131" s="173">
        <f t="shared" si="29"/>
        <v>5.0359712230215715E-2</v>
      </c>
      <c r="R131" s="173">
        <f t="shared" si="29"/>
        <v>5.0359712230215715E-2</v>
      </c>
      <c r="S131" s="173">
        <f t="shared" si="29"/>
        <v>5.0359712230215715E-2</v>
      </c>
      <c r="T131" s="173">
        <f t="shared" si="29"/>
        <v>5.797101449275352E-2</v>
      </c>
      <c r="U131" s="173">
        <f t="shared" si="29"/>
        <v>7.2463768115941934E-2</v>
      </c>
    </row>
  </sheetData>
  <conditionalFormatting sqref="B54:U54">
    <cfRule type="cellIs" dxfId="10" priority="10" operator="greaterThan">
      <formula>$A$55</formula>
    </cfRule>
  </conditionalFormatting>
  <conditionalFormatting sqref="B70:U70">
    <cfRule type="cellIs" dxfId="9" priority="4" operator="greaterThan">
      <formula>$A$55</formula>
    </cfRule>
  </conditionalFormatting>
  <conditionalFormatting sqref="B74:U74">
    <cfRule type="cellIs" dxfId="8" priority="9" operator="greaterThan">
      <formula>$A$55</formula>
    </cfRule>
  </conditionalFormatting>
  <conditionalFormatting sqref="B89:U89">
    <cfRule type="cellIs" dxfId="7" priority="3" operator="greaterThan">
      <formula>$A$55</formula>
    </cfRule>
  </conditionalFormatting>
  <conditionalFormatting sqref="B93:U93">
    <cfRule type="cellIs" dxfId="6" priority="8" operator="greaterThan">
      <formula>$A$55</formula>
    </cfRule>
  </conditionalFormatting>
  <conditionalFormatting sqref="B108:U108">
    <cfRule type="cellIs" dxfId="5" priority="2" operator="greaterThan">
      <formula>$A$55</formula>
    </cfRule>
  </conditionalFormatting>
  <conditionalFormatting sqref="B112:U112">
    <cfRule type="cellIs" dxfId="4" priority="7" operator="greaterThan">
      <formula>$A$55</formula>
    </cfRule>
  </conditionalFormatting>
  <conditionalFormatting sqref="B127:U127">
    <cfRule type="cellIs" dxfId="3" priority="1" operator="greaterThan">
      <formula>$A$55</formula>
    </cfRule>
  </conditionalFormatting>
  <conditionalFormatting sqref="B131:U131">
    <cfRule type="cellIs" dxfId="2" priority="6" operator="greaterThan">
      <formula>$A$55</formula>
    </cfRule>
  </conditionalFormatting>
  <conditionalFormatting sqref="C50:U50 B50:B51">
    <cfRule type="cellIs" dxfId="1" priority="5" operator="greaterThan">
      <formula>$A$55</formula>
    </cfRule>
  </conditionalFormatting>
  <pageMargins left="0.7" right="0.7" top="0.78740157499999996" bottom="0.78740157499999996"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EF5CD-787A-4358-9D86-A5BB5C2D4A77}">
  <dimension ref="A1:AH54"/>
  <sheetViews>
    <sheetView topLeftCell="L1" zoomScale="70" zoomScaleNormal="70" workbookViewId="0">
      <selection activeCell="T1" sqref="T1"/>
    </sheetView>
  </sheetViews>
  <sheetFormatPr baseColWidth="10" defaultRowHeight="12.75" x14ac:dyDescent="0.2"/>
  <cols>
    <col min="1" max="1" width="13.140625" customWidth="1"/>
    <col min="12" max="12" width="18.28515625" bestFit="1" customWidth="1"/>
    <col min="20" max="20" width="19.28515625" bestFit="1" customWidth="1"/>
  </cols>
  <sheetData>
    <row r="1" spans="1:34" ht="13.5" x14ac:dyDescent="0.25">
      <c r="A1" s="1" t="s">
        <v>36</v>
      </c>
      <c r="L1" s="1" t="s">
        <v>54</v>
      </c>
      <c r="M1" s="1" t="s">
        <v>44</v>
      </c>
      <c r="N1" s="2"/>
      <c r="O1" s="4" t="s">
        <v>2</v>
      </c>
      <c r="P1" s="2"/>
      <c r="Q1" s="2"/>
      <c r="R1" s="2"/>
      <c r="S1" s="2"/>
      <c r="T1" s="1" t="s">
        <v>55</v>
      </c>
      <c r="U1" s="1" t="s">
        <v>44</v>
      </c>
      <c r="V1" s="2"/>
      <c r="W1" s="4" t="s">
        <v>2</v>
      </c>
      <c r="X1" s="2"/>
      <c r="Y1" s="2"/>
      <c r="Z1" s="2"/>
      <c r="AA1" s="2"/>
      <c r="AB1" s="2" t="s">
        <v>145</v>
      </c>
      <c r="AC1" s="2"/>
      <c r="AD1" s="2"/>
      <c r="AE1" s="2"/>
      <c r="AF1" s="2"/>
      <c r="AG1" s="2"/>
      <c r="AH1" s="2"/>
    </row>
    <row r="2" spans="1:34" x14ac:dyDescent="0.2">
      <c r="A2" s="1"/>
      <c r="M2" s="1" t="s">
        <v>46</v>
      </c>
      <c r="N2" s="2"/>
      <c r="O2" s="5">
        <v>28</v>
      </c>
      <c r="P2" s="5">
        <v>43</v>
      </c>
      <c r="Q2" s="5">
        <v>58</v>
      </c>
      <c r="R2" s="5">
        <v>90</v>
      </c>
      <c r="S2" s="5"/>
      <c r="U2" s="1" t="s">
        <v>46</v>
      </c>
      <c r="V2" s="2"/>
      <c r="W2" s="5">
        <v>30</v>
      </c>
      <c r="X2" s="5">
        <v>45</v>
      </c>
      <c r="Y2" s="5">
        <v>60</v>
      </c>
      <c r="Z2" s="5">
        <v>100</v>
      </c>
      <c r="AA2" s="5"/>
      <c r="AB2" s="5"/>
      <c r="AC2" s="5"/>
      <c r="AD2" s="5"/>
      <c r="AE2" s="5"/>
      <c r="AF2" s="5"/>
      <c r="AG2" s="5"/>
      <c r="AH2" s="5"/>
    </row>
    <row r="3" spans="1:34" ht="13.5" x14ac:dyDescent="0.25">
      <c r="A3" s="1" t="s">
        <v>37</v>
      </c>
      <c r="M3" s="4" t="s">
        <v>3</v>
      </c>
      <c r="N3" s="2">
        <v>7</v>
      </c>
      <c r="O3" s="2"/>
      <c r="P3" s="2"/>
      <c r="Q3" s="2"/>
      <c r="R3" s="2">
        <v>112</v>
      </c>
      <c r="S3" s="2"/>
      <c r="U3" s="4" t="s">
        <v>3</v>
      </c>
      <c r="V3" s="2">
        <v>11</v>
      </c>
      <c r="W3" s="27"/>
      <c r="X3" s="27"/>
      <c r="Y3" s="27">
        <v>73</v>
      </c>
      <c r="Z3" s="27">
        <v>122</v>
      </c>
      <c r="AA3" s="2"/>
      <c r="AB3" s="2"/>
      <c r="AC3" s="2"/>
      <c r="AD3" s="2"/>
      <c r="AE3" s="2"/>
      <c r="AF3" s="2"/>
      <c r="AG3" s="2"/>
      <c r="AH3" s="2"/>
    </row>
    <row r="4" spans="1:34" x14ac:dyDescent="0.2">
      <c r="A4" s="17" t="s">
        <v>38</v>
      </c>
      <c r="B4" s="18" t="s">
        <v>2</v>
      </c>
      <c r="C4" s="293" t="s">
        <v>42</v>
      </c>
      <c r="D4" s="294"/>
      <c r="E4" s="294"/>
      <c r="F4" s="294"/>
      <c r="G4" s="294"/>
      <c r="H4" s="294"/>
      <c r="I4" s="294"/>
      <c r="J4" s="294"/>
      <c r="K4" s="295"/>
      <c r="M4" s="2"/>
      <c r="N4" s="2">
        <v>11</v>
      </c>
      <c r="O4" s="6"/>
      <c r="P4" s="6"/>
      <c r="Q4" s="5">
        <v>92</v>
      </c>
      <c r="R4" s="6"/>
      <c r="S4" s="6"/>
      <c r="U4" s="2"/>
      <c r="V4" s="2">
        <v>16</v>
      </c>
      <c r="W4" s="27"/>
      <c r="X4" s="27">
        <v>74</v>
      </c>
      <c r="Y4" s="27">
        <v>99</v>
      </c>
      <c r="Z4" s="27">
        <v>157</v>
      </c>
      <c r="AA4" s="6"/>
      <c r="AB4" s="6"/>
      <c r="AC4" s="6"/>
      <c r="AD4" s="6"/>
      <c r="AE4" s="6"/>
      <c r="AF4" s="6"/>
      <c r="AG4" s="6"/>
      <c r="AH4" s="6"/>
    </row>
    <row r="5" spans="1:34" x14ac:dyDescent="0.2">
      <c r="A5" s="19" t="s">
        <v>39</v>
      </c>
      <c r="B5" s="24" t="s">
        <v>39</v>
      </c>
      <c r="C5" s="21" t="s">
        <v>39</v>
      </c>
      <c r="D5" s="25" t="s">
        <v>40</v>
      </c>
      <c r="E5" s="24" t="s">
        <v>41</v>
      </c>
      <c r="F5" s="21" t="s">
        <v>39</v>
      </c>
      <c r="G5" s="25" t="s">
        <v>40</v>
      </c>
      <c r="H5" s="24" t="s">
        <v>41</v>
      </c>
      <c r="I5" s="25" t="s">
        <v>39</v>
      </c>
      <c r="J5" s="25" t="s">
        <v>40</v>
      </c>
      <c r="K5" s="24" t="s">
        <v>41</v>
      </c>
      <c r="M5" s="2"/>
      <c r="N5" s="2">
        <v>16</v>
      </c>
      <c r="O5" s="6"/>
      <c r="P5" s="5">
        <v>93</v>
      </c>
      <c r="Q5" s="5">
        <v>126</v>
      </c>
      <c r="R5" s="5">
        <v>205</v>
      </c>
      <c r="S5" s="6"/>
      <c r="U5" s="2"/>
      <c r="V5" s="2">
        <v>22</v>
      </c>
      <c r="W5" s="27"/>
      <c r="X5" s="27">
        <v>99</v>
      </c>
      <c r="Y5" s="27">
        <v>128</v>
      </c>
      <c r="Z5" s="27">
        <v>204</v>
      </c>
      <c r="AA5" s="6"/>
      <c r="AB5" s="6"/>
      <c r="AC5" s="6"/>
      <c r="AD5" s="6"/>
      <c r="AE5" s="6"/>
      <c r="AF5" s="6"/>
      <c r="AG5" s="6"/>
      <c r="AH5" s="6"/>
    </row>
    <row r="6" spans="1:34" x14ac:dyDescent="0.2">
      <c r="A6" s="20">
        <v>200</v>
      </c>
      <c r="B6" s="23">
        <v>280</v>
      </c>
      <c r="C6" s="20"/>
      <c r="D6" s="22"/>
      <c r="E6" s="23"/>
      <c r="F6" s="20"/>
      <c r="G6" s="22"/>
      <c r="H6" s="23"/>
      <c r="I6" s="22">
        <v>250</v>
      </c>
      <c r="J6" s="22">
        <v>0.185</v>
      </c>
      <c r="K6" s="23">
        <v>4.7</v>
      </c>
      <c r="M6" s="2"/>
      <c r="N6" s="2">
        <v>22</v>
      </c>
      <c r="O6" s="6"/>
      <c r="P6" s="5">
        <v>123</v>
      </c>
      <c r="Q6" s="5">
        <v>163</v>
      </c>
      <c r="R6" s="5">
        <v>261</v>
      </c>
      <c r="S6" s="6"/>
      <c r="U6" s="2"/>
      <c r="V6" s="2">
        <v>25</v>
      </c>
      <c r="W6" s="27">
        <v>77</v>
      </c>
      <c r="X6" s="27"/>
      <c r="Y6" s="27"/>
      <c r="Z6" s="27"/>
      <c r="AA6" s="6"/>
      <c r="AB6" s="6"/>
      <c r="AC6" s="6"/>
      <c r="AD6" s="6"/>
      <c r="AE6" s="6"/>
      <c r="AF6" s="6"/>
      <c r="AG6" s="6"/>
      <c r="AH6" s="6"/>
    </row>
    <row r="7" spans="1:34" x14ac:dyDescent="0.2">
      <c r="A7" s="20">
        <v>350</v>
      </c>
      <c r="B7" s="23">
        <v>430</v>
      </c>
      <c r="C7" s="20"/>
      <c r="D7" s="22"/>
      <c r="E7" s="23"/>
      <c r="F7" s="20">
        <v>160</v>
      </c>
      <c r="G7" s="22">
        <v>0.185</v>
      </c>
      <c r="H7" s="23">
        <v>4.5</v>
      </c>
      <c r="I7" s="22">
        <v>220</v>
      </c>
      <c r="J7" s="22">
        <v>0.255</v>
      </c>
      <c r="K7" s="23">
        <v>5.3</v>
      </c>
      <c r="M7" s="2"/>
      <c r="N7" s="2">
        <v>25</v>
      </c>
      <c r="O7" s="2">
        <v>92</v>
      </c>
      <c r="P7" s="5"/>
      <c r="Q7" s="2"/>
      <c r="R7" s="2"/>
      <c r="S7" s="2"/>
      <c r="U7" s="2"/>
      <c r="V7" s="2"/>
      <c r="W7" s="2"/>
      <c r="X7" s="5"/>
      <c r="Y7" s="2"/>
      <c r="Z7" s="2"/>
      <c r="AA7" s="2"/>
      <c r="AB7" s="2"/>
      <c r="AC7" s="2"/>
      <c r="AD7" s="2"/>
      <c r="AE7" s="2"/>
      <c r="AF7" s="2"/>
      <c r="AG7" s="2"/>
      <c r="AH7" s="2"/>
    </row>
    <row r="8" spans="1:34" ht="13.5" x14ac:dyDescent="0.25">
      <c r="A8" s="20">
        <v>500</v>
      </c>
      <c r="B8" s="23">
        <v>580</v>
      </c>
      <c r="C8" s="20">
        <v>110</v>
      </c>
      <c r="D8" s="22">
        <v>0.18</v>
      </c>
      <c r="E8" s="23">
        <v>4.0999999999999996</v>
      </c>
      <c r="F8" s="20">
        <v>160</v>
      </c>
      <c r="G8" s="22">
        <v>0.255</v>
      </c>
      <c r="H8" s="23">
        <v>5.4</v>
      </c>
      <c r="I8" s="22">
        <v>220</v>
      </c>
      <c r="J8" s="22">
        <v>0.34499999999999997</v>
      </c>
      <c r="K8" s="23">
        <v>7.1</v>
      </c>
      <c r="M8" s="1" t="s">
        <v>14</v>
      </c>
      <c r="N8" s="2"/>
      <c r="O8" s="4" t="s">
        <v>2</v>
      </c>
      <c r="P8" s="5"/>
      <c r="Q8" s="2"/>
      <c r="R8" s="2"/>
      <c r="S8" s="2"/>
      <c r="U8" s="1" t="s">
        <v>14</v>
      </c>
      <c r="V8" s="2"/>
      <c r="W8" s="4" t="s">
        <v>2</v>
      </c>
      <c r="X8" s="5"/>
      <c r="Y8" s="2"/>
      <c r="Z8" s="2"/>
      <c r="AA8" s="2"/>
      <c r="AB8" s="2"/>
      <c r="AC8" s="2"/>
      <c r="AD8" s="2"/>
      <c r="AE8" s="2"/>
      <c r="AF8" s="2"/>
      <c r="AG8" s="2"/>
      <c r="AH8" s="2"/>
    </row>
    <row r="9" spans="1:34" x14ac:dyDescent="0.2">
      <c r="A9" s="20">
        <v>900</v>
      </c>
      <c r="B9" s="23">
        <v>980</v>
      </c>
      <c r="C9" s="20">
        <v>70</v>
      </c>
      <c r="D9" s="22">
        <v>0.20499999999999999</v>
      </c>
      <c r="E9" s="23">
        <v>5.0999999999999996</v>
      </c>
      <c r="F9" s="20">
        <v>160</v>
      </c>
      <c r="G9" s="22">
        <v>0.44</v>
      </c>
      <c r="H9" s="23">
        <v>9.6</v>
      </c>
      <c r="I9" s="22">
        <v>220</v>
      </c>
      <c r="J9" s="22">
        <v>0.57999999999999996</v>
      </c>
      <c r="K9" s="23">
        <v>12.5</v>
      </c>
      <c r="M9" s="2"/>
      <c r="N9" s="2"/>
      <c r="O9" s="5">
        <v>28</v>
      </c>
      <c r="P9" s="5">
        <v>43</v>
      </c>
      <c r="Q9" s="5">
        <v>58</v>
      </c>
      <c r="R9" s="5">
        <v>90</v>
      </c>
      <c r="S9" s="5"/>
      <c r="U9" s="2"/>
      <c r="V9" s="2"/>
      <c r="W9" s="5">
        <v>30</v>
      </c>
      <c r="X9" s="5">
        <v>45</v>
      </c>
      <c r="Y9" s="5">
        <v>60</v>
      </c>
      <c r="Z9" s="5">
        <v>100</v>
      </c>
      <c r="AA9" s="5"/>
      <c r="AB9" s="5"/>
      <c r="AC9" s="5"/>
      <c r="AD9" s="5"/>
      <c r="AE9" s="5"/>
      <c r="AF9" s="5"/>
      <c r="AG9" s="5"/>
      <c r="AH9" s="5"/>
    </row>
    <row r="10" spans="1:34" ht="13.5" x14ac:dyDescent="0.25">
      <c r="M10" s="4" t="s">
        <v>3</v>
      </c>
      <c r="N10" s="2">
        <v>7</v>
      </c>
      <c r="O10" s="26"/>
      <c r="P10" s="26"/>
      <c r="Q10" s="26"/>
      <c r="R10" s="26">
        <v>0.20499999999999999</v>
      </c>
      <c r="S10" s="2"/>
      <c r="U10" s="4" t="s">
        <v>3</v>
      </c>
      <c r="V10" s="2">
        <v>11</v>
      </c>
      <c r="W10" s="26"/>
      <c r="X10" s="26"/>
      <c r="Y10" s="26">
        <v>0.14000000000000001</v>
      </c>
      <c r="Z10" s="26">
        <v>0.24</v>
      </c>
      <c r="AA10" s="2"/>
      <c r="AB10" s="2"/>
      <c r="AC10" s="2"/>
      <c r="AD10" s="2"/>
      <c r="AE10" s="2"/>
      <c r="AF10" s="2"/>
      <c r="AG10" s="2"/>
      <c r="AH10" s="2"/>
    </row>
    <row r="11" spans="1:34" x14ac:dyDescent="0.2">
      <c r="M11" s="2"/>
      <c r="N11" s="2">
        <v>11</v>
      </c>
      <c r="O11" s="26"/>
      <c r="P11" s="26"/>
      <c r="Q11" s="26">
        <v>0.18</v>
      </c>
      <c r="R11" s="26"/>
      <c r="S11" s="8"/>
      <c r="U11" s="2"/>
      <c r="V11" s="2">
        <v>16</v>
      </c>
      <c r="W11" s="26"/>
      <c r="X11" s="26">
        <v>0.155</v>
      </c>
      <c r="Y11" s="26">
        <v>0.20499999999999999</v>
      </c>
      <c r="Z11" s="26">
        <v>0.34499999999999997</v>
      </c>
      <c r="AA11" s="8"/>
      <c r="AB11" s="8"/>
      <c r="AC11" s="8"/>
      <c r="AD11" s="8"/>
      <c r="AE11" s="8"/>
      <c r="AF11" s="8"/>
      <c r="AG11" s="8"/>
      <c r="AH11" s="8"/>
    </row>
    <row r="12" spans="1:34" x14ac:dyDescent="0.2">
      <c r="A12" t="s">
        <v>43</v>
      </c>
      <c r="M12" s="2"/>
      <c r="N12" s="2">
        <v>16</v>
      </c>
      <c r="O12" s="26"/>
      <c r="P12" s="26">
        <v>0.185</v>
      </c>
      <c r="Q12" s="26">
        <v>0.255</v>
      </c>
      <c r="R12" s="26">
        <v>0.44</v>
      </c>
      <c r="S12" s="2"/>
      <c r="U12" s="2"/>
      <c r="V12" s="2">
        <v>22</v>
      </c>
      <c r="W12" s="26"/>
      <c r="X12" s="26">
        <v>0.21</v>
      </c>
      <c r="Y12" s="26">
        <v>0.28499999999999998</v>
      </c>
      <c r="Z12" s="26">
        <v>0.48</v>
      </c>
      <c r="AA12" s="2"/>
      <c r="AB12" s="2"/>
      <c r="AC12" s="2"/>
      <c r="AD12" s="2"/>
      <c r="AE12" s="2"/>
      <c r="AF12" s="2"/>
      <c r="AG12" s="2"/>
      <c r="AH12" s="2"/>
    </row>
    <row r="13" spans="1:34" x14ac:dyDescent="0.2">
      <c r="M13" s="2"/>
      <c r="N13" s="2">
        <v>22</v>
      </c>
      <c r="O13" s="26"/>
      <c r="P13" s="26">
        <v>0.255</v>
      </c>
      <c r="Q13" s="26">
        <v>0.34499999999999997</v>
      </c>
      <c r="R13" s="26">
        <v>0.57999999999999996</v>
      </c>
      <c r="S13" s="2"/>
      <c r="U13" s="2"/>
      <c r="V13" s="2">
        <v>25</v>
      </c>
      <c r="W13" s="26">
        <v>0.16</v>
      </c>
      <c r="X13" s="26"/>
      <c r="Y13" s="26"/>
      <c r="Z13" s="26"/>
      <c r="AA13" s="2"/>
      <c r="AB13" s="2"/>
      <c r="AC13" s="2"/>
      <c r="AD13" s="2"/>
      <c r="AE13" s="2"/>
      <c r="AF13" s="2"/>
      <c r="AG13" s="2"/>
      <c r="AH13" s="2"/>
    </row>
    <row r="14" spans="1:34" x14ac:dyDescent="0.2">
      <c r="A14" s="1" t="s">
        <v>52</v>
      </c>
      <c r="M14" s="2"/>
      <c r="N14" s="2">
        <v>25</v>
      </c>
      <c r="O14" s="26">
        <v>0.185</v>
      </c>
      <c r="P14" s="26"/>
      <c r="Q14" s="26"/>
      <c r="R14" s="26"/>
      <c r="S14" s="2"/>
      <c r="U14" s="2"/>
      <c r="V14" s="2"/>
      <c r="W14" s="26"/>
      <c r="X14" s="26"/>
      <c r="Y14" s="26"/>
      <c r="Z14" s="26"/>
      <c r="AA14" s="2"/>
      <c r="AB14" s="2"/>
      <c r="AC14" s="2"/>
      <c r="AD14" s="2"/>
      <c r="AE14" s="2"/>
      <c r="AF14" s="2"/>
      <c r="AG14" s="2"/>
      <c r="AH14" s="2"/>
    </row>
    <row r="15" spans="1:34" ht="13.5" x14ac:dyDescent="0.25">
      <c r="A15" s="1"/>
      <c r="M15" s="1" t="s">
        <v>45</v>
      </c>
      <c r="N15" s="2"/>
      <c r="O15" s="4" t="s">
        <v>2</v>
      </c>
      <c r="P15" s="5"/>
      <c r="Q15" s="2"/>
      <c r="R15" s="2"/>
      <c r="U15" s="1" t="s">
        <v>45</v>
      </c>
      <c r="V15" s="2"/>
      <c r="W15" s="4" t="s">
        <v>2</v>
      </c>
      <c r="X15" s="5"/>
      <c r="Y15" s="2"/>
      <c r="Z15" s="2"/>
    </row>
    <row r="16" spans="1:34" x14ac:dyDescent="0.2">
      <c r="A16" s="1" t="s">
        <v>37</v>
      </c>
      <c r="M16" s="1" t="s">
        <v>47</v>
      </c>
      <c r="N16" s="2"/>
      <c r="O16" s="5">
        <v>28</v>
      </c>
      <c r="P16" s="5">
        <v>43</v>
      </c>
      <c r="Q16" s="5">
        <v>58</v>
      </c>
      <c r="R16" s="5">
        <v>90</v>
      </c>
      <c r="U16" s="1" t="s">
        <v>47</v>
      </c>
      <c r="V16" s="2"/>
      <c r="W16" s="5">
        <v>30</v>
      </c>
      <c r="X16" s="5">
        <v>45</v>
      </c>
      <c r="Y16" s="5">
        <v>60</v>
      </c>
      <c r="Z16" s="5">
        <v>100</v>
      </c>
    </row>
    <row r="17" spans="1:26" ht="13.5" x14ac:dyDescent="0.25">
      <c r="A17" s="17" t="s">
        <v>38</v>
      </c>
      <c r="B17" s="18" t="s">
        <v>2</v>
      </c>
      <c r="C17" s="293" t="s">
        <v>42</v>
      </c>
      <c r="D17" s="294"/>
      <c r="E17" s="294"/>
      <c r="F17" s="294"/>
      <c r="G17" s="294"/>
      <c r="H17" s="294"/>
      <c r="I17" s="294"/>
      <c r="J17" s="294"/>
      <c r="K17" s="295"/>
      <c r="M17" s="4" t="s">
        <v>3</v>
      </c>
      <c r="N17" s="2">
        <v>7</v>
      </c>
      <c r="O17" s="2"/>
      <c r="P17" s="5"/>
      <c r="Q17" s="2"/>
      <c r="R17" s="2">
        <v>136</v>
      </c>
      <c r="U17" s="4" t="s">
        <v>3</v>
      </c>
      <c r="V17" s="2">
        <v>11</v>
      </c>
      <c r="W17" s="27"/>
      <c r="X17" s="27"/>
      <c r="Y17" s="27">
        <v>89</v>
      </c>
      <c r="Z17" s="27">
        <v>149</v>
      </c>
    </row>
    <row r="18" spans="1:26" x14ac:dyDescent="0.2">
      <c r="A18" s="19" t="s">
        <v>39</v>
      </c>
      <c r="B18" s="24" t="s">
        <v>39</v>
      </c>
      <c r="C18" s="21" t="s">
        <v>39</v>
      </c>
      <c r="D18" s="25" t="s">
        <v>40</v>
      </c>
      <c r="E18" s="24" t="s">
        <v>41</v>
      </c>
      <c r="F18" s="21" t="s">
        <v>39</v>
      </c>
      <c r="G18" s="25" t="s">
        <v>40</v>
      </c>
      <c r="H18" s="24" t="s">
        <v>41</v>
      </c>
      <c r="I18" s="25" t="s">
        <v>39</v>
      </c>
      <c r="J18" s="25" t="s">
        <v>40</v>
      </c>
      <c r="K18" s="24" t="s">
        <v>41</v>
      </c>
      <c r="M18" s="2"/>
      <c r="N18" s="2">
        <v>11</v>
      </c>
      <c r="O18" s="6"/>
      <c r="P18" s="5"/>
      <c r="Q18" s="5">
        <v>112</v>
      </c>
      <c r="R18" s="6"/>
      <c r="U18" s="2"/>
      <c r="V18" s="2">
        <v>16</v>
      </c>
      <c r="W18" s="27"/>
      <c r="X18" s="27">
        <v>91</v>
      </c>
      <c r="Y18" s="27">
        <v>121</v>
      </c>
      <c r="Z18" s="27">
        <v>192</v>
      </c>
    </row>
    <row r="19" spans="1:26" x14ac:dyDescent="0.2">
      <c r="A19" s="20">
        <v>200</v>
      </c>
      <c r="B19" s="23">
        <v>300</v>
      </c>
      <c r="C19" s="20"/>
      <c r="D19" s="22"/>
      <c r="E19" s="23"/>
      <c r="F19" s="20"/>
      <c r="G19" s="22"/>
      <c r="H19" s="23"/>
      <c r="I19" s="22">
        <v>250</v>
      </c>
      <c r="J19" s="22">
        <v>0.16</v>
      </c>
      <c r="K19" s="23">
        <v>1.7</v>
      </c>
      <c r="M19" s="2"/>
      <c r="N19" s="2">
        <v>16</v>
      </c>
      <c r="O19" s="6"/>
      <c r="P19" s="5">
        <v>114</v>
      </c>
      <c r="Q19" s="5">
        <v>153</v>
      </c>
      <c r="R19" s="5">
        <v>250</v>
      </c>
      <c r="U19" s="2"/>
      <c r="V19" s="2">
        <v>22</v>
      </c>
      <c r="W19" s="27"/>
      <c r="X19" s="27">
        <v>121</v>
      </c>
      <c r="Y19" s="27">
        <v>156</v>
      </c>
      <c r="Z19" s="27">
        <v>248</v>
      </c>
    </row>
    <row r="20" spans="1:26" x14ac:dyDescent="0.2">
      <c r="A20" s="20">
        <v>350</v>
      </c>
      <c r="B20" s="23">
        <v>450</v>
      </c>
      <c r="C20" s="20"/>
      <c r="D20" s="22"/>
      <c r="E20" s="23"/>
      <c r="F20" s="20">
        <v>160</v>
      </c>
      <c r="G20" s="22">
        <v>0.155</v>
      </c>
      <c r="H20" s="23">
        <v>1.55</v>
      </c>
      <c r="I20" s="22">
        <v>220</v>
      </c>
      <c r="J20" s="22">
        <v>0.21</v>
      </c>
      <c r="K20" s="23">
        <v>2.2000000000000002</v>
      </c>
      <c r="M20" s="2"/>
      <c r="N20" s="2">
        <v>22</v>
      </c>
      <c r="O20" s="6"/>
      <c r="P20" s="5">
        <v>150</v>
      </c>
      <c r="Q20" s="5">
        <v>199</v>
      </c>
      <c r="R20" s="5">
        <v>318</v>
      </c>
      <c r="U20" s="2"/>
      <c r="V20" s="2">
        <v>25</v>
      </c>
      <c r="W20" s="27">
        <v>94</v>
      </c>
      <c r="X20" s="27"/>
      <c r="Y20" s="27"/>
      <c r="Z20" s="27"/>
    </row>
    <row r="21" spans="1:26" x14ac:dyDescent="0.2">
      <c r="A21" s="20">
        <v>500</v>
      </c>
      <c r="B21" s="23">
        <v>600</v>
      </c>
      <c r="C21" s="20">
        <v>110</v>
      </c>
      <c r="D21" s="22">
        <v>0.14000000000000001</v>
      </c>
      <c r="E21" s="23">
        <v>1.43</v>
      </c>
      <c r="F21" s="20">
        <v>160</v>
      </c>
      <c r="G21" s="22">
        <v>0.20499999999999999</v>
      </c>
      <c r="H21" s="23">
        <v>2.06</v>
      </c>
      <c r="I21" s="22">
        <v>220</v>
      </c>
      <c r="J21" s="22">
        <v>0.28499999999999998</v>
      </c>
      <c r="K21" s="23">
        <v>2.88</v>
      </c>
      <c r="M21" s="2"/>
      <c r="N21" s="2">
        <v>25</v>
      </c>
      <c r="O21" s="2">
        <v>112</v>
      </c>
      <c r="P21" s="5"/>
      <c r="Q21" s="2"/>
      <c r="R21" s="2"/>
      <c r="U21" s="2"/>
      <c r="V21" s="2"/>
      <c r="W21" s="2"/>
      <c r="X21" s="5"/>
      <c r="Y21" s="2"/>
      <c r="Z21" s="2"/>
    </row>
    <row r="22" spans="1:26" ht="13.5" x14ac:dyDescent="0.25">
      <c r="A22" s="20">
        <v>900</v>
      </c>
      <c r="B22" s="23">
        <v>1000</v>
      </c>
      <c r="C22" s="20">
        <v>110</v>
      </c>
      <c r="D22" s="22">
        <v>0.24</v>
      </c>
      <c r="E22" s="23">
        <v>2.4300000000000002</v>
      </c>
      <c r="F22" s="20">
        <v>160</v>
      </c>
      <c r="G22" s="22">
        <v>0.34499999999999997</v>
      </c>
      <c r="H22" s="23">
        <v>3.48</v>
      </c>
      <c r="I22" s="22">
        <v>220</v>
      </c>
      <c r="J22" s="22">
        <v>0.48</v>
      </c>
      <c r="K22" s="23">
        <v>4.83</v>
      </c>
      <c r="M22" s="1" t="s">
        <v>49</v>
      </c>
      <c r="N22" s="2"/>
      <c r="O22" s="4" t="s">
        <v>2</v>
      </c>
      <c r="P22" s="5"/>
      <c r="Q22" s="2"/>
      <c r="R22" s="2"/>
      <c r="U22" s="1" t="s">
        <v>49</v>
      </c>
      <c r="V22" s="2"/>
      <c r="W22" s="4" t="s">
        <v>2</v>
      </c>
      <c r="X22" s="5"/>
      <c r="Y22" s="2"/>
      <c r="Z22" s="2"/>
    </row>
    <row r="23" spans="1:26" x14ac:dyDescent="0.2">
      <c r="M23" s="1" t="s">
        <v>48</v>
      </c>
      <c r="N23" s="2"/>
      <c r="O23" s="5">
        <v>28</v>
      </c>
      <c r="P23" s="5">
        <v>43</v>
      </c>
      <c r="Q23" s="5">
        <v>58</v>
      </c>
      <c r="R23" s="5">
        <v>90</v>
      </c>
      <c r="U23" s="1" t="s">
        <v>48</v>
      </c>
      <c r="V23" s="2"/>
      <c r="W23" s="5">
        <v>30</v>
      </c>
      <c r="X23" s="5">
        <v>45</v>
      </c>
      <c r="Y23" s="5">
        <v>60</v>
      </c>
      <c r="Z23" s="5">
        <v>100</v>
      </c>
    </row>
    <row r="24" spans="1:26" ht="13.5" x14ac:dyDescent="0.25">
      <c r="M24" s="4" t="s">
        <v>3</v>
      </c>
      <c r="N24" s="2">
        <v>7</v>
      </c>
      <c r="O24" s="2"/>
      <c r="P24" s="5"/>
      <c r="Q24" s="2"/>
      <c r="R24" s="2">
        <v>124</v>
      </c>
      <c r="U24" s="4" t="s">
        <v>3</v>
      </c>
      <c r="V24" s="2">
        <v>11</v>
      </c>
      <c r="W24" s="27"/>
      <c r="X24" s="27"/>
      <c r="Y24" s="27">
        <v>81</v>
      </c>
      <c r="Z24" s="27">
        <v>136</v>
      </c>
    </row>
    <row r="25" spans="1:26" x14ac:dyDescent="0.2">
      <c r="A25" s="2" t="s">
        <v>53</v>
      </c>
      <c r="M25" s="2"/>
      <c r="N25" s="2">
        <v>11</v>
      </c>
      <c r="O25" s="6"/>
      <c r="P25" s="5"/>
      <c r="Q25" s="5">
        <v>102</v>
      </c>
      <c r="R25" s="6"/>
      <c r="U25" s="2"/>
      <c r="V25" s="2">
        <v>16</v>
      </c>
      <c r="W25" s="27"/>
      <c r="X25" s="27">
        <v>83</v>
      </c>
      <c r="Y25" s="27">
        <v>110</v>
      </c>
      <c r="Z25" s="27">
        <v>174</v>
      </c>
    </row>
    <row r="26" spans="1:26" x14ac:dyDescent="0.2">
      <c r="M26" s="2"/>
      <c r="N26" s="2">
        <v>16</v>
      </c>
      <c r="O26" s="6"/>
      <c r="P26" s="5">
        <v>103</v>
      </c>
      <c r="Q26" s="5">
        <v>139</v>
      </c>
      <c r="R26" s="5">
        <v>227</v>
      </c>
      <c r="U26" s="2"/>
      <c r="V26" s="2">
        <v>22</v>
      </c>
      <c r="W26" s="27"/>
      <c r="X26" s="27">
        <v>110</v>
      </c>
      <c r="Y26" s="27">
        <v>142</v>
      </c>
      <c r="Z26" s="27">
        <v>226</v>
      </c>
    </row>
    <row r="27" spans="1:26" x14ac:dyDescent="0.2">
      <c r="M27" s="2"/>
      <c r="N27" s="2">
        <v>22</v>
      </c>
      <c r="O27" s="6"/>
      <c r="P27" s="5">
        <v>137</v>
      </c>
      <c r="Q27" s="5">
        <v>181</v>
      </c>
      <c r="R27" s="5">
        <v>289</v>
      </c>
      <c r="U27" s="2"/>
      <c r="V27" s="2">
        <v>25</v>
      </c>
      <c r="W27" s="27">
        <v>85</v>
      </c>
      <c r="X27" s="27"/>
      <c r="Y27" s="27"/>
      <c r="Z27" s="27"/>
    </row>
    <row r="28" spans="1:26" x14ac:dyDescent="0.2">
      <c r="M28" s="2"/>
      <c r="N28" s="2">
        <v>25</v>
      </c>
      <c r="O28" s="2">
        <v>102</v>
      </c>
      <c r="P28" s="5"/>
      <c r="Q28" s="2"/>
      <c r="R28" s="2"/>
      <c r="U28" s="2"/>
      <c r="V28" s="2"/>
      <c r="W28" s="2"/>
      <c r="X28" s="5"/>
      <c r="Y28" s="2"/>
      <c r="Z28" s="2"/>
    </row>
    <row r="29" spans="1:26" ht="13.5" x14ac:dyDescent="0.25">
      <c r="M29" s="1" t="s">
        <v>50</v>
      </c>
      <c r="N29" s="2"/>
      <c r="O29" s="4" t="s">
        <v>2</v>
      </c>
      <c r="P29" s="5"/>
      <c r="Q29" s="2"/>
      <c r="R29" s="2"/>
      <c r="U29" s="1" t="s">
        <v>50</v>
      </c>
      <c r="V29" s="2"/>
      <c r="W29" s="4" t="s">
        <v>2</v>
      </c>
      <c r="X29" s="5"/>
      <c r="Y29" s="2"/>
      <c r="Z29" s="2"/>
    </row>
    <row r="30" spans="1:26" x14ac:dyDescent="0.2">
      <c r="M30" s="1" t="s">
        <v>51</v>
      </c>
      <c r="N30" s="2"/>
      <c r="O30" s="5">
        <v>28</v>
      </c>
      <c r="P30" s="5">
        <v>43</v>
      </c>
      <c r="Q30" s="5">
        <v>58</v>
      </c>
      <c r="R30" s="5">
        <v>90</v>
      </c>
      <c r="U30" s="1" t="s">
        <v>51</v>
      </c>
      <c r="V30" s="2"/>
      <c r="W30" s="5">
        <v>30</v>
      </c>
      <c r="X30" s="5">
        <v>45</v>
      </c>
      <c r="Y30" s="5">
        <v>60</v>
      </c>
      <c r="Z30" s="5">
        <v>100</v>
      </c>
    </row>
    <row r="31" spans="1:26" ht="13.5" x14ac:dyDescent="0.25">
      <c r="M31" s="4" t="s">
        <v>3</v>
      </c>
      <c r="N31" s="2">
        <v>7</v>
      </c>
      <c r="O31" s="2"/>
      <c r="P31" s="5"/>
      <c r="Q31" s="2"/>
      <c r="R31" s="2">
        <v>102</v>
      </c>
      <c r="U31" s="4" t="s">
        <v>3</v>
      </c>
      <c r="V31" s="2">
        <v>11</v>
      </c>
      <c r="W31" s="27"/>
      <c r="X31" s="27"/>
      <c r="Y31" s="27">
        <v>67</v>
      </c>
      <c r="Z31" s="27">
        <v>111</v>
      </c>
    </row>
    <row r="32" spans="1:26" x14ac:dyDescent="0.2">
      <c r="M32" s="2"/>
      <c r="N32" s="2">
        <v>11</v>
      </c>
      <c r="O32" s="6"/>
      <c r="P32" s="5"/>
      <c r="Q32" s="5">
        <v>84</v>
      </c>
      <c r="R32" s="6"/>
      <c r="U32" s="2"/>
      <c r="V32" s="2">
        <v>16</v>
      </c>
      <c r="W32" s="27"/>
      <c r="X32" s="27">
        <v>68</v>
      </c>
      <c r="Y32" s="27">
        <v>90</v>
      </c>
      <c r="Z32" s="27">
        <v>143</v>
      </c>
    </row>
    <row r="33" spans="13:26" x14ac:dyDescent="0.2">
      <c r="M33" s="2"/>
      <c r="N33" s="2">
        <v>16</v>
      </c>
      <c r="O33" s="6"/>
      <c r="P33" s="5">
        <v>85</v>
      </c>
      <c r="Q33" s="5">
        <v>114</v>
      </c>
      <c r="R33" s="5">
        <v>186</v>
      </c>
      <c r="U33" s="2"/>
      <c r="V33" s="2">
        <v>22</v>
      </c>
      <c r="W33" s="27"/>
      <c r="X33" s="27">
        <v>90</v>
      </c>
      <c r="Y33" s="27">
        <v>116</v>
      </c>
      <c r="Z33" s="27">
        <v>185</v>
      </c>
    </row>
    <row r="34" spans="13:26" x14ac:dyDescent="0.2">
      <c r="M34" s="2"/>
      <c r="N34" s="2">
        <v>22</v>
      </c>
      <c r="O34" s="6"/>
      <c r="P34" s="5">
        <v>112</v>
      </c>
      <c r="Q34" s="5">
        <v>148</v>
      </c>
      <c r="R34" s="5">
        <v>237</v>
      </c>
      <c r="U34" s="2"/>
      <c r="V34" s="2">
        <v>25</v>
      </c>
      <c r="W34" s="27">
        <v>70</v>
      </c>
      <c r="X34" s="27"/>
      <c r="Y34" s="27"/>
      <c r="Z34" s="27"/>
    </row>
    <row r="35" spans="13:26" x14ac:dyDescent="0.2">
      <c r="M35" s="2"/>
      <c r="N35" s="2">
        <v>25</v>
      </c>
      <c r="O35" s="2">
        <v>84</v>
      </c>
      <c r="P35" s="2"/>
      <c r="Q35" s="2"/>
      <c r="R35" s="2"/>
      <c r="U35" s="2"/>
      <c r="V35" s="2"/>
      <c r="W35" s="2"/>
      <c r="X35" s="2"/>
      <c r="Y35" s="2"/>
      <c r="Z35" s="2"/>
    </row>
    <row r="36" spans="13:26" ht="13.5" x14ac:dyDescent="0.25">
      <c r="M36" s="1" t="s">
        <v>56</v>
      </c>
      <c r="N36" s="2"/>
      <c r="O36" s="4" t="s">
        <v>2</v>
      </c>
      <c r="P36" s="2"/>
      <c r="Q36" s="2"/>
      <c r="R36" s="2"/>
      <c r="U36" s="1" t="s">
        <v>56</v>
      </c>
      <c r="V36" s="2"/>
      <c r="W36" s="4" t="s">
        <v>2</v>
      </c>
      <c r="X36" s="2"/>
      <c r="Y36" s="2"/>
      <c r="Z36" s="2"/>
    </row>
    <row r="37" spans="13:26" x14ac:dyDescent="0.2">
      <c r="M37" s="1" t="s">
        <v>46</v>
      </c>
      <c r="N37" s="2"/>
      <c r="O37" s="5">
        <v>28</v>
      </c>
      <c r="P37" s="5">
        <v>43</v>
      </c>
      <c r="Q37" s="5">
        <v>58</v>
      </c>
      <c r="R37" s="5">
        <v>90</v>
      </c>
      <c r="U37" s="1" t="s">
        <v>46</v>
      </c>
      <c r="V37" s="2"/>
      <c r="W37" s="5">
        <v>30</v>
      </c>
      <c r="X37" s="5">
        <v>45</v>
      </c>
      <c r="Y37" s="5">
        <v>60</v>
      </c>
      <c r="Z37" s="5">
        <v>100</v>
      </c>
    </row>
    <row r="38" spans="13:26" ht="13.5" x14ac:dyDescent="0.25">
      <c r="M38" s="4" t="s">
        <v>3</v>
      </c>
      <c r="N38" s="2">
        <v>7</v>
      </c>
      <c r="O38" s="2"/>
      <c r="P38" s="2"/>
      <c r="Q38" s="2"/>
      <c r="R38" s="11">
        <f>R3*('Basis Radiator'!$E$62/'Basis Radiator'!$F$62)^1.3</f>
        <v>89.060246188337004</v>
      </c>
      <c r="U38" s="4" t="s">
        <v>3</v>
      </c>
      <c r="V38" s="2">
        <v>11</v>
      </c>
      <c r="W38" s="2"/>
      <c r="X38" s="2"/>
      <c r="Y38" s="11">
        <f>Y3*('Basis Radiator'!$E$62/'Basis Radiator'!$F$62)^1.3</f>
        <v>58.048196176326798</v>
      </c>
      <c r="Z38" s="2">
        <v>112</v>
      </c>
    </row>
    <row r="39" spans="13:26" x14ac:dyDescent="0.2">
      <c r="M39" s="2"/>
      <c r="N39" s="2">
        <v>11</v>
      </c>
      <c r="O39" s="6"/>
      <c r="P39" s="6"/>
      <c r="Q39" s="11">
        <f>Q4*('Basis Radiator'!$E$62/'Basis Radiator'!$F$62)^1.3</f>
        <v>73.156630797562542</v>
      </c>
      <c r="R39" s="6"/>
      <c r="U39" s="2"/>
      <c r="V39" s="2">
        <v>16</v>
      </c>
      <c r="W39" s="6"/>
      <c r="X39" s="11">
        <f>X4*('Basis Radiator'!$E$62/'Basis Radiator'!$F$62)^1.3</f>
        <v>58.843376945865522</v>
      </c>
      <c r="Y39" s="11">
        <f>Y4*('Basis Radiator'!$E$62/'Basis Radiator'!$F$62)^1.3</f>
        <v>78.722896184333607</v>
      </c>
      <c r="Z39" s="11">
        <f>Z4*('Basis Radiator'!$E$62/'Basis Radiator'!$F$62)^1.3</f>
        <v>124.84338081757956</v>
      </c>
    </row>
    <row r="40" spans="13:26" x14ac:dyDescent="0.2">
      <c r="M40" s="2"/>
      <c r="N40" s="2">
        <v>16</v>
      </c>
      <c r="O40" s="6"/>
      <c r="P40" s="11">
        <f>P5*('Basis Radiator'!$E$62/'Basis Radiator'!$F$62)^1.3</f>
        <v>73.951811567101274</v>
      </c>
      <c r="Q40" s="11">
        <f>Q5*('Basis Radiator'!$E$62/'Basis Radiator'!$F$62)^1.3</f>
        <v>100.19277696187913</v>
      </c>
      <c r="R40" s="11">
        <f>R5*('Basis Radiator'!$E$62/'Basis Radiator'!$F$62)^1.3</f>
        <v>163.01205775543826</v>
      </c>
      <c r="U40" s="2"/>
      <c r="V40" s="2">
        <v>22</v>
      </c>
      <c r="W40" s="6"/>
      <c r="X40" s="11">
        <f>X5*('Basis Radiator'!$E$62/'Basis Radiator'!$F$62)^1.3</f>
        <v>78.722896184333607</v>
      </c>
      <c r="Y40" s="11">
        <f>Y5*('Basis Radiator'!$E$62/'Basis Radiator'!$F$62)^1.3</f>
        <v>101.78313850095658</v>
      </c>
      <c r="Z40" s="11">
        <f>Z5*('Basis Radiator'!$E$62/'Basis Radiator'!$F$62)^1.3</f>
        <v>162.21687698589955</v>
      </c>
    </row>
    <row r="41" spans="13:26" x14ac:dyDescent="0.2">
      <c r="M41" s="2"/>
      <c r="N41" s="2">
        <v>22</v>
      </c>
      <c r="O41" s="6"/>
      <c r="P41" s="11">
        <f>P6*('Basis Radiator'!$E$62/'Basis Radiator'!$F$62)^1.3</f>
        <v>97.807234653262967</v>
      </c>
      <c r="Q41" s="11">
        <f>Q6*('Basis Radiator'!$E$62/'Basis Radiator'!$F$62)^1.3</f>
        <v>129.6144654348119</v>
      </c>
      <c r="R41" s="11">
        <f>R6*('Basis Radiator'!$E$62/'Basis Radiator'!$F$62)^1.3</f>
        <v>207.54218084960678</v>
      </c>
      <c r="U41" s="2"/>
      <c r="V41" s="2">
        <v>25</v>
      </c>
      <c r="W41" s="11">
        <f>W6*('Basis Radiator'!$E$62/'Basis Radiator'!$F$62)^1.3</f>
        <v>61.228919254481696</v>
      </c>
      <c r="X41" s="11"/>
      <c r="Y41" s="11"/>
      <c r="Z41" s="11"/>
    </row>
    <row r="42" spans="13:26" x14ac:dyDescent="0.2">
      <c r="M42" s="2"/>
      <c r="N42" s="2">
        <v>25</v>
      </c>
      <c r="O42" s="11">
        <f>O7*('Basis Radiator'!$E$62/'Basis Radiator'!$F$62)^1.3</f>
        <v>73.156630797562542</v>
      </c>
      <c r="P42" s="5"/>
      <c r="Q42" s="2"/>
      <c r="R42" s="2"/>
      <c r="U42" s="2"/>
      <c r="V42" s="2"/>
      <c r="W42" s="11"/>
      <c r="X42" s="5"/>
      <c r="Y42" s="2"/>
      <c r="Z42" s="2"/>
    </row>
    <row r="44" spans="13:26" x14ac:dyDescent="0.2">
      <c r="O44" t="s">
        <v>57</v>
      </c>
    </row>
    <row r="45" spans="13:26" x14ac:dyDescent="0.2">
      <c r="N45" s="1" t="s">
        <v>14</v>
      </c>
      <c r="O45" s="1" t="s">
        <v>58</v>
      </c>
      <c r="P45" t="s">
        <v>59</v>
      </c>
    </row>
    <row r="46" spans="13:26" x14ac:dyDescent="0.2">
      <c r="M46" s="1"/>
      <c r="N46" s="28">
        <f>Q11</f>
        <v>0.18</v>
      </c>
      <c r="O46" s="29">
        <f>Q39</f>
        <v>73.156630797562542</v>
      </c>
      <c r="P46" s="30">
        <f>Q4</f>
        <v>92</v>
      </c>
    </row>
    <row r="47" spans="13:26" x14ac:dyDescent="0.2">
      <c r="N47" s="28">
        <f>O14</f>
        <v>0.185</v>
      </c>
      <c r="O47" s="29">
        <f>O42</f>
        <v>73.156630797562542</v>
      </c>
      <c r="P47" s="30">
        <f>P5</f>
        <v>93</v>
      </c>
    </row>
    <row r="48" spans="13:26" x14ac:dyDescent="0.2">
      <c r="N48" s="28">
        <f>P12</f>
        <v>0.185</v>
      </c>
      <c r="O48" s="29">
        <f>P40</f>
        <v>73.951811567101274</v>
      </c>
      <c r="P48">
        <f>O7</f>
        <v>92</v>
      </c>
    </row>
    <row r="49" spans="14:16" x14ac:dyDescent="0.2">
      <c r="N49" s="28">
        <f>R10</f>
        <v>0.20499999999999999</v>
      </c>
      <c r="O49" s="29">
        <f>R38</f>
        <v>89.060246188337004</v>
      </c>
      <c r="P49">
        <f>R3</f>
        <v>112</v>
      </c>
    </row>
    <row r="50" spans="14:16" x14ac:dyDescent="0.2">
      <c r="N50" s="28">
        <f>P13</f>
        <v>0.255</v>
      </c>
      <c r="O50" s="29">
        <f>P41</f>
        <v>97.807234653262967</v>
      </c>
      <c r="P50" s="30">
        <f>P6</f>
        <v>123</v>
      </c>
    </row>
    <row r="51" spans="14:16" x14ac:dyDescent="0.2">
      <c r="N51" s="28">
        <f>Q12</f>
        <v>0.255</v>
      </c>
      <c r="O51" s="29">
        <f>Q40</f>
        <v>100.19277696187913</v>
      </c>
      <c r="P51" s="30">
        <f>Q5</f>
        <v>126</v>
      </c>
    </row>
    <row r="52" spans="14:16" x14ac:dyDescent="0.2">
      <c r="N52" s="28">
        <f>Q13</f>
        <v>0.34499999999999997</v>
      </c>
      <c r="O52" s="29">
        <f>Q41</f>
        <v>129.6144654348119</v>
      </c>
      <c r="P52" s="30">
        <f>Q6</f>
        <v>163</v>
      </c>
    </row>
    <row r="53" spans="14:16" x14ac:dyDescent="0.2">
      <c r="N53" s="28">
        <f>R12</f>
        <v>0.44</v>
      </c>
      <c r="O53" s="29">
        <f>R40</f>
        <v>163.01205775543826</v>
      </c>
      <c r="P53" s="30">
        <f>R5</f>
        <v>205</v>
      </c>
    </row>
    <row r="54" spans="14:16" x14ac:dyDescent="0.2">
      <c r="N54" s="28">
        <f>R13</f>
        <v>0.57999999999999996</v>
      </c>
      <c r="O54" s="29">
        <f>R41</f>
        <v>207.54218084960678</v>
      </c>
      <c r="P54" s="30">
        <f>R6</f>
        <v>261</v>
      </c>
    </row>
  </sheetData>
  <mergeCells count="2">
    <mergeCell ref="C4:K4"/>
    <mergeCell ref="C17:K17"/>
  </mergeCells>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BA11A-E2CA-4899-BCA9-9D3B66BACA04}">
  <dimension ref="A1:AI80"/>
  <sheetViews>
    <sheetView topLeftCell="R1" zoomScale="85" zoomScaleNormal="85" workbookViewId="0">
      <selection activeCell="AA2" sqref="AA2"/>
    </sheetView>
  </sheetViews>
  <sheetFormatPr baseColWidth="10" defaultRowHeight="12.75" x14ac:dyDescent="0.2"/>
  <cols>
    <col min="1" max="1" width="14.28515625" bestFit="1" customWidth="1"/>
    <col min="12" max="12" width="16.85546875" customWidth="1"/>
    <col min="13" max="13" width="20.5703125" customWidth="1"/>
    <col min="14" max="14" width="15.85546875" customWidth="1"/>
  </cols>
  <sheetData>
    <row r="1" spans="1:34" ht="13.5" thickBot="1" x14ac:dyDescent="0.25">
      <c r="A1" s="1" t="s">
        <v>426</v>
      </c>
      <c r="K1" s="43" t="s">
        <v>86</v>
      </c>
      <c r="Q1" s="2" t="s">
        <v>142</v>
      </c>
    </row>
    <row r="2" spans="1:34" ht="39" thickBot="1" x14ac:dyDescent="0.25">
      <c r="C2" s="2" t="s">
        <v>63</v>
      </c>
      <c r="D2" s="2" t="s">
        <v>87</v>
      </c>
      <c r="F2" s="2" t="s">
        <v>63</v>
      </c>
      <c r="G2" s="2" t="s">
        <v>62</v>
      </c>
      <c r="L2" s="33" t="s">
        <v>67</v>
      </c>
      <c r="M2" s="34" t="s">
        <v>68</v>
      </c>
      <c r="N2" s="35" t="s">
        <v>69</v>
      </c>
      <c r="Q2" s="45" t="s">
        <v>141</v>
      </c>
      <c r="R2" s="44" t="s">
        <v>121</v>
      </c>
      <c r="S2" s="1" t="s">
        <v>144</v>
      </c>
      <c r="AA2" s="45" t="s">
        <v>143</v>
      </c>
      <c r="AB2" s="44" t="s">
        <v>121</v>
      </c>
    </row>
    <row r="3" spans="1:34" ht="13.5" thickBot="1" x14ac:dyDescent="0.25">
      <c r="A3" s="2" t="s">
        <v>60</v>
      </c>
      <c r="C3">
        <v>0.25</v>
      </c>
      <c r="D3" s="2" t="s">
        <v>61</v>
      </c>
      <c r="F3" s="2" t="s">
        <v>66</v>
      </c>
      <c r="G3" s="2" t="s">
        <v>89</v>
      </c>
      <c r="L3" s="36" t="s">
        <v>70</v>
      </c>
      <c r="M3" s="31" t="s">
        <v>71</v>
      </c>
      <c r="N3" s="37">
        <v>0.95</v>
      </c>
      <c r="P3" s="44" t="s">
        <v>122</v>
      </c>
      <c r="R3">
        <v>17.2</v>
      </c>
      <c r="S3">
        <v>21.3</v>
      </c>
      <c r="T3">
        <v>26.9</v>
      </c>
      <c r="U3">
        <v>33.700000000000003</v>
      </c>
      <c r="V3">
        <v>42.4</v>
      </c>
      <c r="W3">
        <v>48.3</v>
      </c>
      <c r="X3">
        <v>60.3</v>
      </c>
      <c r="Z3" s="44" t="s">
        <v>122</v>
      </c>
      <c r="AB3">
        <v>17.2</v>
      </c>
      <c r="AC3">
        <v>21.3</v>
      </c>
      <c r="AD3">
        <v>26.9</v>
      </c>
      <c r="AE3">
        <v>33.700000000000003</v>
      </c>
      <c r="AF3">
        <v>42.4</v>
      </c>
      <c r="AG3">
        <v>48.3</v>
      </c>
      <c r="AH3">
        <v>60.3</v>
      </c>
    </row>
    <row r="4" spans="1:34" ht="13.5" thickBot="1" x14ac:dyDescent="0.25">
      <c r="A4" s="2" t="s">
        <v>90</v>
      </c>
      <c r="C4">
        <v>0.4</v>
      </c>
      <c r="D4" s="2" t="s">
        <v>91</v>
      </c>
      <c r="F4" s="2" t="s">
        <v>65</v>
      </c>
      <c r="G4" s="2" t="s">
        <v>88</v>
      </c>
      <c r="L4" s="38"/>
      <c r="M4" s="32" t="s">
        <v>72</v>
      </c>
      <c r="N4" s="39">
        <v>0.9</v>
      </c>
      <c r="Q4">
        <v>10</v>
      </c>
      <c r="U4">
        <v>10.8</v>
      </c>
      <c r="V4">
        <v>13.25</v>
      </c>
      <c r="W4">
        <v>14.9</v>
      </c>
      <c r="X4">
        <v>17.3</v>
      </c>
      <c r="AA4">
        <v>10</v>
      </c>
      <c r="AE4">
        <v>11.8</v>
      </c>
      <c r="AF4">
        <v>13.25</v>
      </c>
      <c r="AG4">
        <v>14.9</v>
      </c>
      <c r="AH4">
        <v>17.3</v>
      </c>
    </row>
    <row r="5" spans="1:34" ht="13.5" thickBot="1" x14ac:dyDescent="0.25">
      <c r="A5" s="2" t="s">
        <v>94</v>
      </c>
      <c r="C5">
        <v>0.25</v>
      </c>
      <c r="D5" s="2" t="s">
        <v>92</v>
      </c>
      <c r="F5" s="2" t="s">
        <v>64</v>
      </c>
      <c r="G5" s="2" t="s">
        <v>120</v>
      </c>
      <c r="L5" s="36" t="s">
        <v>73</v>
      </c>
      <c r="M5" s="31" t="s">
        <v>74</v>
      </c>
      <c r="N5" s="37">
        <v>0.4</v>
      </c>
      <c r="Q5">
        <v>12</v>
      </c>
      <c r="T5">
        <v>10.9</v>
      </c>
      <c r="U5">
        <v>13.4</v>
      </c>
      <c r="V5">
        <v>16.8</v>
      </c>
      <c r="W5">
        <v>17</v>
      </c>
      <c r="X5">
        <v>22</v>
      </c>
      <c r="AA5">
        <v>12</v>
      </c>
      <c r="AE5">
        <v>11.6</v>
      </c>
      <c r="AF5">
        <v>14.7</v>
      </c>
      <c r="AG5">
        <v>16.8</v>
      </c>
      <c r="AH5">
        <v>19.5</v>
      </c>
    </row>
    <row r="6" spans="1:34" ht="13.5" thickBot="1" x14ac:dyDescent="0.25">
      <c r="A6" s="2" t="s">
        <v>95</v>
      </c>
      <c r="C6">
        <v>0.15</v>
      </c>
      <c r="D6" s="2" t="s">
        <v>93</v>
      </c>
      <c r="L6" s="38"/>
      <c r="M6" s="32" t="s">
        <v>75</v>
      </c>
      <c r="N6" s="39">
        <v>0.35</v>
      </c>
      <c r="Q6">
        <v>14</v>
      </c>
      <c r="S6">
        <v>10.4</v>
      </c>
      <c r="T6">
        <v>12.8</v>
      </c>
      <c r="U6">
        <v>15.2</v>
      </c>
      <c r="V6">
        <v>20</v>
      </c>
      <c r="W6">
        <v>22.5</v>
      </c>
      <c r="X6">
        <v>26</v>
      </c>
      <c r="AA6">
        <v>14</v>
      </c>
      <c r="AD6">
        <v>10.8</v>
      </c>
      <c r="AE6">
        <v>13.8</v>
      </c>
      <c r="AF6">
        <v>17</v>
      </c>
      <c r="AG6">
        <v>20</v>
      </c>
      <c r="AH6">
        <v>23.5</v>
      </c>
    </row>
    <row r="7" spans="1:34" ht="13.5" thickBot="1" x14ac:dyDescent="0.25">
      <c r="A7" s="2" t="s">
        <v>96</v>
      </c>
      <c r="C7">
        <v>0</v>
      </c>
      <c r="D7">
        <v>0.11</v>
      </c>
      <c r="L7" s="36" t="s">
        <v>76</v>
      </c>
      <c r="M7" s="31" t="s">
        <v>77</v>
      </c>
      <c r="N7" s="37">
        <v>0.4</v>
      </c>
      <c r="Q7">
        <v>16</v>
      </c>
      <c r="R7">
        <v>10.4</v>
      </c>
      <c r="S7">
        <v>11.8</v>
      </c>
      <c r="T7">
        <v>15</v>
      </c>
      <c r="U7">
        <v>18.2</v>
      </c>
      <c r="V7">
        <v>22.5</v>
      </c>
      <c r="W7">
        <v>25</v>
      </c>
      <c r="X7">
        <v>30</v>
      </c>
      <c r="AA7">
        <v>16</v>
      </c>
      <c r="AC7">
        <v>10.1</v>
      </c>
      <c r="AD7">
        <v>12.8</v>
      </c>
      <c r="AE7">
        <v>16</v>
      </c>
      <c r="AF7">
        <v>20</v>
      </c>
      <c r="AG7">
        <v>22.8</v>
      </c>
      <c r="AH7">
        <v>27</v>
      </c>
    </row>
    <row r="8" spans="1:34" ht="13.5" thickBot="1" x14ac:dyDescent="0.25">
      <c r="A8" s="2" t="s">
        <v>97</v>
      </c>
      <c r="D8" s="2" t="s">
        <v>98</v>
      </c>
      <c r="L8" s="38"/>
      <c r="M8" s="32" t="s">
        <v>78</v>
      </c>
      <c r="N8" s="39">
        <v>0.25</v>
      </c>
      <c r="Q8">
        <v>18</v>
      </c>
      <c r="R8">
        <v>11.8</v>
      </c>
      <c r="S8">
        <v>14.8</v>
      </c>
      <c r="T8">
        <v>17.5</v>
      </c>
      <c r="U8">
        <v>21.5</v>
      </c>
      <c r="V8">
        <v>26</v>
      </c>
      <c r="W8">
        <v>29</v>
      </c>
      <c r="X8">
        <v>34.5</v>
      </c>
      <c r="AA8">
        <v>18</v>
      </c>
      <c r="AC8">
        <v>12</v>
      </c>
      <c r="AD8">
        <v>14.8</v>
      </c>
      <c r="AE8">
        <v>18.5</v>
      </c>
      <c r="AF8">
        <v>23.4</v>
      </c>
      <c r="AG8">
        <v>26.5</v>
      </c>
      <c r="AH8">
        <v>31.5</v>
      </c>
    </row>
    <row r="9" spans="1:34" ht="13.5" thickBot="1" x14ac:dyDescent="0.25">
      <c r="L9" s="36"/>
      <c r="M9" s="31" t="s">
        <v>79</v>
      </c>
      <c r="N9" s="37">
        <v>0.2</v>
      </c>
      <c r="Q9">
        <v>20</v>
      </c>
      <c r="R9">
        <v>13.2</v>
      </c>
      <c r="S9">
        <v>16</v>
      </c>
      <c r="T9">
        <v>19.5</v>
      </c>
      <c r="U9">
        <v>23.8</v>
      </c>
      <c r="V9">
        <v>29.5</v>
      </c>
      <c r="W9">
        <v>33</v>
      </c>
      <c r="X9">
        <v>39</v>
      </c>
      <c r="AA9">
        <v>20</v>
      </c>
      <c r="AB9">
        <v>10.9</v>
      </c>
      <c r="AC9">
        <v>13</v>
      </c>
      <c r="AD9">
        <v>16.8</v>
      </c>
      <c r="AE9">
        <v>20.9</v>
      </c>
      <c r="AF9">
        <v>26</v>
      </c>
      <c r="AG9">
        <v>29.5</v>
      </c>
      <c r="AH9">
        <v>35</v>
      </c>
    </row>
    <row r="10" spans="1:34" ht="26.25" thickBot="1" x14ac:dyDescent="0.25">
      <c r="A10" s="2" t="s">
        <v>114</v>
      </c>
      <c r="C10" s="2" t="s">
        <v>64</v>
      </c>
      <c r="L10" s="38" t="s">
        <v>80</v>
      </c>
      <c r="M10" s="32" t="s">
        <v>81</v>
      </c>
      <c r="N10" s="39">
        <v>0.55000000000000004</v>
      </c>
      <c r="Q10">
        <v>25</v>
      </c>
      <c r="R10">
        <v>17.5</v>
      </c>
      <c r="S10">
        <v>21.2</v>
      </c>
      <c r="T10">
        <v>25.5</v>
      </c>
      <c r="U10">
        <v>31.4</v>
      </c>
      <c r="V10">
        <v>38.5</v>
      </c>
      <c r="W10">
        <v>42.5</v>
      </c>
      <c r="X10">
        <v>50.5</v>
      </c>
      <c r="AA10">
        <v>25</v>
      </c>
      <c r="AB10">
        <v>14</v>
      </c>
      <c r="AC10">
        <v>17.5</v>
      </c>
      <c r="AD10">
        <v>22</v>
      </c>
      <c r="AE10">
        <v>27</v>
      </c>
      <c r="AF10">
        <v>34</v>
      </c>
      <c r="AG10">
        <v>39</v>
      </c>
      <c r="AH10">
        <v>46</v>
      </c>
    </row>
    <row r="11" spans="1:34" ht="13.5" thickBot="1" x14ac:dyDescent="0.25">
      <c r="A11" s="1" t="s">
        <v>113</v>
      </c>
      <c r="C11" s="2" t="s">
        <v>118</v>
      </c>
      <c r="L11" s="36"/>
      <c r="M11" s="31" t="s">
        <v>28</v>
      </c>
      <c r="N11" s="37">
        <v>0.35</v>
      </c>
      <c r="Q11">
        <v>30</v>
      </c>
      <c r="R11">
        <v>22</v>
      </c>
      <c r="S11">
        <v>26.2</v>
      </c>
      <c r="T11">
        <v>32</v>
      </c>
      <c r="U11">
        <v>39.5</v>
      </c>
      <c r="V11">
        <v>48</v>
      </c>
      <c r="W11">
        <v>53</v>
      </c>
      <c r="X11">
        <v>63.5</v>
      </c>
      <c r="AA11">
        <v>30</v>
      </c>
      <c r="AB11">
        <v>17.5</v>
      </c>
      <c r="AC11">
        <v>22</v>
      </c>
      <c r="AD11">
        <v>27</v>
      </c>
      <c r="AE11">
        <v>34</v>
      </c>
      <c r="AF11">
        <v>43</v>
      </c>
      <c r="AG11">
        <v>48</v>
      </c>
      <c r="AH11">
        <v>57</v>
      </c>
    </row>
    <row r="12" spans="1:34" ht="13.5" thickBot="1" x14ac:dyDescent="0.25">
      <c r="A12" s="2" t="s">
        <v>115</v>
      </c>
      <c r="C12" s="2" t="s">
        <v>119</v>
      </c>
      <c r="L12" s="38"/>
      <c r="M12" s="32" t="s">
        <v>31</v>
      </c>
      <c r="N12" s="39">
        <v>0.3</v>
      </c>
      <c r="Q12">
        <v>35</v>
      </c>
      <c r="R12">
        <v>25.5</v>
      </c>
      <c r="S12">
        <v>31.4</v>
      </c>
      <c r="T12">
        <v>36</v>
      </c>
      <c r="U12">
        <v>48</v>
      </c>
      <c r="V12">
        <v>60</v>
      </c>
      <c r="W12">
        <v>63</v>
      </c>
      <c r="X12">
        <v>75</v>
      </c>
      <c r="AA12">
        <v>35</v>
      </c>
      <c r="AB12">
        <v>21</v>
      </c>
      <c r="AC12">
        <v>26</v>
      </c>
      <c r="AD12">
        <v>34</v>
      </c>
      <c r="AE12">
        <v>41</v>
      </c>
      <c r="AF12">
        <v>52</v>
      </c>
      <c r="AG12">
        <v>59.5</v>
      </c>
      <c r="AH12">
        <v>70</v>
      </c>
    </row>
    <row r="13" spans="1:34" ht="13.5" thickBot="1" x14ac:dyDescent="0.25">
      <c r="A13" s="2" t="s">
        <v>116</v>
      </c>
      <c r="C13">
        <v>0.15</v>
      </c>
      <c r="L13" s="36"/>
      <c r="M13" s="31" t="s">
        <v>32</v>
      </c>
      <c r="N13" s="37">
        <v>0.25</v>
      </c>
      <c r="Q13">
        <v>40</v>
      </c>
      <c r="R13">
        <v>31</v>
      </c>
      <c r="S13">
        <v>37</v>
      </c>
      <c r="T13">
        <v>45</v>
      </c>
      <c r="U13">
        <v>56</v>
      </c>
      <c r="V13">
        <v>68</v>
      </c>
      <c r="W13">
        <v>77</v>
      </c>
      <c r="X13">
        <v>89</v>
      </c>
      <c r="AA13">
        <v>40</v>
      </c>
      <c r="AB13">
        <v>24.5</v>
      </c>
      <c r="AC13">
        <v>30.3</v>
      </c>
      <c r="AD13">
        <v>38.9</v>
      </c>
      <c r="AE13">
        <v>48.5</v>
      </c>
      <c r="AF13">
        <v>60</v>
      </c>
      <c r="AG13">
        <v>68.5</v>
      </c>
      <c r="AH13">
        <v>80</v>
      </c>
    </row>
    <row r="14" spans="1:34" ht="13.5" thickBot="1" x14ac:dyDescent="0.25">
      <c r="A14" s="2" t="s">
        <v>117</v>
      </c>
      <c r="C14">
        <v>0.05</v>
      </c>
      <c r="L14" s="38"/>
      <c r="M14" s="32" t="s">
        <v>33</v>
      </c>
      <c r="N14" s="39">
        <v>0.2</v>
      </c>
      <c r="Q14" s="49">
        <v>50</v>
      </c>
      <c r="R14" s="49">
        <v>41.5</v>
      </c>
      <c r="S14" s="49">
        <v>49.7</v>
      </c>
      <c r="T14" s="49">
        <v>59.5</v>
      </c>
      <c r="U14" s="49">
        <v>73</v>
      </c>
      <c r="V14" s="49">
        <v>90</v>
      </c>
      <c r="W14" s="49">
        <v>101</v>
      </c>
      <c r="X14" s="49">
        <v>120</v>
      </c>
      <c r="AA14" s="49">
        <v>50</v>
      </c>
      <c r="AB14" s="49">
        <v>32.5</v>
      </c>
      <c r="AC14" s="49">
        <v>40</v>
      </c>
      <c r="AD14" s="49">
        <v>50.5</v>
      </c>
      <c r="AE14" s="49">
        <v>62.5</v>
      </c>
      <c r="AF14" s="49">
        <v>79</v>
      </c>
      <c r="AG14" s="49">
        <v>90</v>
      </c>
      <c r="AH14" s="49">
        <v>109</v>
      </c>
    </row>
    <row r="15" spans="1:34" ht="39" thickBot="1" x14ac:dyDescent="0.25">
      <c r="L15" s="36" t="s">
        <v>82</v>
      </c>
      <c r="M15" s="31" t="s">
        <v>83</v>
      </c>
      <c r="N15" s="37">
        <v>0.05</v>
      </c>
      <c r="Q15">
        <v>60</v>
      </c>
      <c r="R15">
        <v>51</v>
      </c>
      <c r="S15">
        <v>61</v>
      </c>
      <c r="T15">
        <v>74.5</v>
      </c>
      <c r="U15">
        <v>91</v>
      </c>
      <c r="V15">
        <v>114</v>
      </c>
      <c r="W15">
        <v>128</v>
      </c>
      <c r="X15">
        <v>150</v>
      </c>
      <c r="AA15">
        <v>60</v>
      </c>
      <c r="AB15">
        <v>40</v>
      </c>
      <c r="AC15">
        <v>50</v>
      </c>
      <c r="AD15">
        <v>63.5</v>
      </c>
      <c r="AE15">
        <v>79</v>
      </c>
      <c r="AF15">
        <v>100</v>
      </c>
      <c r="AG15">
        <v>114</v>
      </c>
      <c r="AH15">
        <v>136</v>
      </c>
    </row>
    <row r="16" spans="1:34" ht="13.5" thickBot="1" x14ac:dyDescent="0.25">
      <c r="L16" s="40"/>
      <c r="M16" s="41" t="s">
        <v>84</v>
      </c>
      <c r="N16" s="42" t="s">
        <v>85</v>
      </c>
      <c r="Q16">
        <v>70</v>
      </c>
      <c r="R16">
        <v>62.5</v>
      </c>
      <c r="S16">
        <v>75</v>
      </c>
      <c r="T16">
        <v>91</v>
      </c>
      <c r="U16">
        <v>112</v>
      </c>
      <c r="V16">
        <v>140</v>
      </c>
      <c r="W16">
        <v>157</v>
      </c>
      <c r="X16">
        <v>180</v>
      </c>
      <c r="AA16">
        <v>70</v>
      </c>
      <c r="AB16">
        <v>49.5</v>
      </c>
      <c r="AC16">
        <v>61</v>
      </c>
      <c r="AD16">
        <v>77</v>
      </c>
      <c r="AE16">
        <v>96</v>
      </c>
      <c r="AF16">
        <v>123</v>
      </c>
      <c r="AG16">
        <v>138</v>
      </c>
      <c r="AH16">
        <v>155</v>
      </c>
    </row>
    <row r="17" spans="1:34" x14ac:dyDescent="0.2">
      <c r="Q17">
        <v>80</v>
      </c>
      <c r="R17">
        <v>73</v>
      </c>
      <c r="S17">
        <v>99</v>
      </c>
      <c r="T17">
        <v>110</v>
      </c>
      <c r="U17">
        <v>130</v>
      </c>
      <c r="V17">
        <v>160</v>
      </c>
      <c r="W17">
        <v>180</v>
      </c>
      <c r="AA17">
        <v>80</v>
      </c>
      <c r="AB17">
        <v>59</v>
      </c>
      <c r="AC17">
        <v>74</v>
      </c>
      <c r="AD17">
        <v>93</v>
      </c>
      <c r="AE17">
        <v>113</v>
      </c>
      <c r="AF17">
        <v>145</v>
      </c>
      <c r="AG17">
        <v>160</v>
      </c>
      <c r="AH17">
        <v>195</v>
      </c>
    </row>
    <row r="18" spans="1:34" x14ac:dyDescent="0.2">
      <c r="A18" s="1" t="s">
        <v>99</v>
      </c>
      <c r="D18" s="2" t="s">
        <v>110</v>
      </c>
      <c r="R18">
        <f>E4-5*Q18^3+0.0088*Q18^2+0.4698*Q18+0.7613</f>
        <v>0.76129999999999998</v>
      </c>
    </row>
    <row r="19" spans="1:34" x14ac:dyDescent="0.2">
      <c r="A19" s="2" t="s">
        <v>100</v>
      </c>
      <c r="B19">
        <v>1.3</v>
      </c>
    </row>
    <row r="20" spans="1:34" x14ac:dyDescent="0.2">
      <c r="A20" s="2" t="s">
        <v>80</v>
      </c>
      <c r="B20" s="2" t="s">
        <v>102</v>
      </c>
    </row>
    <row r="21" spans="1:34" x14ac:dyDescent="0.2">
      <c r="A21" s="2" t="s">
        <v>101</v>
      </c>
      <c r="B21" s="2" t="s">
        <v>103</v>
      </c>
    </row>
    <row r="22" spans="1:34" x14ac:dyDescent="0.2">
      <c r="A22" s="2" t="s">
        <v>104</v>
      </c>
      <c r="B22" s="2" t="s">
        <v>108</v>
      </c>
    </row>
    <row r="23" spans="1:34" x14ac:dyDescent="0.2">
      <c r="A23" s="2" t="s">
        <v>105</v>
      </c>
      <c r="B23" s="2" t="s">
        <v>109</v>
      </c>
    </row>
    <row r="24" spans="1:34" x14ac:dyDescent="0.2">
      <c r="A24" s="2" t="s">
        <v>106</v>
      </c>
      <c r="B24" s="2" t="s">
        <v>107</v>
      </c>
      <c r="Q24" t="s">
        <v>123</v>
      </c>
      <c r="R24" t="s">
        <v>124</v>
      </c>
      <c r="S24" t="s">
        <v>125</v>
      </c>
      <c r="T24" t="s">
        <v>126</v>
      </c>
    </row>
    <row r="25" spans="1:34" x14ac:dyDescent="0.2">
      <c r="Q25" t="s">
        <v>127</v>
      </c>
      <c r="R25" t="s">
        <v>128</v>
      </c>
      <c r="S25">
        <v>17.2</v>
      </c>
      <c r="T25">
        <v>13.6</v>
      </c>
    </row>
    <row r="26" spans="1:34" x14ac:dyDescent="0.2">
      <c r="Q26" t="s">
        <v>129</v>
      </c>
      <c r="R26" t="s">
        <v>130</v>
      </c>
      <c r="S26">
        <v>21.3</v>
      </c>
      <c r="T26">
        <v>17.5</v>
      </c>
    </row>
    <row r="27" spans="1:34" x14ac:dyDescent="0.2">
      <c r="A27" s="2" t="s">
        <v>111</v>
      </c>
      <c r="Q27" t="s">
        <v>131</v>
      </c>
      <c r="R27" t="s">
        <v>132</v>
      </c>
      <c r="S27">
        <v>26.9</v>
      </c>
      <c r="T27">
        <v>22.9</v>
      </c>
    </row>
    <row r="28" spans="1:34" x14ac:dyDescent="0.2">
      <c r="A28" s="2" t="s">
        <v>112</v>
      </c>
      <c r="Q28" t="s">
        <v>133</v>
      </c>
      <c r="R28" t="s">
        <v>134</v>
      </c>
      <c r="S28">
        <v>33.700000000000003</v>
      </c>
      <c r="T28">
        <v>29.9</v>
      </c>
    </row>
    <row r="29" spans="1:34" x14ac:dyDescent="0.2">
      <c r="Q29" t="s">
        <v>135</v>
      </c>
      <c r="R29" t="s">
        <v>136</v>
      </c>
      <c r="S29">
        <v>42.4</v>
      </c>
      <c r="T29">
        <v>38</v>
      </c>
    </row>
    <row r="30" spans="1:34" x14ac:dyDescent="0.2">
      <c r="Q30" t="s">
        <v>137</v>
      </c>
      <c r="R30" t="s">
        <v>138</v>
      </c>
      <c r="S30">
        <v>48.3</v>
      </c>
      <c r="T30">
        <v>43.9</v>
      </c>
    </row>
    <row r="31" spans="1:34" x14ac:dyDescent="0.2">
      <c r="Q31" t="s">
        <v>139</v>
      </c>
      <c r="R31" t="s">
        <v>140</v>
      </c>
      <c r="S31">
        <v>60.3</v>
      </c>
      <c r="T31">
        <v>55.9</v>
      </c>
    </row>
    <row r="47" spans="24:24" x14ac:dyDescent="0.2">
      <c r="X47" s="50">
        <f>-0.00004</f>
        <v>-4.0000000000000003E-5</v>
      </c>
    </row>
    <row r="50" spans="17:35" x14ac:dyDescent="0.2">
      <c r="Q50" s="46"/>
      <c r="R50" s="46"/>
      <c r="S50" s="46"/>
      <c r="T50" s="46"/>
      <c r="U50" s="46"/>
      <c r="V50" s="46"/>
      <c r="W50" s="46"/>
      <c r="X50" s="46"/>
    </row>
    <row r="51" spans="17:35" x14ac:dyDescent="0.2">
      <c r="Q51" s="47"/>
      <c r="R51" s="47"/>
      <c r="S51" s="47"/>
      <c r="T51" s="47"/>
      <c r="U51" s="47"/>
      <c r="V51" s="47"/>
      <c r="W51" s="47"/>
      <c r="X51" s="47"/>
    </row>
    <row r="52" spans="17:35" x14ac:dyDescent="0.2">
      <c r="Q52" s="47"/>
      <c r="R52" s="47"/>
      <c r="S52" s="47"/>
      <c r="T52" s="47"/>
      <c r="U52" s="47"/>
      <c r="V52" s="47"/>
      <c r="W52" s="47"/>
      <c r="X52" s="47"/>
    </row>
    <row r="53" spans="17:35" x14ac:dyDescent="0.2">
      <c r="Q53" s="47"/>
      <c r="R53" s="47"/>
      <c r="S53" s="47"/>
      <c r="T53" s="47"/>
      <c r="U53" s="47"/>
      <c r="V53" s="47"/>
      <c r="W53" s="47"/>
      <c r="X53" s="47"/>
    </row>
    <row r="54" spans="17:35" x14ac:dyDescent="0.2">
      <c r="Q54" s="47"/>
      <c r="R54" s="47"/>
      <c r="S54" s="47"/>
      <c r="T54" s="47"/>
      <c r="U54" s="47"/>
      <c r="V54" s="47"/>
      <c r="W54" s="47"/>
      <c r="X54" s="47"/>
    </row>
    <row r="55" spans="17:35" ht="13.5" thickBot="1" x14ac:dyDescent="0.25">
      <c r="Q55" s="47"/>
      <c r="R55" s="47"/>
      <c r="S55" s="47"/>
      <c r="T55" s="47"/>
      <c r="U55" s="47"/>
      <c r="V55" s="47"/>
      <c r="W55" s="47"/>
      <c r="X55" s="47"/>
    </row>
    <row r="56" spans="17:35" ht="39" thickBot="1" x14ac:dyDescent="0.25">
      <c r="Q56" s="45" t="s">
        <v>141</v>
      </c>
      <c r="R56" s="44" t="s">
        <v>121</v>
      </c>
      <c r="S56" s="1" t="s">
        <v>144</v>
      </c>
      <c r="AB56" s="45" t="s">
        <v>143</v>
      </c>
      <c r="AC56" s="44" t="s">
        <v>121</v>
      </c>
    </row>
    <row r="57" spans="17:35" x14ac:dyDescent="0.2">
      <c r="R57">
        <v>17.2</v>
      </c>
      <c r="S57">
        <v>21.3</v>
      </c>
      <c r="T57">
        <v>26.9</v>
      </c>
      <c r="U57">
        <v>33.700000000000003</v>
      </c>
      <c r="V57">
        <v>42.4</v>
      </c>
      <c r="W57">
        <v>48.3</v>
      </c>
      <c r="X57">
        <v>60.3</v>
      </c>
      <c r="AC57">
        <v>17.2</v>
      </c>
      <c r="AD57">
        <v>21.3</v>
      </c>
      <c r="AE57">
        <v>26.9</v>
      </c>
      <c r="AF57">
        <v>33.700000000000003</v>
      </c>
      <c r="AG57">
        <v>42.4</v>
      </c>
      <c r="AH57">
        <v>48.3</v>
      </c>
      <c r="AI57">
        <v>60.3</v>
      </c>
    </row>
    <row r="58" spans="17:35" x14ac:dyDescent="0.2">
      <c r="Q58">
        <v>10</v>
      </c>
      <c r="U58" s="51">
        <f>0.005*Q58^2 + 1.2759*Q58 - 3.16</f>
        <v>10.099</v>
      </c>
      <c r="V58" s="51">
        <f>0.0064*Q58^2 + 1.5641*Q58 - 3.7326</f>
        <v>12.548399999999999</v>
      </c>
      <c r="W58" s="51">
        <f>0.008*Q58^2 + 1.6994*Q58 - 4.0845</f>
        <v>13.7095</v>
      </c>
      <c r="X58" s="51">
        <f xml:space="preserve"> 0.0106*Q58^2 + 1.8917*Q58 - 2.8417</f>
        <v>17.135299999999997</v>
      </c>
      <c r="AB58">
        <v>10</v>
      </c>
      <c r="AF58">
        <f>0.0053*AB58^2 + 1.0037*AB58 - 0.8355</f>
        <v>9.7315000000000005</v>
      </c>
      <c r="AG58">
        <f>0.0075*AB58^2 + 1.2373*AB58 - 1.2004</f>
        <v>11.922600000000001</v>
      </c>
      <c r="AH58">
        <f>0.0066*AB58^2 + 1.5296*AB58 - 2.7819</f>
        <v>13.174100000000001</v>
      </c>
      <c r="AI58">
        <f xml:space="preserve"> 0.0086*AB58^2 + 1.7426*AB58 - 2.4777</f>
        <v>15.808299999999997</v>
      </c>
    </row>
    <row r="59" spans="17:35" x14ac:dyDescent="0.2">
      <c r="Q59">
        <v>12</v>
      </c>
      <c r="T59" s="51">
        <f>0.0064*Q59^2 + 0.8663*Q59 - 0.3996</f>
        <v>10.9176</v>
      </c>
      <c r="U59" s="51">
        <f t="shared" ref="U59:U71" si="0">0.005*Q59^2 + 1.2759*Q59 - 3.16</f>
        <v>12.870799999999999</v>
      </c>
      <c r="V59" s="51">
        <f t="shared" ref="V59:V71" si="1">0.0064*Q59^2 + 1.5641*Q59 - 3.7326</f>
        <v>15.958200000000003</v>
      </c>
      <c r="W59" s="51">
        <f t="shared" ref="W59:W71" si="2">0.008*Q59^2 + 1.6994*Q59 - 4.0845</f>
        <v>17.460300000000004</v>
      </c>
      <c r="X59" s="51">
        <f t="shared" ref="X59:X71" si="3" xml:space="preserve"> 0.0106*Q59^2 + 1.8917*Q59 - 2.8417</f>
        <v>21.385099999999998</v>
      </c>
      <c r="AB59">
        <v>12</v>
      </c>
      <c r="AF59">
        <f t="shared" ref="AF59:AF71" si="4">0.0053*AB59^2 + 1.0037*AB59 - 0.8355</f>
        <v>11.972099999999999</v>
      </c>
      <c r="AG59">
        <f t="shared" ref="AG59:AG71" si="5">0.0075*AB59^2 + 1.2373*AB59 - 1.2004</f>
        <v>14.7272</v>
      </c>
      <c r="AH59">
        <f t="shared" ref="AH59:AH71" si="6">0.0066*AB59^2 + 1.5296*AB59 - 2.7819</f>
        <v>16.523699999999998</v>
      </c>
      <c r="AI59">
        <f t="shared" ref="AI59:AI71" si="7" xml:space="preserve"> 0.0086*AB59^2 + 1.7426*AB59 - 2.4777</f>
        <v>19.671900000000001</v>
      </c>
    </row>
    <row r="60" spans="17:35" x14ac:dyDescent="0.2">
      <c r="Q60">
        <v>14</v>
      </c>
      <c r="S60" s="51">
        <f>0.0082*Q60^2 + 0.5162*Q60 + 2.4882</f>
        <v>11.322199999999999</v>
      </c>
      <c r="T60" s="51">
        <f t="shared" ref="T60:T71" si="8">0.0064*Q60^2 + 0.8663*Q60 - 0.3996</f>
        <v>12.983000000000001</v>
      </c>
      <c r="U60" s="51">
        <f t="shared" si="0"/>
        <v>15.682600000000001</v>
      </c>
      <c r="V60" s="51">
        <f t="shared" si="1"/>
        <v>19.4192</v>
      </c>
      <c r="W60" s="51">
        <f t="shared" si="2"/>
        <v>21.275100000000002</v>
      </c>
      <c r="X60" s="51">
        <f t="shared" si="3"/>
        <v>25.7197</v>
      </c>
      <c r="AB60">
        <v>14</v>
      </c>
      <c r="AE60">
        <f>0.0053*AB58^2 + 1.0037*AB58 - 0.8355</f>
        <v>9.7315000000000005</v>
      </c>
      <c r="AF60">
        <f t="shared" si="4"/>
        <v>14.255100000000001</v>
      </c>
      <c r="AG60">
        <f t="shared" si="5"/>
        <v>17.591800000000003</v>
      </c>
      <c r="AH60">
        <f t="shared" si="6"/>
        <v>19.926100000000002</v>
      </c>
      <c r="AI60">
        <f t="shared" si="7"/>
        <v>23.604300000000002</v>
      </c>
    </row>
    <row r="61" spans="17:35" x14ac:dyDescent="0.2">
      <c r="Q61">
        <v>16</v>
      </c>
      <c r="R61" s="51">
        <f>0.0028*Q61^2 + 0.7173*Q61 - 2.1502</f>
        <v>10.0434</v>
      </c>
      <c r="S61" s="51">
        <f t="shared" ref="S61:S70" si="9">0.0077*Q61^2 + 0.5619*Q61 + 1.8479</f>
        <v>12.8095</v>
      </c>
      <c r="T61" s="51">
        <f t="shared" si="8"/>
        <v>15.099600000000001</v>
      </c>
      <c r="U61" s="51">
        <f t="shared" si="0"/>
        <v>18.534400000000002</v>
      </c>
      <c r="V61" s="51">
        <f t="shared" si="1"/>
        <v>22.9314</v>
      </c>
      <c r="W61" s="51">
        <f t="shared" si="2"/>
        <v>25.1539</v>
      </c>
      <c r="X61" s="51">
        <f t="shared" si="3"/>
        <v>30.139100000000003</v>
      </c>
      <c r="AB61">
        <v>16</v>
      </c>
      <c r="AD61">
        <v>10.1</v>
      </c>
      <c r="AE61">
        <f t="shared" ref="AE61:AE71" si="10">0.0053*AB59^2 + 1.0037*AB59 - 0.8355</f>
        <v>11.972099999999999</v>
      </c>
      <c r="AF61">
        <f t="shared" si="4"/>
        <v>16.580500000000001</v>
      </c>
      <c r="AG61">
        <f t="shared" si="5"/>
        <v>20.516400000000001</v>
      </c>
      <c r="AH61">
        <f t="shared" si="6"/>
        <v>23.3813</v>
      </c>
      <c r="AI61">
        <f t="shared" si="7"/>
        <v>27.605499999999999</v>
      </c>
    </row>
    <row r="62" spans="17:35" x14ac:dyDescent="0.2">
      <c r="Q62">
        <v>18</v>
      </c>
      <c r="R62" s="51">
        <f t="shared" ref="R62:R71" si="11">0.0028*Q62^2 + 0.7173*Q62 - 2.1502</f>
        <v>11.6684</v>
      </c>
      <c r="S62" s="51">
        <f t="shared" si="9"/>
        <v>14.456899999999997</v>
      </c>
      <c r="T62" s="51">
        <f t="shared" si="8"/>
        <v>17.267399999999999</v>
      </c>
      <c r="U62" s="51">
        <f t="shared" si="0"/>
        <v>21.426200000000001</v>
      </c>
      <c r="V62" s="51">
        <f t="shared" si="1"/>
        <v>26.494799999999998</v>
      </c>
      <c r="W62" s="51">
        <f t="shared" si="2"/>
        <v>29.096700000000006</v>
      </c>
      <c r="X62" s="51">
        <f t="shared" si="3"/>
        <v>34.643299999999996</v>
      </c>
      <c r="AB62">
        <v>18</v>
      </c>
      <c r="AD62">
        <v>12</v>
      </c>
      <c r="AE62">
        <f t="shared" si="10"/>
        <v>14.255100000000001</v>
      </c>
      <c r="AF62">
        <f t="shared" si="4"/>
        <v>18.9483</v>
      </c>
      <c r="AG62">
        <f t="shared" si="5"/>
        <v>23.501000000000001</v>
      </c>
      <c r="AH62">
        <f t="shared" si="6"/>
        <v>26.889300000000002</v>
      </c>
      <c r="AI62">
        <f t="shared" si="7"/>
        <v>31.6755</v>
      </c>
    </row>
    <row r="63" spans="17:35" x14ac:dyDescent="0.2">
      <c r="Q63">
        <v>20</v>
      </c>
      <c r="R63" s="51">
        <f t="shared" si="11"/>
        <v>13.315799999999999</v>
      </c>
      <c r="S63" s="51">
        <f t="shared" si="9"/>
        <v>16.165900000000001</v>
      </c>
      <c r="T63" s="51">
        <f t="shared" si="8"/>
        <v>19.4864</v>
      </c>
      <c r="U63" s="51">
        <f t="shared" si="0"/>
        <v>24.358000000000001</v>
      </c>
      <c r="V63" s="51">
        <f t="shared" si="1"/>
        <v>30.109399999999997</v>
      </c>
      <c r="W63" s="51">
        <f t="shared" si="2"/>
        <v>33.103500000000004</v>
      </c>
      <c r="X63" s="51">
        <f t="shared" si="3"/>
        <v>39.232299999999995</v>
      </c>
      <c r="AB63">
        <v>20</v>
      </c>
      <c r="AC63">
        <v>10.9</v>
      </c>
      <c r="AD63">
        <v>13</v>
      </c>
      <c r="AE63">
        <f t="shared" si="10"/>
        <v>16.580500000000001</v>
      </c>
      <c r="AF63">
        <f t="shared" si="4"/>
        <v>21.358500000000003</v>
      </c>
      <c r="AG63">
        <f t="shared" si="5"/>
        <v>26.545600000000004</v>
      </c>
      <c r="AH63">
        <f t="shared" si="6"/>
        <v>30.450099999999999</v>
      </c>
      <c r="AI63">
        <f t="shared" si="7"/>
        <v>35.814299999999996</v>
      </c>
    </row>
    <row r="64" spans="17:35" x14ac:dyDescent="0.2">
      <c r="Q64">
        <v>25</v>
      </c>
      <c r="R64" s="51">
        <f t="shared" si="11"/>
        <v>17.532299999999999</v>
      </c>
      <c r="S64" s="51">
        <f t="shared" si="9"/>
        <v>20.707899999999999</v>
      </c>
      <c r="T64" s="51">
        <f t="shared" si="8"/>
        <v>25.257899999999999</v>
      </c>
      <c r="U64" s="51">
        <f t="shared" si="0"/>
        <v>31.862500000000001</v>
      </c>
      <c r="V64" s="51">
        <f t="shared" si="1"/>
        <v>39.369900000000001</v>
      </c>
      <c r="W64" s="51">
        <f t="shared" si="2"/>
        <v>43.400500000000001</v>
      </c>
      <c r="X64" s="51">
        <f t="shared" si="3"/>
        <v>51.075799999999994</v>
      </c>
      <c r="AB64">
        <v>25</v>
      </c>
      <c r="AC64">
        <v>14</v>
      </c>
      <c r="AD64">
        <v>17.5</v>
      </c>
      <c r="AE64">
        <f t="shared" si="10"/>
        <v>18.9483</v>
      </c>
      <c r="AF64">
        <f t="shared" si="4"/>
        <v>27.569500000000001</v>
      </c>
      <c r="AG64">
        <f t="shared" si="5"/>
        <v>34.419600000000003</v>
      </c>
      <c r="AH64">
        <f t="shared" si="6"/>
        <v>39.583100000000002</v>
      </c>
      <c r="AI64">
        <f t="shared" si="7"/>
        <v>46.462299999999999</v>
      </c>
    </row>
    <row r="65" spans="17:35" x14ac:dyDescent="0.2">
      <c r="Q65">
        <v>30</v>
      </c>
      <c r="R65" s="51">
        <f t="shared" si="11"/>
        <v>21.888800000000003</v>
      </c>
      <c r="S65" s="51">
        <f t="shared" si="9"/>
        <v>25.634899999999998</v>
      </c>
      <c r="T65" s="51">
        <f t="shared" si="8"/>
        <v>31.349399999999999</v>
      </c>
      <c r="U65" s="51">
        <f t="shared" si="0"/>
        <v>39.617000000000004</v>
      </c>
      <c r="V65" s="51">
        <f t="shared" si="1"/>
        <v>48.950400000000002</v>
      </c>
      <c r="W65" s="51">
        <f t="shared" si="2"/>
        <v>54.097500000000004</v>
      </c>
      <c r="X65" s="51">
        <f t="shared" si="3"/>
        <v>63.449299999999994</v>
      </c>
      <c r="AB65">
        <v>30</v>
      </c>
      <c r="AC65">
        <v>17.5</v>
      </c>
      <c r="AD65">
        <v>22</v>
      </c>
      <c r="AE65">
        <f t="shared" si="10"/>
        <v>21.358500000000003</v>
      </c>
      <c r="AF65">
        <f t="shared" si="4"/>
        <v>34.045499999999997</v>
      </c>
      <c r="AG65">
        <f t="shared" si="5"/>
        <v>42.668599999999998</v>
      </c>
      <c r="AH65">
        <f t="shared" si="6"/>
        <v>49.046100000000003</v>
      </c>
      <c r="AI65">
        <f t="shared" si="7"/>
        <v>57.540300000000002</v>
      </c>
    </row>
    <row r="66" spans="17:35" x14ac:dyDescent="0.2">
      <c r="Q66">
        <v>35</v>
      </c>
      <c r="R66" s="51">
        <f t="shared" si="11"/>
        <v>26.385300000000001</v>
      </c>
      <c r="S66" s="51">
        <f t="shared" si="9"/>
        <v>30.946899999999999</v>
      </c>
      <c r="T66" s="51">
        <f t="shared" si="8"/>
        <v>37.760899999999999</v>
      </c>
      <c r="U66" s="51">
        <f t="shared" si="0"/>
        <v>47.621499999999997</v>
      </c>
      <c r="V66" s="51">
        <f t="shared" si="1"/>
        <v>58.85090000000001</v>
      </c>
      <c r="W66" s="51">
        <f t="shared" si="2"/>
        <v>65.194499999999991</v>
      </c>
      <c r="X66" s="51">
        <f t="shared" si="3"/>
        <v>76.352799999999988</v>
      </c>
      <c r="AB66">
        <v>35</v>
      </c>
      <c r="AC66">
        <v>21</v>
      </c>
      <c r="AD66">
        <v>26</v>
      </c>
      <c r="AE66">
        <f t="shared" si="10"/>
        <v>27.569500000000001</v>
      </c>
      <c r="AF66">
        <f t="shared" si="4"/>
        <v>40.786499999999997</v>
      </c>
      <c r="AG66">
        <f t="shared" si="5"/>
        <v>51.2926</v>
      </c>
      <c r="AH66">
        <f t="shared" si="6"/>
        <v>58.839100000000002</v>
      </c>
      <c r="AI66">
        <f t="shared" si="7"/>
        <v>69.048299999999998</v>
      </c>
    </row>
    <row r="67" spans="17:35" x14ac:dyDescent="0.2">
      <c r="Q67">
        <v>40</v>
      </c>
      <c r="R67" s="51">
        <f t="shared" si="11"/>
        <v>31.021799999999999</v>
      </c>
      <c r="S67" s="51">
        <f t="shared" si="9"/>
        <v>36.643900000000002</v>
      </c>
      <c r="T67" s="51">
        <f t="shared" si="8"/>
        <v>44.492400000000004</v>
      </c>
      <c r="U67" s="51">
        <f t="shared" si="0"/>
        <v>55.876000000000005</v>
      </c>
      <c r="V67" s="51">
        <f t="shared" si="1"/>
        <v>69.071399999999997</v>
      </c>
      <c r="W67" s="51">
        <f t="shared" si="2"/>
        <v>76.691499999999991</v>
      </c>
      <c r="X67" s="51">
        <f t="shared" si="3"/>
        <v>89.786299999999983</v>
      </c>
      <c r="AB67">
        <v>40</v>
      </c>
      <c r="AC67">
        <v>24.5</v>
      </c>
      <c r="AD67">
        <v>30.3</v>
      </c>
      <c r="AE67">
        <f t="shared" si="10"/>
        <v>34.045499999999997</v>
      </c>
      <c r="AF67">
        <f t="shared" si="4"/>
        <v>47.792499999999997</v>
      </c>
      <c r="AG67">
        <f t="shared" si="5"/>
        <v>60.291600000000003</v>
      </c>
      <c r="AH67">
        <f t="shared" si="6"/>
        <v>68.962100000000007</v>
      </c>
      <c r="AI67">
        <f t="shared" si="7"/>
        <v>80.9863</v>
      </c>
    </row>
    <row r="68" spans="17:35" x14ac:dyDescent="0.2">
      <c r="Q68" s="49">
        <v>50</v>
      </c>
      <c r="R68" s="52">
        <f t="shared" si="11"/>
        <v>40.714800000000004</v>
      </c>
      <c r="S68" s="52">
        <f t="shared" si="9"/>
        <v>49.192900000000002</v>
      </c>
      <c r="T68" s="52">
        <f t="shared" si="8"/>
        <v>58.915399999999998</v>
      </c>
      <c r="U68" s="52">
        <f t="shared" si="0"/>
        <v>73.135000000000005</v>
      </c>
      <c r="V68" s="52">
        <f t="shared" si="1"/>
        <v>90.472399999999993</v>
      </c>
      <c r="W68" s="52">
        <f t="shared" si="2"/>
        <v>100.88549999999999</v>
      </c>
      <c r="X68" s="52">
        <f t="shared" si="3"/>
        <v>118.24329999999999</v>
      </c>
      <c r="AB68">
        <v>50</v>
      </c>
      <c r="AC68">
        <v>32.5</v>
      </c>
      <c r="AD68">
        <v>40</v>
      </c>
      <c r="AE68">
        <f t="shared" si="10"/>
        <v>40.786499999999997</v>
      </c>
      <c r="AF68">
        <f t="shared" si="4"/>
        <v>62.599499999999999</v>
      </c>
      <c r="AG68">
        <f t="shared" si="5"/>
        <v>79.414600000000007</v>
      </c>
      <c r="AH68">
        <f t="shared" si="6"/>
        <v>90.198100000000011</v>
      </c>
      <c r="AI68">
        <f t="shared" si="7"/>
        <v>106.1523</v>
      </c>
    </row>
    <row r="69" spans="17:35" x14ac:dyDescent="0.2">
      <c r="Q69">
        <v>60</v>
      </c>
      <c r="R69" s="51">
        <f t="shared" si="11"/>
        <v>50.967800000000004</v>
      </c>
      <c r="S69" s="51">
        <f t="shared" si="9"/>
        <v>63.2819</v>
      </c>
      <c r="T69" s="51">
        <f t="shared" si="8"/>
        <v>74.618399999999994</v>
      </c>
      <c r="U69" s="51">
        <f t="shared" si="0"/>
        <v>91.394000000000005</v>
      </c>
      <c r="V69" s="51">
        <f t="shared" si="1"/>
        <v>113.1534</v>
      </c>
      <c r="W69" s="51">
        <f t="shared" si="2"/>
        <v>126.6795</v>
      </c>
      <c r="X69" s="51">
        <f t="shared" si="3"/>
        <v>148.8203</v>
      </c>
      <c r="AB69">
        <v>60</v>
      </c>
      <c r="AC69">
        <v>40</v>
      </c>
      <c r="AD69">
        <v>50</v>
      </c>
      <c r="AE69">
        <f t="shared" si="10"/>
        <v>47.792499999999997</v>
      </c>
      <c r="AF69">
        <f t="shared" si="4"/>
        <v>78.466500000000011</v>
      </c>
      <c r="AG69">
        <f t="shared" si="5"/>
        <v>100.0376</v>
      </c>
      <c r="AH69">
        <f t="shared" si="6"/>
        <v>112.75410000000002</v>
      </c>
      <c r="AI69">
        <f t="shared" si="7"/>
        <v>133.03829999999999</v>
      </c>
    </row>
    <row r="70" spans="17:35" x14ac:dyDescent="0.2">
      <c r="Q70">
        <v>70</v>
      </c>
      <c r="R70" s="51">
        <f t="shared" si="11"/>
        <v>61.780800000000006</v>
      </c>
      <c r="S70" s="51">
        <f t="shared" si="9"/>
        <v>78.910899999999998</v>
      </c>
      <c r="T70" s="51">
        <f t="shared" si="8"/>
        <v>91.601399999999998</v>
      </c>
      <c r="U70" s="51">
        <f t="shared" si="0"/>
        <v>110.65300000000001</v>
      </c>
      <c r="V70" s="51">
        <f t="shared" si="1"/>
        <v>137.11440000000002</v>
      </c>
      <c r="W70" s="51">
        <f t="shared" si="2"/>
        <v>154.07350000000002</v>
      </c>
      <c r="X70" s="51">
        <f t="shared" si="3"/>
        <v>181.51729999999998</v>
      </c>
      <c r="AB70">
        <v>70</v>
      </c>
      <c r="AC70">
        <v>49.5</v>
      </c>
      <c r="AD70">
        <v>61</v>
      </c>
      <c r="AE70">
        <f t="shared" si="10"/>
        <v>62.599499999999999</v>
      </c>
      <c r="AF70">
        <f t="shared" si="4"/>
        <v>95.393500000000003</v>
      </c>
      <c r="AG70">
        <f t="shared" si="5"/>
        <v>122.1606</v>
      </c>
      <c r="AH70">
        <f t="shared" si="6"/>
        <v>136.6301</v>
      </c>
      <c r="AI70">
        <f t="shared" si="7"/>
        <v>161.64430000000002</v>
      </c>
    </row>
    <row r="71" spans="17:35" x14ac:dyDescent="0.2">
      <c r="Q71">
        <v>80</v>
      </c>
      <c r="R71" s="51">
        <f t="shared" si="11"/>
        <v>73.153800000000004</v>
      </c>
      <c r="S71" s="51">
        <f>0.0077*Q71^2 + 0.5619*Q71 + 1.8479</f>
        <v>96.079899999999995</v>
      </c>
      <c r="T71" s="51">
        <f t="shared" si="8"/>
        <v>109.8644</v>
      </c>
      <c r="U71" s="51">
        <f t="shared" si="0"/>
        <v>130.91200000000001</v>
      </c>
      <c r="V71" s="51">
        <f t="shared" si="1"/>
        <v>162.3554</v>
      </c>
      <c r="W71" s="51">
        <f t="shared" si="2"/>
        <v>183.0675</v>
      </c>
      <c r="X71" s="51">
        <f t="shared" si="3"/>
        <v>216.33429999999998</v>
      </c>
      <c r="AB71">
        <v>80</v>
      </c>
      <c r="AC71">
        <v>59</v>
      </c>
      <c r="AD71">
        <v>74</v>
      </c>
      <c r="AE71">
        <f t="shared" si="10"/>
        <v>78.466500000000011</v>
      </c>
      <c r="AF71">
        <f t="shared" si="4"/>
        <v>113.38050000000001</v>
      </c>
      <c r="AG71">
        <f t="shared" si="5"/>
        <v>145.78360000000001</v>
      </c>
      <c r="AH71">
        <f t="shared" si="6"/>
        <v>161.8261</v>
      </c>
      <c r="AI71">
        <f t="shared" si="7"/>
        <v>191.97029999999998</v>
      </c>
    </row>
    <row r="73" spans="17:35" x14ac:dyDescent="0.2">
      <c r="Q73" s="48"/>
      <c r="R73" s="48"/>
      <c r="U73" s="51"/>
      <c r="V73" s="51"/>
    </row>
    <row r="74" spans="17:35" x14ac:dyDescent="0.2">
      <c r="Q74" s="48"/>
      <c r="R74" s="48"/>
    </row>
    <row r="75" spans="17:35" x14ac:dyDescent="0.2">
      <c r="Q75" s="48"/>
      <c r="R75" s="48"/>
    </row>
    <row r="76" spans="17:35" x14ac:dyDescent="0.2">
      <c r="Q76" s="48"/>
      <c r="R76" s="48"/>
    </row>
    <row r="77" spans="17:35" x14ac:dyDescent="0.2">
      <c r="Q77" s="48"/>
      <c r="R77" s="48"/>
    </row>
    <row r="78" spans="17:35" x14ac:dyDescent="0.2">
      <c r="Q78" s="48"/>
      <c r="R78" s="48"/>
    </row>
    <row r="79" spans="17:35" x14ac:dyDescent="0.2">
      <c r="Q79" s="48"/>
      <c r="R79" s="48"/>
    </row>
    <row r="80" spans="17:35" x14ac:dyDescent="0.2">
      <c r="Q80" s="48"/>
      <c r="R80" s="48"/>
    </row>
  </sheetData>
  <hyperlinks>
    <hyperlink ref="K1" r:id="rId1" xr:uid="{A0AA2D48-08D0-41CA-81B4-167AEBBBD3D8}"/>
  </hyperlinks>
  <pageMargins left="0.7" right="0.7" top="0.78740157499999996" bottom="0.78740157499999996"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C59E-F966-4059-B795-E9FF9EF20077}">
  <dimension ref="A1:AW98"/>
  <sheetViews>
    <sheetView zoomScale="70" zoomScaleNormal="70" workbookViewId="0">
      <selection activeCell="A26" sqref="A26:XFD26"/>
    </sheetView>
  </sheetViews>
  <sheetFormatPr baseColWidth="10" defaultRowHeight="12.75" x14ac:dyDescent="0.2"/>
  <cols>
    <col min="1" max="1" width="13.85546875" style="2" customWidth="1"/>
    <col min="2" max="22" width="11.42578125" style="2"/>
  </cols>
  <sheetData>
    <row r="1" spans="1:25" ht="13.5" x14ac:dyDescent="0.25">
      <c r="A1" s="1" t="s">
        <v>4</v>
      </c>
      <c r="B1" s="1"/>
      <c r="C1" s="4" t="s">
        <v>2</v>
      </c>
    </row>
    <row r="2" spans="1:25" x14ac:dyDescent="0.2">
      <c r="A2" s="1" t="s">
        <v>149</v>
      </c>
      <c r="C2" s="5">
        <v>180</v>
      </c>
      <c r="D2" s="5">
        <v>190</v>
      </c>
      <c r="E2" s="5">
        <v>260</v>
      </c>
      <c r="F2" s="5">
        <v>300</v>
      </c>
      <c r="G2" s="5">
        <v>350</v>
      </c>
      <c r="H2" s="5">
        <v>400</v>
      </c>
      <c r="I2" s="5">
        <v>450</v>
      </c>
      <c r="J2" s="5">
        <v>500</v>
      </c>
      <c r="K2" s="5">
        <v>550</v>
      </c>
      <c r="L2" s="5">
        <v>600</v>
      </c>
      <c r="M2" s="5">
        <v>750</v>
      </c>
      <c r="N2" s="5">
        <v>900</v>
      </c>
      <c r="O2" s="5">
        <v>1000</v>
      </c>
      <c r="P2" s="5">
        <v>1100</v>
      </c>
      <c r="Q2" s="5">
        <v>1200</v>
      </c>
      <c r="R2" s="5">
        <v>1500</v>
      </c>
      <c r="S2" s="5">
        <v>1800</v>
      </c>
      <c r="T2" s="5">
        <v>2000</v>
      </c>
      <c r="U2" s="5">
        <v>2200</v>
      </c>
      <c r="V2" s="5">
        <v>2500</v>
      </c>
      <c r="W2" s="5">
        <v>2800</v>
      </c>
      <c r="X2" s="5">
        <v>3000</v>
      </c>
    </row>
    <row r="3" spans="1:25" ht="13.5" x14ac:dyDescent="0.25">
      <c r="A3" s="4" t="s">
        <v>3</v>
      </c>
      <c r="B3" s="2">
        <v>65</v>
      </c>
      <c r="C3" s="2" t="str" cm="1">
        <f t="array" ref="C3">_xlfn.XLOOKUP(1,('Arbonia Original'!$A$2:$A$117=C$2)*('Arbonia Original'!$B$2:$B$117=$B3),'Arbonia Original'!$D$2:$D$117,"")</f>
        <v/>
      </c>
      <c r="D3" s="2" cm="1">
        <f t="array" ref="D3">_xlfn.XLOOKUP(1,('Arbonia Original'!$A$2:$A$117=D$2)*('Arbonia Original'!$B$2:$B$117=$B3),'Arbonia Original'!$D$2:$D$117,"")</f>
        <v>15</v>
      </c>
      <c r="E3" s="2" cm="1">
        <f t="array" ref="E3">_xlfn.XLOOKUP(1,('Arbonia Original'!$A$2:$A$117=E$2)*('Arbonia Original'!$B$2:$B$117=$B3),'Arbonia Original'!$D$2:$D$117,"")</f>
        <v>20</v>
      </c>
      <c r="F3" s="2" cm="1">
        <f t="array" ref="F3">_xlfn.XLOOKUP(1,('Arbonia Original'!$A$2:$A$117=F$2)*('Arbonia Original'!$B$2:$B$117=$B3),'Arbonia Original'!$D$2:$D$117,"")</f>
        <v>24</v>
      </c>
      <c r="G3" s="2" cm="1">
        <f t="array" ref="G3">_xlfn.XLOOKUP(1,('Arbonia Original'!$A$2:$A$117=G$2)*('Arbonia Original'!$B$2:$B$117=$B3),'Arbonia Original'!$D$2:$D$117,"")</f>
        <v>28</v>
      </c>
      <c r="H3" s="2" cm="1">
        <f t="array" ref="H3">_xlfn.XLOOKUP(1,('Arbonia Original'!$A$2:$A$117=H$2)*('Arbonia Original'!$B$2:$B$117=$B3),'Arbonia Original'!$D$2:$D$117,"")</f>
        <v>31</v>
      </c>
      <c r="I3" s="2" cm="1">
        <f t="array" ref="I3">_xlfn.XLOOKUP(1,('Arbonia Original'!$A$2:$A$117=I$2)*('Arbonia Original'!$B$2:$B$117=$B3),'Arbonia Original'!$D$2:$D$117,"")</f>
        <v>35</v>
      </c>
      <c r="J3" s="2" cm="1">
        <f t="array" ref="J3">_xlfn.XLOOKUP(1,('Arbonia Original'!$A$2:$A$117=J$2)*('Arbonia Original'!$B$2:$B$117=$B3),'Arbonia Original'!$D$2:$D$117,"")</f>
        <v>39</v>
      </c>
      <c r="K3" s="2" cm="1">
        <f t="array" ref="K3">_xlfn.XLOOKUP(1,('Arbonia Original'!$A$2:$A$117=K$2)*('Arbonia Original'!$B$2:$B$117=$B3),'Arbonia Original'!$D$2:$D$117,"")</f>
        <v>42</v>
      </c>
      <c r="L3" s="2" cm="1">
        <f t="array" ref="L3">_xlfn.XLOOKUP(1,('Arbonia Original'!$A$2:$A$117=L$2)*('Arbonia Original'!$B$2:$B$117=$B3),'Arbonia Original'!$D$2:$D$117,"")</f>
        <v>46</v>
      </c>
      <c r="M3" s="2" cm="1">
        <f t="array" ref="M3">_xlfn.XLOOKUP(1,('Arbonia Original'!$A$2:$A$117=M$2)*('Arbonia Original'!$B$2:$B$117=$B3),'Arbonia Original'!$D$2:$D$117,"")</f>
        <v>57</v>
      </c>
      <c r="N3" s="2" cm="1">
        <f t="array" ref="N3">_xlfn.XLOOKUP(1,('Arbonia Original'!$A$2:$A$117=N$2)*('Arbonia Original'!$B$2:$B$117=$B3),'Arbonia Original'!$D$2:$D$117,"")</f>
        <v>67</v>
      </c>
      <c r="O3" s="2" cm="1">
        <f t="array" ref="O3">_xlfn.XLOOKUP(1,('Arbonia Original'!$A$2:$A$117=O$2)*('Arbonia Original'!$B$2:$B$117=$B3),'Arbonia Original'!$D$2:$D$117,"")</f>
        <v>74</v>
      </c>
      <c r="P3" s="2" cm="1">
        <f t="array" ref="P3">_xlfn.XLOOKUP(1,('Arbonia Original'!$A$2:$A$117=P$2)*('Arbonia Original'!$B$2:$B$117=$B3),'Arbonia Original'!$D$2:$D$117,"")</f>
        <v>81</v>
      </c>
      <c r="Q3" s="2" cm="1">
        <f t="array" ref="Q3">_xlfn.XLOOKUP(1,('Arbonia Original'!$A$2:$A$117=Q$2)*('Arbonia Original'!$B$2:$B$117=$B3),'Arbonia Original'!$D$2:$D$117,"")</f>
        <v>88</v>
      </c>
      <c r="R3" s="2" cm="1">
        <f t="array" ref="R3">_xlfn.XLOOKUP(1,('Arbonia Original'!$A$2:$A$117=R$2)*('Arbonia Original'!$B$2:$B$117=$B3),'Arbonia Original'!$D$2:$D$117,"")</f>
        <v>109</v>
      </c>
      <c r="S3" s="2" cm="1">
        <f t="array" ref="S3">_xlfn.XLOOKUP(1,('Arbonia Original'!$A$2:$A$117=S$2)*('Arbonia Original'!$B$2:$B$117=$B3),'Arbonia Original'!$D$2:$D$117,"")</f>
        <v>130</v>
      </c>
      <c r="T3" s="2" cm="1">
        <f t="array" ref="T3">_xlfn.XLOOKUP(1,('Arbonia Original'!$A$2:$A$117=T$2)*('Arbonia Original'!$B$2:$B$117=$B3),'Arbonia Original'!$D$2:$D$117,"")</f>
        <v>144</v>
      </c>
      <c r="U3" s="2" cm="1">
        <f t="array" ref="U3">_xlfn.XLOOKUP(1,('Arbonia Original'!$A$2:$A$117=U$2)*('Arbonia Original'!$B$2:$B$117=$B3),'Arbonia Original'!$D$2:$D$117,"")</f>
        <v>158</v>
      </c>
      <c r="V3" s="2" cm="1">
        <f t="array" ref="V3">_xlfn.XLOOKUP(1,('Arbonia Original'!$A$2:$A$117=V$2)*('Arbonia Original'!$B$2:$B$117=$B3),'Arbonia Original'!$D$2:$D$117,"")</f>
        <v>179</v>
      </c>
      <c r="W3" s="2" cm="1">
        <f t="array" ref="W3">_xlfn.XLOOKUP(1,('Arbonia Original'!$A$2:$A$117=W$2)*('Arbonia Original'!$B$2:$B$117=$B3),'Arbonia Original'!$D$2:$D$117,"")</f>
        <v>200</v>
      </c>
      <c r="X3" s="2" cm="1">
        <f t="array" ref="X3">_xlfn.XLOOKUP(1,('Arbonia Original'!$A$2:$A$117=X$2)*('Arbonia Original'!$B$2:$B$117=$B3),'Arbonia Original'!$D$2:$D$117,"")</f>
        <v>214</v>
      </c>
      <c r="Y3" s="2" t="s">
        <v>400</v>
      </c>
    </row>
    <row r="4" spans="1:25" x14ac:dyDescent="0.2">
      <c r="B4" s="2">
        <v>105</v>
      </c>
      <c r="C4" s="2" t="str" cm="1">
        <f t="array" ref="C4">_xlfn.XLOOKUP(1,('Arbonia Original'!$A$2:$A$117=C$2)*('Arbonia Original'!$B$2:$B$117=$B4),'Arbonia Original'!$D$2:$D$117,"")</f>
        <v/>
      </c>
      <c r="D4" s="2" cm="1">
        <f t="array" ref="D4">_xlfn.XLOOKUP(1,('Arbonia Original'!$A$2:$A$117=D$2)*('Arbonia Original'!$B$2:$B$117=$B4),'Arbonia Original'!$D$2:$D$117,"")</f>
        <v>20</v>
      </c>
      <c r="E4" s="2" cm="1">
        <f t="array" ref="E4">_xlfn.XLOOKUP(1,('Arbonia Original'!$A$2:$A$117=E$2)*('Arbonia Original'!$B$2:$B$117=$B4),'Arbonia Original'!$D$2:$D$117,"")</f>
        <v>28</v>
      </c>
      <c r="F4" s="2" cm="1">
        <f t="array" ref="F4">_xlfn.XLOOKUP(1,('Arbonia Original'!$A$2:$A$117=F$2)*('Arbonia Original'!$B$2:$B$117=$B4),'Arbonia Original'!$D$2:$D$117,"")</f>
        <v>33</v>
      </c>
      <c r="G4" s="2" cm="1">
        <f t="array" ref="G4">_xlfn.XLOOKUP(1,('Arbonia Original'!$A$2:$A$117=G$2)*('Arbonia Original'!$B$2:$B$117=$B4),'Arbonia Original'!$D$2:$D$117,"")</f>
        <v>38</v>
      </c>
      <c r="H4" s="2" cm="1">
        <f t="array" ref="H4">_xlfn.XLOOKUP(1,('Arbonia Original'!$A$2:$A$117=H$2)*('Arbonia Original'!$B$2:$B$117=$B4),'Arbonia Original'!$D$2:$D$117,"")</f>
        <v>43</v>
      </c>
      <c r="I4" s="2" cm="1">
        <f t="array" ref="I4">_xlfn.XLOOKUP(1,('Arbonia Original'!$A$2:$A$117=I$2)*('Arbonia Original'!$B$2:$B$117=$B4),'Arbonia Original'!$D$2:$D$117,"")</f>
        <v>48</v>
      </c>
      <c r="J4" s="2" cm="1">
        <f t="array" ref="J4">_xlfn.XLOOKUP(1,('Arbonia Original'!$A$2:$A$117=J$2)*('Arbonia Original'!$B$2:$B$117=$B4),'Arbonia Original'!$D$2:$D$117,"")</f>
        <v>53</v>
      </c>
      <c r="K4" s="2" cm="1">
        <f t="array" ref="K4">_xlfn.XLOOKUP(1,('Arbonia Original'!$A$2:$A$117=K$2)*('Arbonia Original'!$B$2:$B$117=$B4),'Arbonia Original'!$D$2:$D$117,"")</f>
        <v>58</v>
      </c>
      <c r="L4" s="2" cm="1">
        <f t="array" ref="L4">_xlfn.XLOOKUP(1,('Arbonia Original'!$A$2:$A$117=L$2)*('Arbonia Original'!$B$2:$B$117=$B4),'Arbonia Original'!$D$2:$D$117,"")</f>
        <v>63</v>
      </c>
      <c r="M4" s="2" cm="1">
        <f t="array" ref="M4">_xlfn.XLOOKUP(1,('Arbonia Original'!$A$2:$A$117=M$2)*('Arbonia Original'!$B$2:$B$117=$B4),'Arbonia Original'!$D$2:$D$117,"")</f>
        <v>78</v>
      </c>
      <c r="N4" s="2" cm="1">
        <f t="array" ref="N4">_xlfn.XLOOKUP(1,('Arbonia Original'!$A$2:$A$117=N$2)*('Arbonia Original'!$B$2:$B$117=$B4),'Arbonia Original'!$D$2:$D$117,"")</f>
        <v>92</v>
      </c>
      <c r="O4" s="2" cm="1">
        <f t="array" ref="O4">_xlfn.XLOOKUP(1,('Arbonia Original'!$A$2:$A$117=O$2)*('Arbonia Original'!$B$2:$B$117=$B4),'Arbonia Original'!$D$2:$D$117,"")</f>
        <v>102</v>
      </c>
      <c r="P4" s="2" cm="1">
        <f t="array" ref="P4">_xlfn.XLOOKUP(1,('Arbonia Original'!$A$2:$A$117=P$2)*('Arbonia Original'!$B$2:$B$117=$B4),'Arbonia Original'!$D$2:$D$117,"")</f>
        <v>111</v>
      </c>
      <c r="Q4" s="2" cm="1">
        <f t="array" ref="Q4">_xlfn.XLOOKUP(1,('Arbonia Original'!$A$2:$A$117=Q$2)*('Arbonia Original'!$B$2:$B$117=$B4),'Arbonia Original'!$D$2:$D$117,"")</f>
        <v>120</v>
      </c>
      <c r="R4" s="2" cm="1">
        <f t="array" ref="R4">_xlfn.XLOOKUP(1,('Arbonia Original'!$A$2:$A$117=R$2)*('Arbonia Original'!$B$2:$B$117=$B4),'Arbonia Original'!$D$2:$D$117,"")</f>
        <v>147</v>
      </c>
      <c r="S4" s="2" cm="1">
        <f t="array" ref="S4">_xlfn.XLOOKUP(1,('Arbonia Original'!$A$2:$A$117=S$2)*('Arbonia Original'!$B$2:$B$117=$B4),'Arbonia Original'!$D$2:$D$117,"")</f>
        <v>173</v>
      </c>
      <c r="T4" s="2" cm="1">
        <f t="array" ref="T4">_xlfn.XLOOKUP(1,('Arbonia Original'!$A$2:$A$117=T$2)*('Arbonia Original'!$B$2:$B$117=$B4),'Arbonia Original'!$D$2:$D$117,"")</f>
        <v>190</v>
      </c>
      <c r="U4" s="2" cm="1">
        <f t="array" ref="U4">_xlfn.XLOOKUP(1,('Arbonia Original'!$A$2:$A$117=U$2)*('Arbonia Original'!$B$2:$B$117=$B4),'Arbonia Original'!$D$2:$D$117,"")</f>
        <v>207</v>
      </c>
      <c r="V4" s="2" cm="1">
        <f t="array" ref="V4">_xlfn.XLOOKUP(1,('Arbonia Original'!$A$2:$A$117=V$2)*('Arbonia Original'!$B$2:$B$117=$B4),'Arbonia Original'!$D$2:$D$117,"")</f>
        <v>231</v>
      </c>
      <c r="W4" s="2" cm="1">
        <f t="array" ref="W4">_xlfn.XLOOKUP(1,('Arbonia Original'!$A$2:$A$117=W$2)*('Arbonia Original'!$B$2:$B$117=$B4),'Arbonia Original'!$D$2:$D$117,"")</f>
        <v>255</v>
      </c>
      <c r="X4" s="2" cm="1">
        <f t="array" ref="X4">_xlfn.XLOOKUP(1,('Arbonia Original'!$A$2:$A$117=X$2)*('Arbonia Original'!$B$2:$B$117=$B4),'Arbonia Original'!$D$2:$D$117,"")</f>
        <v>270</v>
      </c>
      <c r="Y4" s="2" t="s">
        <v>401</v>
      </c>
    </row>
    <row r="5" spans="1:25" ht="12.75" customHeight="1" x14ac:dyDescent="0.2">
      <c r="B5" s="2">
        <v>145</v>
      </c>
      <c r="C5" s="2" t="str" cm="1">
        <f t="array" ref="C5">_xlfn.XLOOKUP(1,('Arbonia Original'!$A$2:$A$117=C$2)*('Arbonia Original'!$B$2:$B$117=$B5),'Arbonia Original'!$D$2:$D$117,"")</f>
        <v/>
      </c>
      <c r="D5" s="2" cm="1">
        <f t="array" ref="D5">_xlfn.XLOOKUP(1,('Arbonia Original'!$A$2:$A$117=D$2)*('Arbonia Original'!$B$2:$B$117=$B5),'Arbonia Original'!$D$2:$D$117,"")</f>
        <v>27</v>
      </c>
      <c r="E5" s="2" cm="1">
        <f t="array" ref="E5">_xlfn.XLOOKUP(1,('Arbonia Original'!$A$2:$A$117=E$2)*('Arbonia Original'!$B$2:$B$117=$B5),'Arbonia Original'!$D$2:$D$117,"")</f>
        <v>36</v>
      </c>
      <c r="F5" s="2" cm="1">
        <f t="array" ref="F5">_xlfn.XLOOKUP(1,('Arbonia Original'!$A$2:$A$117=F$2)*('Arbonia Original'!$B$2:$B$117=$B5),'Arbonia Original'!$D$2:$D$117,"")</f>
        <v>43</v>
      </c>
      <c r="G5" s="2" cm="1">
        <f t="array" ref="G5">_xlfn.XLOOKUP(1,('Arbonia Original'!$A$2:$A$117=G$2)*('Arbonia Original'!$B$2:$B$117=$B5),'Arbonia Original'!$D$2:$D$117,"")</f>
        <v>49</v>
      </c>
      <c r="H5" s="2" cm="1">
        <f t="array" ref="H5">_xlfn.XLOOKUP(1,('Arbonia Original'!$A$2:$A$117=H$2)*('Arbonia Original'!$B$2:$B$117=$B5),'Arbonia Original'!$D$2:$D$117,"")</f>
        <v>56</v>
      </c>
      <c r="I5" s="2" cm="1">
        <f t="array" ref="I5">_xlfn.XLOOKUP(1,('Arbonia Original'!$A$2:$A$117=I$2)*('Arbonia Original'!$B$2:$B$117=$B5),'Arbonia Original'!$D$2:$D$117,"")</f>
        <v>62</v>
      </c>
      <c r="J5" s="2" cm="1">
        <f t="array" ref="J5">_xlfn.XLOOKUP(1,('Arbonia Original'!$A$2:$A$117=J$2)*('Arbonia Original'!$B$2:$B$117=$B5),'Arbonia Original'!$D$2:$D$117,"")</f>
        <v>69</v>
      </c>
      <c r="K5" s="2" cm="1">
        <f t="array" ref="K5">_xlfn.XLOOKUP(1,('Arbonia Original'!$A$2:$A$117=K$2)*('Arbonia Original'!$B$2:$B$117=$B5),'Arbonia Original'!$D$2:$D$117,"")</f>
        <v>75</v>
      </c>
      <c r="L5" s="2" cm="1">
        <f t="array" ref="L5">_xlfn.XLOOKUP(1,('Arbonia Original'!$A$2:$A$117=L$2)*('Arbonia Original'!$B$2:$B$117=$B5),'Arbonia Original'!$D$2:$D$117,"")</f>
        <v>81</v>
      </c>
      <c r="M5" s="2" cm="1">
        <f t="array" ref="M5">_xlfn.XLOOKUP(1,('Arbonia Original'!$A$2:$A$117=M$2)*('Arbonia Original'!$B$2:$B$117=$B5),'Arbonia Original'!$D$2:$D$117,"")</f>
        <v>100</v>
      </c>
      <c r="N5" s="2" cm="1">
        <f t="array" ref="N5">_xlfn.XLOOKUP(1,('Arbonia Original'!$A$2:$A$117=N$2)*('Arbonia Original'!$B$2:$B$117=$B5),'Arbonia Original'!$D$2:$D$117,"")</f>
        <v>117</v>
      </c>
      <c r="O5" s="2" cm="1">
        <f t="array" ref="O5">_xlfn.XLOOKUP(1,('Arbonia Original'!$A$2:$A$117=O$2)*('Arbonia Original'!$B$2:$B$117=$B5),'Arbonia Original'!$D$2:$D$117,"")</f>
        <v>129</v>
      </c>
      <c r="P5" s="2" cm="1">
        <f t="array" ref="P5">_xlfn.XLOOKUP(1,('Arbonia Original'!$A$2:$A$117=P$2)*('Arbonia Original'!$B$2:$B$117=$B5),'Arbonia Original'!$D$2:$D$117,"")</f>
        <v>141</v>
      </c>
      <c r="Q5" s="2" cm="1">
        <f t="array" ref="Q5">_xlfn.XLOOKUP(1,('Arbonia Original'!$A$2:$A$117=Q$2)*('Arbonia Original'!$B$2:$B$117=$B5),'Arbonia Original'!$D$2:$D$117,"")</f>
        <v>152</v>
      </c>
      <c r="R5" s="2" cm="1">
        <f t="array" ref="R5">_xlfn.XLOOKUP(1,('Arbonia Original'!$A$2:$A$117=R$2)*('Arbonia Original'!$B$2:$B$117=$B5),'Arbonia Original'!$D$2:$D$117,"")</f>
        <v>186</v>
      </c>
      <c r="S5" s="2" cm="1">
        <f t="array" ref="S5">_xlfn.XLOOKUP(1,('Arbonia Original'!$A$2:$A$117=S$2)*('Arbonia Original'!$B$2:$B$117=$B5),'Arbonia Original'!$D$2:$D$117,"")</f>
        <v>219</v>
      </c>
      <c r="T5" s="2" cm="1">
        <f t="array" ref="T5">_xlfn.XLOOKUP(1,('Arbonia Original'!$A$2:$A$117=T$2)*('Arbonia Original'!$B$2:$B$117=$B5),'Arbonia Original'!$D$2:$D$117,"")</f>
        <v>241</v>
      </c>
      <c r="U5" s="2" cm="1">
        <f t="array" ref="U5">_xlfn.XLOOKUP(1,('Arbonia Original'!$A$2:$A$117=U$2)*('Arbonia Original'!$B$2:$B$117=$B5),'Arbonia Original'!$D$2:$D$117,"")</f>
        <v>262</v>
      </c>
      <c r="V5" s="2" cm="1">
        <f t="array" ref="V5">_xlfn.XLOOKUP(1,('Arbonia Original'!$A$2:$A$117=V$2)*('Arbonia Original'!$B$2:$B$117=$B5),'Arbonia Original'!$D$2:$D$117,"")</f>
        <v>293</v>
      </c>
      <c r="W5" s="2" cm="1">
        <f t="array" ref="W5">_xlfn.XLOOKUP(1,('Arbonia Original'!$A$2:$A$117=W$2)*('Arbonia Original'!$B$2:$B$117=$B5),'Arbonia Original'!$D$2:$D$117,"")</f>
        <v>323</v>
      </c>
      <c r="X5" s="2" cm="1">
        <f t="array" ref="X5">_xlfn.XLOOKUP(1,('Arbonia Original'!$A$2:$A$117=X$2)*('Arbonia Original'!$B$2:$B$117=$B5),'Arbonia Original'!$D$2:$D$117,"")</f>
        <v>343</v>
      </c>
      <c r="Y5" s="2" t="s">
        <v>402</v>
      </c>
    </row>
    <row r="6" spans="1:25" ht="12.75" customHeight="1" x14ac:dyDescent="0.2">
      <c r="B6" s="2">
        <v>185</v>
      </c>
      <c r="C6" s="2" cm="1">
        <f t="array" ref="C6">_xlfn.XLOOKUP(1,('Arbonia Original'!$A$2:$A$117=C$2)*('Arbonia Original'!$B$2:$B$117=$B6),'Arbonia Original'!$D$2:$D$117,"")</f>
        <v>32</v>
      </c>
      <c r="D6" s="2" t="str" cm="1">
        <f t="array" ref="D6">_xlfn.XLOOKUP(1,('Arbonia Original'!$A$2:$A$117=D$2)*('Arbonia Original'!$B$2:$B$117=$B6),'Arbonia Original'!$D$2:$D$117,"")</f>
        <v/>
      </c>
      <c r="E6" s="2" cm="1">
        <f t="array" ref="E6">_xlfn.XLOOKUP(1,('Arbonia Original'!$A$2:$A$117=E$2)*('Arbonia Original'!$B$2:$B$117=$B6),'Arbonia Original'!$D$2:$D$117,"")</f>
        <v>45</v>
      </c>
      <c r="F6" s="2" cm="1">
        <f t="array" ref="F6">_xlfn.XLOOKUP(1,('Arbonia Original'!$A$2:$A$117=F$2)*('Arbonia Original'!$B$2:$B$117=$B6),'Arbonia Original'!$D$2:$D$117,"")</f>
        <v>53</v>
      </c>
      <c r="G6" s="2" cm="1">
        <f t="array" ref="G6">_xlfn.XLOOKUP(1,('Arbonia Original'!$A$2:$A$117=G$2)*('Arbonia Original'!$B$2:$B$117=$B6),'Arbonia Original'!$D$2:$D$117,"")</f>
        <v>61</v>
      </c>
      <c r="H6" s="2" cm="1">
        <f t="array" ref="H6">_xlfn.XLOOKUP(1,('Arbonia Original'!$A$2:$A$117=H$2)*('Arbonia Original'!$B$2:$B$117=$B6),'Arbonia Original'!$D$2:$D$117,"")</f>
        <v>69</v>
      </c>
      <c r="I6" s="2" cm="1">
        <f t="array" ref="I6">_xlfn.XLOOKUP(1,('Arbonia Original'!$A$2:$A$117=I$2)*('Arbonia Original'!$B$2:$B$117=$B6),'Arbonia Original'!$D$2:$D$117,"")</f>
        <v>77</v>
      </c>
      <c r="J6" s="2" cm="1">
        <f t="array" ref="J6">_xlfn.XLOOKUP(1,('Arbonia Original'!$A$2:$A$117=J$2)*('Arbonia Original'!$B$2:$B$117=$B6),'Arbonia Original'!$D$2:$D$117,"")</f>
        <v>85</v>
      </c>
      <c r="K6" s="2" cm="1">
        <f t="array" ref="K6">_xlfn.XLOOKUP(1,('Arbonia Original'!$A$2:$A$117=K$2)*('Arbonia Original'!$B$2:$B$117=$B6),'Arbonia Original'!$D$2:$D$117,"")</f>
        <v>93</v>
      </c>
      <c r="L6" s="2" cm="1">
        <f t="array" ref="L6">_xlfn.XLOOKUP(1,('Arbonia Original'!$A$2:$A$117=L$2)*('Arbonia Original'!$B$2:$B$117=$B6),'Arbonia Original'!$D$2:$D$117,"")</f>
        <v>100</v>
      </c>
      <c r="M6" s="2" cm="1">
        <f t="array" ref="M6">_xlfn.XLOOKUP(1,('Arbonia Original'!$A$2:$A$117=M$2)*('Arbonia Original'!$B$2:$B$117=$B6),'Arbonia Original'!$D$2:$D$117,"")</f>
        <v>123</v>
      </c>
      <c r="N6" s="2" cm="1">
        <f t="array" ref="N6">_xlfn.XLOOKUP(1,('Arbonia Original'!$A$2:$A$117=N$2)*('Arbonia Original'!$B$2:$B$117=$B6),'Arbonia Original'!$D$2:$D$117,"")</f>
        <v>144</v>
      </c>
      <c r="O6" s="2" cm="1">
        <f t="array" ref="O6">_xlfn.XLOOKUP(1,('Arbonia Original'!$A$2:$A$117=O$2)*('Arbonia Original'!$B$2:$B$117=$B6),'Arbonia Original'!$D$2:$D$117,"")</f>
        <v>158</v>
      </c>
      <c r="P6" s="2" cm="1">
        <f t="array" ref="P6">_xlfn.XLOOKUP(1,('Arbonia Original'!$A$2:$A$117=P$2)*('Arbonia Original'!$B$2:$B$117=$B6),'Arbonia Original'!$D$2:$D$117,"")</f>
        <v>172</v>
      </c>
      <c r="Q6" s="2" cm="1">
        <f t="array" ref="Q6">_xlfn.XLOOKUP(1,('Arbonia Original'!$A$2:$A$117=Q$2)*('Arbonia Original'!$B$2:$B$117=$B6),'Arbonia Original'!$D$2:$D$117,"")</f>
        <v>186</v>
      </c>
      <c r="R6" s="2" cm="1">
        <f t="array" ref="R6">_xlfn.XLOOKUP(1,('Arbonia Original'!$A$2:$A$117=R$2)*('Arbonia Original'!$B$2:$B$117=$B6),'Arbonia Original'!$D$2:$D$117,"")</f>
        <v>225</v>
      </c>
      <c r="S6" s="2" cm="1">
        <f t="array" ref="S6">_xlfn.XLOOKUP(1,('Arbonia Original'!$A$2:$A$117=S$2)*('Arbonia Original'!$B$2:$B$117=$B6),'Arbonia Original'!$D$2:$D$117,"")</f>
        <v>263</v>
      </c>
      <c r="T6" s="2" cm="1">
        <f t="array" ref="T6">_xlfn.XLOOKUP(1,('Arbonia Original'!$A$2:$A$117=T$2)*('Arbonia Original'!$B$2:$B$117=$B6),'Arbonia Original'!$D$2:$D$117,"")</f>
        <v>287</v>
      </c>
      <c r="U6" s="2" cm="1">
        <f t="array" ref="U6">_xlfn.XLOOKUP(1,('Arbonia Original'!$A$2:$A$117=U$2)*('Arbonia Original'!$B$2:$B$117=$B6),'Arbonia Original'!$D$2:$D$117,"")</f>
        <v>310</v>
      </c>
      <c r="V6" s="2" cm="1">
        <f t="array" ref="V6">_xlfn.XLOOKUP(1,('Arbonia Original'!$A$2:$A$117=V$2)*('Arbonia Original'!$B$2:$B$117=$B6),'Arbonia Original'!$D$2:$D$117,"")</f>
        <v>343</v>
      </c>
      <c r="W6" s="2" cm="1">
        <f t="array" ref="W6">_xlfn.XLOOKUP(1,('Arbonia Original'!$A$2:$A$117=W$2)*('Arbonia Original'!$B$2:$B$117=$B6),'Arbonia Original'!$D$2:$D$117,"")</f>
        <v>374</v>
      </c>
      <c r="X6" s="2" cm="1">
        <f t="array" ref="X6">_xlfn.XLOOKUP(1,('Arbonia Original'!$A$2:$A$117=X$2)*('Arbonia Original'!$B$2:$B$117=$B6),'Arbonia Original'!$D$2:$D$117,"")</f>
        <v>394</v>
      </c>
      <c r="Y6" s="2" t="s">
        <v>403</v>
      </c>
    </row>
    <row r="7" spans="1:25" x14ac:dyDescent="0.2">
      <c r="B7" s="2">
        <v>225</v>
      </c>
      <c r="C7" s="2" cm="1">
        <f t="array" ref="C7">_xlfn.XLOOKUP(1,('Arbonia Original'!$A$2:$A$117=C$2)*('Arbonia Original'!$B$2:$B$117=$B7),'Arbonia Original'!$D$2:$D$117,"")</f>
        <v>39</v>
      </c>
      <c r="D7" s="2" t="str" cm="1">
        <f t="array" ref="D7">_xlfn.XLOOKUP(1,('Arbonia Original'!$A$2:$A$117=D$2)*('Arbonia Original'!$B$2:$B$117=$B7),'Arbonia Original'!$D$2:$D$117,"")</f>
        <v/>
      </c>
      <c r="E7" s="2" cm="1">
        <f t="array" ref="E7">_xlfn.XLOOKUP(1,('Arbonia Original'!$A$2:$A$117=E$2)*('Arbonia Original'!$B$2:$B$117=$B7),'Arbonia Original'!$D$2:$D$117,"")</f>
        <v>53</v>
      </c>
      <c r="F7" s="2" cm="1">
        <f t="array" ref="F7">_xlfn.XLOOKUP(1,('Arbonia Original'!$A$2:$A$117=F$2)*('Arbonia Original'!$B$2:$B$117=$B7),'Arbonia Original'!$D$2:$D$117,"")</f>
        <v>62</v>
      </c>
      <c r="G7" s="2" cm="1">
        <f t="array" ref="G7">_xlfn.XLOOKUP(1,('Arbonia Original'!$A$2:$A$117=G$2)*('Arbonia Original'!$B$2:$B$117=$B7),'Arbonia Original'!$D$2:$D$117,"")</f>
        <v>72</v>
      </c>
      <c r="H7" s="2" cm="1">
        <f t="array" ref="H7">_xlfn.XLOOKUP(1,('Arbonia Original'!$A$2:$A$117=H$2)*('Arbonia Original'!$B$2:$B$117=$B7),'Arbonia Original'!$D$2:$D$117,"")</f>
        <v>81</v>
      </c>
      <c r="I7" s="2" cm="1">
        <f t="array" ref="I7">_xlfn.XLOOKUP(1,('Arbonia Original'!$A$2:$A$117=I$2)*('Arbonia Original'!$B$2:$B$117=$B7),'Arbonia Original'!$D$2:$D$117,"")</f>
        <v>90</v>
      </c>
      <c r="J7" s="2" cm="1">
        <f t="array" ref="J7">_xlfn.XLOOKUP(1,('Arbonia Original'!$A$2:$A$117=J$2)*('Arbonia Original'!$B$2:$B$117=$B7),'Arbonia Original'!$D$2:$D$117,"")</f>
        <v>99</v>
      </c>
      <c r="K7" s="2" cm="1">
        <f t="array" ref="K7">_xlfn.XLOOKUP(1,('Arbonia Original'!$A$2:$A$117=K$2)*('Arbonia Original'!$B$2:$B$117=$B7),'Arbonia Original'!$D$2:$D$117,"")</f>
        <v>108</v>
      </c>
      <c r="L7" s="2" cm="1">
        <f t="array" ref="L7">_xlfn.XLOOKUP(1,('Arbonia Original'!$A$2:$A$117=L$2)*('Arbonia Original'!$B$2:$B$117=$B7),'Arbonia Original'!$D$2:$D$117,"")</f>
        <v>117</v>
      </c>
      <c r="M7" s="2" cm="1">
        <f t="array" ref="M7">_xlfn.XLOOKUP(1,('Arbonia Original'!$A$2:$A$117=M$2)*('Arbonia Original'!$B$2:$B$117=$B7),'Arbonia Original'!$D$2:$D$117,"")</f>
        <v>143</v>
      </c>
      <c r="N7" s="2" cm="1">
        <f t="array" ref="N7">_xlfn.XLOOKUP(1,('Arbonia Original'!$A$2:$A$117=N$2)*('Arbonia Original'!$B$2:$B$117=$B7),'Arbonia Original'!$D$2:$D$117,"")</f>
        <v>168</v>
      </c>
      <c r="O7" s="2" cm="1">
        <f t="array" ref="O7">_xlfn.XLOOKUP(1,('Arbonia Original'!$A$2:$A$117=O$2)*('Arbonia Original'!$B$2:$B$117=$B7),'Arbonia Original'!$D$2:$D$117,"")</f>
        <v>185</v>
      </c>
      <c r="P7" s="2" cm="1">
        <f t="array" ref="P7">_xlfn.XLOOKUP(1,('Arbonia Original'!$A$2:$A$117=P$2)*('Arbonia Original'!$B$2:$B$117=$B7),'Arbonia Original'!$D$2:$D$117,"")</f>
        <v>201</v>
      </c>
      <c r="Q7" s="2" cm="1">
        <f t="array" ref="Q7">_xlfn.XLOOKUP(1,('Arbonia Original'!$A$2:$A$117=Q$2)*('Arbonia Original'!$B$2:$B$117=$B7),'Arbonia Original'!$D$2:$D$117,"")</f>
        <v>217</v>
      </c>
      <c r="R7" s="2" cm="1">
        <f t="array" ref="R7">_xlfn.XLOOKUP(1,('Arbonia Original'!$A$2:$A$117=R$2)*('Arbonia Original'!$B$2:$B$117=$B7),'Arbonia Original'!$D$2:$D$117,"")</f>
        <v>264</v>
      </c>
      <c r="S7" s="2" cm="1">
        <f t="array" ref="S7">_xlfn.XLOOKUP(1,('Arbonia Original'!$A$2:$A$117=S$2)*('Arbonia Original'!$B$2:$B$117=$B7),'Arbonia Original'!$D$2:$D$117,"")</f>
        <v>309</v>
      </c>
      <c r="T7" s="2" cm="1">
        <f t="array" ref="T7">_xlfn.XLOOKUP(1,('Arbonia Original'!$A$2:$A$117=T$2)*('Arbonia Original'!$B$2:$B$117=$B7),'Arbonia Original'!$D$2:$D$117,"")</f>
        <v>339</v>
      </c>
      <c r="U7" s="2" cm="1">
        <f t="array" ref="U7">_xlfn.XLOOKUP(1,('Arbonia Original'!$A$2:$A$117=U$2)*('Arbonia Original'!$B$2:$B$117=$B7),'Arbonia Original'!$D$2:$D$117,"")</f>
        <v>367</v>
      </c>
      <c r="V7" s="2" cm="1">
        <f t="array" ref="V7">_xlfn.XLOOKUP(1,('Arbonia Original'!$A$2:$A$117=V$2)*('Arbonia Original'!$B$2:$B$117=$B7),'Arbonia Original'!$D$2:$D$117,"")</f>
        <v>408</v>
      </c>
      <c r="W7" s="2" cm="1">
        <f t="array" ref="W7">_xlfn.XLOOKUP(1,('Arbonia Original'!$A$2:$A$117=W$2)*('Arbonia Original'!$B$2:$B$117=$B7),'Arbonia Original'!$D$2:$D$117,"")</f>
        <v>448</v>
      </c>
      <c r="X7" s="2" cm="1">
        <f t="array" ref="X7">_xlfn.XLOOKUP(1,('Arbonia Original'!$A$2:$A$117=X$2)*('Arbonia Original'!$B$2:$B$117=$B7),'Arbonia Original'!$D$2:$D$117,"")</f>
        <v>474</v>
      </c>
      <c r="Y7" s="2" t="s">
        <v>404</v>
      </c>
    </row>
    <row r="8" spans="1:25" x14ac:dyDescent="0.2">
      <c r="P8"/>
      <c r="Q8"/>
      <c r="R8"/>
      <c r="S8"/>
      <c r="T8"/>
      <c r="U8"/>
      <c r="V8"/>
    </row>
    <row r="9" spans="1:25" ht="13.5" x14ac:dyDescent="0.25">
      <c r="A9" s="1" t="s">
        <v>150</v>
      </c>
      <c r="C9" s="4" t="s">
        <v>2</v>
      </c>
      <c r="P9"/>
      <c r="Q9"/>
      <c r="R9"/>
      <c r="S9"/>
      <c r="T9"/>
      <c r="U9"/>
      <c r="V9"/>
    </row>
    <row r="10" spans="1:25" x14ac:dyDescent="0.2">
      <c r="A10" s="1" t="s">
        <v>0</v>
      </c>
      <c r="C10" s="5">
        <f t="shared" ref="C10:X10" si="0">C$2</f>
        <v>180</v>
      </c>
      <c r="D10" s="5">
        <f t="shared" si="0"/>
        <v>190</v>
      </c>
      <c r="E10" s="5">
        <f t="shared" si="0"/>
        <v>260</v>
      </c>
      <c r="F10" s="5">
        <f t="shared" si="0"/>
        <v>300</v>
      </c>
      <c r="G10" s="5">
        <f t="shared" si="0"/>
        <v>350</v>
      </c>
      <c r="H10" s="5">
        <f t="shared" si="0"/>
        <v>400</v>
      </c>
      <c r="I10" s="5">
        <f t="shared" si="0"/>
        <v>450</v>
      </c>
      <c r="J10" s="5">
        <f t="shared" si="0"/>
        <v>500</v>
      </c>
      <c r="K10" s="5">
        <f t="shared" si="0"/>
        <v>550</v>
      </c>
      <c r="L10" s="5">
        <f t="shared" si="0"/>
        <v>600</v>
      </c>
      <c r="M10" s="5">
        <f t="shared" si="0"/>
        <v>750</v>
      </c>
      <c r="N10" s="5">
        <f t="shared" si="0"/>
        <v>900</v>
      </c>
      <c r="O10" s="5">
        <f t="shared" si="0"/>
        <v>1000</v>
      </c>
      <c r="P10" s="5">
        <f t="shared" si="0"/>
        <v>1100</v>
      </c>
      <c r="Q10" s="5">
        <f t="shared" si="0"/>
        <v>1200</v>
      </c>
      <c r="R10" s="5">
        <f t="shared" si="0"/>
        <v>1500</v>
      </c>
      <c r="S10" s="5">
        <f t="shared" si="0"/>
        <v>1800</v>
      </c>
      <c r="T10" s="5">
        <f t="shared" si="0"/>
        <v>2000</v>
      </c>
      <c r="U10" s="5">
        <f t="shared" si="0"/>
        <v>2200</v>
      </c>
      <c r="V10" s="5">
        <f t="shared" si="0"/>
        <v>2500</v>
      </c>
      <c r="W10" s="5">
        <f t="shared" si="0"/>
        <v>2800</v>
      </c>
      <c r="X10" s="5">
        <f t="shared" si="0"/>
        <v>3000</v>
      </c>
    </row>
    <row r="11" spans="1:25" ht="13.5" x14ac:dyDescent="0.25">
      <c r="A11" s="4" t="s">
        <v>3</v>
      </c>
      <c r="B11" s="2">
        <f>B3</f>
        <v>65</v>
      </c>
      <c r="C11" s="2" t="str" cm="1">
        <f t="array" ref="C11">_xlfn.XLOOKUP(1,('Arbonia Original'!$A$2:$A$117=C$10)*('Arbonia Original'!$B$2:$B$117=$B11),'Arbonia Original'!$H$2:$H$117,"")</f>
        <v/>
      </c>
      <c r="D11" s="2" cm="1">
        <f t="array" ref="D11">_xlfn.XLOOKUP(1,('Arbonia Original'!$A$2:$A$117=D$10)*('Arbonia Original'!$B$2:$B$117=$B11),'Arbonia Original'!$H$2:$H$117,"")</f>
        <v>1.23</v>
      </c>
      <c r="E11" s="2" cm="1">
        <f t="array" ref="E11">_xlfn.XLOOKUP(1,('Arbonia Original'!$A$2:$A$117=E$10)*('Arbonia Original'!$B$2:$B$117=$B11),'Arbonia Original'!$H$2:$H$117,"")</f>
        <v>1.25</v>
      </c>
      <c r="F11" s="2" cm="1">
        <f t="array" ref="F11">_xlfn.XLOOKUP(1,('Arbonia Original'!$A$2:$A$117=F$10)*('Arbonia Original'!$B$2:$B$117=$B11),'Arbonia Original'!$H$2:$H$117,"")</f>
        <v>1.26</v>
      </c>
      <c r="G11" s="2" cm="1">
        <f t="array" ref="G11">_xlfn.XLOOKUP(1,('Arbonia Original'!$A$2:$A$117=G$10)*('Arbonia Original'!$B$2:$B$117=$B11),'Arbonia Original'!$H$2:$H$117,"")</f>
        <v>1.31</v>
      </c>
      <c r="H11" s="2" cm="1">
        <f t="array" ref="H11">_xlfn.XLOOKUP(1,('Arbonia Original'!$A$2:$A$117=H$10)*('Arbonia Original'!$B$2:$B$117=$B11),'Arbonia Original'!$H$2:$H$117,"")</f>
        <v>1.31</v>
      </c>
      <c r="I11" s="2" cm="1">
        <f t="array" ref="I11">_xlfn.XLOOKUP(1,('Arbonia Original'!$A$2:$A$117=I$10)*('Arbonia Original'!$B$2:$B$117=$B11),'Arbonia Original'!$H$2:$H$117,"")</f>
        <v>1.31</v>
      </c>
      <c r="J11" s="2" cm="1">
        <f t="array" ref="J11">_xlfn.XLOOKUP(1,('Arbonia Original'!$A$2:$A$117=J$10)*('Arbonia Original'!$B$2:$B$117=$B11),'Arbonia Original'!$H$2:$H$117,"")</f>
        <v>1.31</v>
      </c>
      <c r="K11" s="2" cm="1">
        <f t="array" ref="K11">_xlfn.XLOOKUP(1,('Arbonia Original'!$A$2:$A$117=K$10)*('Arbonia Original'!$B$2:$B$117=$B11),'Arbonia Original'!$H$2:$H$117,"")</f>
        <v>1.31</v>
      </c>
      <c r="L11" s="2" cm="1">
        <f t="array" ref="L11">_xlfn.XLOOKUP(1,('Arbonia Original'!$A$2:$A$117=L$10)*('Arbonia Original'!$B$2:$B$117=$B11),'Arbonia Original'!$H$2:$H$117,"")</f>
        <v>1.31</v>
      </c>
      <c r="M11" s="2" cm="1">
        <f t="array" ref="M11">_xlfn.XLOOKUP(1,('Arbonia Original'!$A$2:$A$117=M$10)*('Arbonia Original'!$B$2:$B$117=$B11),'Arbonia Original'!$H$2:$H$117,"")</f>
        <v>1.31</v>
      </c>
      <c r="N11" s="2" cm="1">
        <f t="array" ref="N11">_xlfn.XLOOKUP(1,('Arbonia Original'!$A$2:$A$117=N$10)*('Arbonia Original'!$B$2:$B$117=$B11),'Arbonia Original'!$H$2:$H$117,"")</f>
        <v>1.31</v>
      </c>
      <c r="O11" s="2" cm="1">
        <f t="array" ref="O11">_xlfn.XLOOKUP(1,('Arbonia Original'!$A$2:$A$117=O$10)*('Arbonia Original'!$B$2:$B$117=$B11),'Arbonia Original'!$H$2:$H$117,"")</f>
        <v>1.32</v>
      </c>
      <c r="P11" s="2" cm="1">
        <f t="array" ref="P11">_xlfn.XLOOKUP(1,('Arbonia Original'!$A$2:$A$117=P$10)*('Arbonia Original'!$B$2:$B$117=$B11),'Arbonia Original'!$H$2:$H$117,"")</f>
        <v>1.32</v>
      </c>
      <c r="Q11" s="2" cm="1">
        <f t="array" ref="Q11">_xlfn.XLOOKUP(1,('Arbonia Original'!$A$2:$A$117=Q$10)*('Arbonia Original'!$B$2:$B$117=$B11),'Arbonia Original'!$H$2:$H$117,"")</f>
        <v>1.32</v>
      </c>
      <c r="R11" s="2" cm="1">
        <f t="array" ref="R11">_xlfn.XLOOKUP(1,('Arbonia Original'!$A$2:$A$117=R$10)*('Arbonia Original'!$B$2:$B$117=$B11),'Arbonia Original'!$H$2:$H$117,"")</f>
        <v>1.32</v>
      </c>
      <c r="S11" s="2" cm="1">
        <f t="array" ref="S11">_xlfn.XLOOKUP(1,('Arbonia Original'!$A$2:$A$117=S$10)*('Arbonia Original'!$B$2:$B$117=$B11),'Arbonia Original'!$H$2:$H$117,"")</f>
        <v>1.32</v>
      </c>
      <c r="T11" s="2" cm="1">
        <f t="array" ref="T11">_xlfn.XLOOKUP(1,('Arbonia Original'!$A$2:$A$117=T$10)*('Arbonia Original'!$B$2:$B$117=$B11),'Arbonia Original'!$H$2:$H$117,"")</f>
        <v>1.32</v>
      </c>
      <c r="U11" s="2" cm="1">
        <f t="array" ref="U11">_xlfn.XLOOKUP(1,('Arbonia Original'!$A$2:$A$117=U$10)*('Arbonia Original'!$B$2:$B$117=$B11),'Arbonia Original'!$H$2:$H$117,"")</f>
        <v>1.32</v>
      </c>
      <c r="V11" s="2" cm="1">
        <f t="array" ref="V11">_xlfn.XLOOKUP(1,('Arbonia Original'!$A$2:$A$117=V$10)*('Arbonia Original'!$B$2:$B$117=$B11),'Arbonia Original'!$H$2:$H$117,"")</f>
        <v>1.32</v>
      </c>
      <c r="W11" s="2" cm="1">
        <f t="array" ref="W11">_xlfn.XLOOKUP(1,('Arbonia Original'!$A$2:$A$117=W$10)*('Arbonia Original'!$B$2:$B$117=$B11),'Arbonia Original'!$H$2:$H$117,"")</f>
        <v>1.33</v>
      </c>
      <c r="X11" s="2" cm="1">
        <f t="array" ref="X11">_xlfn.XLOOKUP(1,('Arbonia Original'!$A$2:$A$117=X$10)*('Arbonia Original'!$B$2:$B$117=$B11),'Arbonia Original'!$H$2:$H$117,"")</f>
        <v>1.33</v>
      </c>
    </row>
    <row r="12" spans="1:25" x14ac:dyDescent="0.2">
      <c r="B12" s="2">
        <f>B4</f>
        <v>105</v>
      </c>
      <c r="C12" s="2" t="str" cm="1">
        <f t="array" ref="C12">_xlfn.XLOOKUP(1,('Arbonia Original'!$A$2:$A$117=C$10)*('Arbonia Original'!$B$2:$B$117=$B12),'Arbonia Original'!$H$2:$H$117,"")</f>
        <v/>
      </c>
      <c r="D12" s="2" cm="1">
        <f t="array" ref="D12">_xlfn.XLOOKUP(1,('Arbonia Original'!$A$2:$A$117=D$10)*('Arbonia Original'!$B$2:$B$117=$B12),'Arbonia Original'!$H$2:$H$117,"")</f>
        <v>1.27</v>
      </c>
      <c r="E12" s="2" cm="1">
        <f t="array" ref="E12">_xlfn.XLOOKUP(1,('Arbonia Original'!$A$2:$A$117=E$10)*('Arbonia Original'!$B$2:$B$117=$B12),'Arbonia Original'!$H$2:$H$117,"")</f>
        <v>1.31</v>
      </c>
      <c r="F12" s="2" cm="1">
        <f t="array" ref="F12">_xlfn.XLOOKUP(1,('Arbonia Original'!$A$2:$A$117=F$10)*('Arbonia Original'!$B$2:$B$117=$B12),'Arbonia Original'!$H$2:$H$117,"")</f>
        <v>1.33</v>
      </c>
      <c r="G12" s="2" cm="1">
        <f t="array" ref="G12">_xlfn.XLOOKUP(1,('Arbonia Original'!$A$2:$A$117=G$10)*('Arbonia Original'!$B$2:$B$117=$B12),'Arbonia Original'!$H$2:$H$117,"")</f>
        <v>1.36</v>
      </c>
      <c r="H12" s="2" cm="1">
        <f t="array" ref="H12">_xlfn.XLOOKUP(1,('Arbonia Original'!$A$2:$A$117=H$10)*('Arbonia Original'!$B$2:$B$117=$B12),'Arbonia Original'!$H$2:$H$117,"")</f>
        <v>1.36</v>
      </c>
      <c r="I12" s="2" cm="1">
        <f t="array" ref="I12">_xlfn.XLOOKUP(1,('Arbonia Original'!$A$2:$A$117=I$10)*('Arbonia Original'!$B$2:$B$117=$B12),'Arbonia Original'!$H$2:$H$117,"")</f>
        <v>1.36</v>
      </c>
      <c r="J12" s="2" cm="1">
        <f t="array" ref="J12">_xlfn.XLOOKUP(1,('Arbonia Original'!$A$2:$A$117=J$10)*('Arbonia Original'!$B$2:$B$117=$B12),'Arbonia Original'!$H$2:$H$117,"")</f>
        <v>1.36</v>
      </c>
      <c r="K12" s="2" cm="1">
        <f t="array" ref="K12">_xlfn.XLOOKUP(1,('Arbonia Original'!$A$2:$A$117=K$10)*('Arbonia Original'!$B$2:$B$117=$B12),'Arbonia Original'!$H$2:$H$117,"")</f>
        <v>1.36</v>
      </c>
      <c r="L12" s="2" cm="1">
        <f t="array" ref="L12">_xlfn.XLOOKUP(1,('Arbonia Original'!$A$2:$A$117=L$10)*('Arbonia Original'!$B$2:$B$117=$B12),'Arbonia Original'!$H$2:$H$117,"")</f>
        <v>1.36</v>
      </c>
      <c r="M12" s="2" cm="1">
        <f t="array" ref="M12">_xlfn.XLOOKUP(1,('Arbonia Original'!$A$2:$A$117=M$10)*('Arbonia Original'!$B$2:$B$117=$B12),'Arbonia Original'!$H$2:$H$117,"")</f>
        <v>1.36</v>
      </c>
      <c r="N12" s="2" cm="1">
        <f t="array" ref="N12">_xlfn.XLOOKUP(1,('Arbonia Original'!$A$2:$A$117=N$10)*('Arbonia Original'!$B$2:$B$117=$B12),'Arbonia Original'!$H$2:$H$117,"")</f>
        <v>1.36</v>
      </c>
      <c r="O12" s="2" cm="1">
        <f t="array" ref="O12">_xlfn.XLOOKUP(1,('Arbonia Original'!$A$2:$A$117=O$10)*('Arbonia Original'!$B$2:$B$117=$B12),'Arbonia Original'!$H$2:$H$117,"")</f>
        <v>1.36</v>
      </c>
      <c r="P12" s="2" cm="1">
        <f t="array" ref="P12">_xlfn.XLOOKUP(1,('Arbonia Original'!$A$2:$A$117=P$10)*('Arbonia Original'!$B$2:$B$117=$B12),'Arbonia Original'!$H$2:$H$117,"")</f>
        <v>1.35</v>
      </c>
      <c r="Q12" s="2" cm="1">
        <f t="array" ref="Q12">_xlfn.XLOOKUP(1,('Arbonia Original'!$A$2:$A$117=Q$10)*('Arbonia Original'!$B$2:$B$117=$B12),'Arbonia Original'!$H$2:$H$117,"")</f>
        <v>1.35</v>
      </c>
      <c r="R12" s="2" cm="1">
        <f t="array" ref="R12">_xlfn.XLOOKUP(1,('Arbonia Original'!$A$2:$A$117=R$10)*('Arbonia Original'!$B$2:$B$117=$B12),'Arbonia Original'!$H$2:$H$117,"")</f>
        <v>1.35</v>
      </c>
      <c r="S12" s="2" cm="1">
        <f t="array" ref="S12">_xlfn.XLOOKUP(1,('Arbonia Original'!$A$2:$A$117=S$10)*('Arbonia Original'!$B$2:$B$117=$B12),'Arbonia Original'!$H$2:$H$117,"")</f>
        <v>1.35</v>
      </c>
      <c r="T12" s="2" cm="1">
        <f t="array" ref="T12">_xlfn.XLOOKUP(1,('Arbonia Original'!$A$2:$A$117=T$10)*('Arbonia Original'!$B$2:$B$117=$B12),'Arbonia Original'!$H$2:$H$117,"")</f>
        <v>1.34</v>
      </c>
      <c r="U12" s="2" cm="1">
        <f t="array" ref="U12">_xlfn.XLOOKUP(1,('Arbonia Original'!$A$2:$A$117=U$10)*('Arbonia Original'!$B$2:$B$117=$B12),'Arbonia Original'!$H$2:$H$117,"")</f>
        <v>1.34</v>
      </c>
      <c r="V12" s="2" cm="1">
        <f t="array" ref="V12">_xlfn.XLOOKUP(1,('Arbonia Original'!$A$2:$A$117=V$10)*('Arbonia Original'!$B$2:$B$117=$B12),'Arbonia Original'!$H$2:$H$117,"")</f>
        <v>1.34</v>
      </c>
      <c r="W12" s="2" cm="1">
        <f t="array" ref="W12">_xlfn.XLOOKUP(1,('Arbonia Original'!$A$2:$A$117=W$10)*('Arbonia Original'!$B$2:$B$117=$B12),'Arbonia Original'!$H$2:$H$117,"")</f>
        <v>1.34</v>
      </c>
      <c r="X12" s="2" cm="1">
        <f t="array" ref="X12">_xlfn.XLOOKUP(1,('Arbonia Original'!$A$2:$A$117=X$10)*('Arbonia Original'!$B$2:$B$117=$B12),'Arbonia Original'!$H$2:$H$117,"")</f>
        <v>1.33</v>
      </c>
    </row>
    <row r="13" spans="1:25" x14ac:dyDescent="0.2">
      <c r="B13" s="2">
        <f>B5</f>
        <v>145</v>
      </c>
      <c r="C13" s="2" t="str" cm="1">
        <f t="array" ref="C13">_xlfn.XLOOKUP(1,('Arbonia Original'!$A$2:$A$117=C$10)*('Arbonia Original'!$B$2:$B$117=$B13),'Arbonia Original'!$H$2:$H$117,"")</f>
        <v/>
      </c>
      <c r="D13" s="2" cm="1">
        <f t="array" ref="D13">_xlfn.XLOOKUP(1,('Arbonia Original'!$A$2:$A$117=D$10)*('Arbonia Original'!$B$2:$B$117=$B13),'Arbonia Original'!$H$2:$H$117,"")</f>
        <v>1.25</v>
      </c>
      <c r="E13" s="2" cm="1">
        <f t="array" ref="E13">_xlfn.XLOOKUP(1,('Arbonia Original'!$A$2:$A$117=E$10)*('Arbonia Original'!$B$2:$B$117=$B13),'Arbonia Original'!$H$2:$H$117,"")</f>
        <v>1.3</v>
      </c>
      <c r="F13" s="2" cm="1">
        <f t="array" ref="F13">_xlfn.XLOOKUP(1,('Arbonia Original'!$A$2:$A$117=F$10)*('Arbonia Original'!$B$2:$B$117=$B13),'Arbonia Original'!$H$2:$H$117,"")</f>
        <v>1.33</v>
      </c>
      <c r="G13" s="2" cm="1">
        <f t="array" ref="G13">_xlfn.XLOOKUP(1,('Arbonia Original'!$A$2:$A$117=G$10)*('Arbonia Original'!$B$2:$B$117=$B13),'Arbonia Original'!$H$2:$H$117,"")</f>
        <v>1.35</v>
      </c>
      <c r="H13" s="2" cm="1">
        <f t="array" ref="H13">_xlfn.XLOOKUP(1,('Arbonia Original'!$A$2:$A$117=H$10)*('Arbonia Original'!$B$2:$B$117=$B13),'Arbonia Original'!$H$2:$H$117,"")</f>
        <v>1.35</v>
      </c>
      <c r="I13" s="2" cm="1">
        <f t="array" ref="I13">_xlfn.XLOOKUP(1,('Arbonia Original'!$A$2:$A$117=I$10)*('Arbonia Original'!$B$2:$B$117=$B13),'Arbonia Original'!$H$2:$H$117,"")</f>
        <v>1.35</v>
      </c>
      <c r="J13" s="2" cm="1">
        <f t="array" ref="J13">_xlfn.XLOOKUP(1,('Arbonia Original'!$A$2:$A$117=J$10)*('Arbonia Original'!$B$2:$B$117=$B13),'Arbonia Original'!$H$2:$H$117,"")</f>
        <v>1.35</v>
      </c>
      <c r="K13" s="2" cm="1">
        <f t="array" ref="K13">_xlfn.XLOOKUP(1,('Arbonia Original'!$A$2:$A$117=K$10)*('Arbonia Original'!$B$2:$B$117=$B13),'Arbonia Original'!$H$2:$H$117,"")</f>
        <v>1.35</v>
      </c>
      <c r="L13" s="2" cm="1">
        <f t="array" ref="L13">_xlfn.XLOOKUP(1,('Arbonia Original'!$A$2:$A$117=L$10)*('Arbonia Original'!$B$2:$B$117=$B13),'Arbonia Original'!$H$2:$H$117,"")</f>
        <v>1.35</v>
      </c>
      <c r="M13" s="2" cm="1">
        <f t="array" ref="M13">_xlfn.XLOOKUP(1,('Arbonia Original'!$A$2:$A$117=M$10)*('Arbonia Original'!$B$2:$B$117=$B13),'Arbonia Original'!$H$2:$H$117,"")</f>
        <v>1.35</v>
      </c>
      <c r="N13" s="2" cm="1">
        <f t="array" ref="N13">_xlfn.XLOOKUP(1,('Arbonia Original'!$A$2:$A$117=N$10)*('Arbonia Original'!$B$2:$B$117=$B13),'Arbonia Original'!$H$2:$H$117,"")</f>
        <v>1.35</v>
      </c>
      <c r="O13" s="2" cm="1">
        <f t="array" ref="O13">_xlfn.XLOOKUP(1,('Arbonia Original'!$A$2:$A$117=O$10)*('Arbonia Original'!$B$2:$B$117=$B13),'Arbonia Original'!$H$2:$H$117,"")</f>
        <v>1.35</v>
      </c>
      <c r="P13" s="2" cm="1">
        <f t="array" ref="P13">_xlfn.XLOOKUP(1,('Arbonia Original'!$A$2:$A$117=P$10)*('Arbonia Original'!$B$2:$B$117=$B13),'Arbonia Original'!$H$2:$H$117,"")</f>
        <v>1.35</v>
      </c>
      <c r="Q13" s="2" cm="1">
        <f t="array" ref="Q13">_xlfn.XLOOKUP(1,('Arbonia Original'!$A$2:$A$117=Q$10)*('Arbonia Original'!$B$2:$B$117=$B13),'Arbonia Original'!$H$2:$H$117,"")</f>
        <v>1.35</v>
      </c>
      <c r="R13" s="2" cm="1">
        <f t="array" ref="R13">_xlfn.XLOOKUP(1,('Arbonia Original'!$A$2:$A$117=R$10)*('Arbonia Original'!$B$2:$B$117=$B13),'Arbonia Original'!$H$2:$H$117,"")</f>
        <v>1.35</v>
      </c>
      <c r="S13" s="2" cm="1">
        <f t="array" ref="S13">_xlfn.XLOOKUP(1,('Arbonia Original'!$A$2:$A$117=S$10)*('Arbonia Original'!$B$2:$B$117=$B13),'Arbonia Original'!$H$2:$H$117,"")</f>
        <v>1.34</v>
      </c>
      <c r="T13" s="2" cm="1">
        <f t="array" ref="T13">_xlfn.XLOOKUP(1,('Arbonia Original'!$A$2:$A$117=T$10)*('Arbonia Original'!$B$2:$B$117=$B13),'Arbonia Original'!$H$2:$H$117,"")</f>
        <v>1.34</v>
      </c>
      <c r="U13" s="2" cm="1">
        <f t="array" ref="U13">_xlfn.XLOOKUP(1,('Arbonia Original'!$A$2:$A$117=U$10)*('Arbonia Original'!$B$2:$B$117=$B13),'Arbonia Original'!$H$2:$H$117,"")</f>
        <v>1.34</v>
      </c>
      <c r="V13" s="2" cm="1">
        <f t="array" ref="V13">_xlfn.XLOOKUP(1,('Arbonia Original'!$A$2:$A$117=V$10)*('Arbonia Original'!$B$2:$B$117=$B13),'Arbonia Original'!$H$2:$H$117,"")</f>
        <v>1.34</v>
      </c>
      <c r="W13" s="2" cm="1">
        <f t="array" ref="W13">_xlfn.XLOOKUP(1,('Arbonia Original'!$A$2:$A$117=W$10)*('Arbonia Original'!$B$2:$B$117=$B13),'Arbonia Original'!$H$2:$H$117,"")</f>
        <v>1.34</v>
      </c>
      <c r="X13" s="2" cm="1">
        <f t="array" ref="X13">_xlfn.XLOOKUP(1,('Arbonia Original'!$A$2:$A$117=X$10)*('Arbonia Original'!$B$2:$B$117=$B13),'Arbonia Original'!$H$2:$H$117,"")</f>
        <v>1.34</v>
      </c>
    </row>
    <row r="14" spans="1:25" x14ac:dyDescent="0.2">
      <c r="B14" s="2">
        <f>B6</f>
        <v>185</v>
      </c>
      <c r="C14" s="2" cm="1">
        <f t="array" ref="C14">_xlfn.XLOOKUP(1,('Arbonia Original'!$A$2:$A$117=C$10)*('Arbonia Original'!$B$2:$B$117=$B14),'Arbonia Original'!$H$2:$H$117,"")</f>
        <v>1.29</v>
      </c>
      <c r="D14" s="2" t="str" cm="1">
        <f t="array" ref="D14">_xlfn.XLOOKUP(1,('Arbonia Original'!$A$2:$A$117=D$10)*('Arbonia Original'!$B$2:$B$117=$B14),'Arbonia Original'!$H$2:$H$117,"")</f>
        <v/>
      </c>
      <c r="E14" s="2" cm="1">
        <f t="array" ref="E14">_xlfn.XLOOKUP(1,('Arbonia Original'!$A$2:$A$117=E$10)*('Arbonia Original'!$B$2:$B$117=$B14),'Arbonia Original'!$H$2:$H$117,"")</f>
        <v>1.33</v>
      </c>
      <c r="F14" s="2" cm="1">
        <f t="array" ref="F14">_xlfn.XLOOKUP(1,('Arbonia Original'!$A$2:$A$117=F$10)*('Arbonia Original'!$B$2:$B$117=$B14),'Arbonia Original'!$H$2:$H$117,"")</f>
        <v>1.36</v>
      </c>
      <c r="G14" s="2" cm="1">
        <f t="array" ref="G14">_xlfn.XLOOKUP(1,('Arbonia Original'!$A$2:$A$117=G$10)*('Arbonia Original'!$B$2:$B$117=$B14),'Arbonia Original'!$H$2:$H$117,"")</f>
        <v>1.39</v>
      </c>
      <c r="H14" s="2" cm="1">
        <f t="array" ref="H14">_xlfn.XLOOKUP(1,('Arbonia Original'!$A$2:$A$117=H$10)*('Arbonia Original'!$B$2:$B$117=$B14),'Arbonia Original'!$H$2:$H$117,"")</f>
        <v>1.39</v>
      </c>
      <c r="I14" s="2" cm="1">
        <f t="array" ref="I14">_xlfn.XLOOKUP(1,('Arbonia Original'!$A$2:$A$117=I$10)*('Arbonia Original'!$B$2:$B$117=$B14),'Arbonia Original'!$H$2:$H$117,"")</f>
        <v>1.39</v>
      </c>
      <c r="J14" s="2" cm="1">
        <f t="array" ref="J14">_xlfn.XLOOKUP(1,('Arbonia Original'!$A$2:$A$117=J$10)*('Arbonia Original'!$B$2:$B$117=$B14),'Arbonia Original'!$H$2:$H$117,"")</f>
        <v>1.39</v>
      </c>
      <c r="K14" s="2" cm="1">
        <f t="array" ref="K14">_xlfn.XLOOKUP(1,('Arbonia Original'!$A$2:$A$117=K$10)*('Arbonia Original'!$B$2:$B$117=$B14),'Arbonia Original'!$H$2:$H$117,"")</f>
        <v>1.39</v>
      </c>
      <c r="L14" s="2" cm="1">
        <f t="array" ref="L14">_xlfn.XLOOKUP(1,('Arbonia Original'!$A$2:$A$117=L$10)*('Arbonia Original'!$B$2:$B$117=$B14),'Arbonia Original'!$H$2:$H$117,"")</f>
        <v>1.39</v>
      </c>
      <c r="M14" s="2" cm="1">
        <f t="array" ref="M14">_xlfn.XLOOKUP(1,('Arbonia Original'!$A$2:$A$117=M$10)*('Arbonia Original'!$B$2:$B$117=$B14),'Arbonia Original'!$H$2:$H$117,"")</f>
        <v>1.39</v>
      </c>
      <c r="N14" s="2" cm="1">
        <f t="array" ref="N14">_xlfn.XLOOKUP(1,('Arbonia Original'!$A$2:$A$117=N$10)*('Arbonia Original'!$B$2:$B$117=$B14),'Arbonia Original'!$H$2:$H$117,"")</f>
        <v>1.39</v>
      </c>
      <c r="O14" s="2" cm="1">
        <f t="array" ref="O14">_xlfn.XLOOKUP(1,('Arbonia Original'!$A$2:$A$117=O$10)*('Arbonia Original'!$B$2:$B$117=$B14),'Arbonia Original'!$H$2:$H$117,"")</f>
        <v>1.38</v>
      </c>
      <c r="P14" s="2" cm="1">
        <f t="array" ref="P14">_xlfn.XLOOKUP(1,('Arbonia Original'!$A$2:$A$117=P$10)*('Arbonia Original'!$B$2:$B$117=$B14),'Arbonia Original'!$H$2:$H$117,"")</f>
        <v>1.38</v>
      </c>
      <c r="Q14" s="2" cm="1">
        <f t="array" ref="Q14">_xlfn.XLOOKUP(1,('Arbonia Original'!$A$2:$A$117=Q$10)*('Arbonia Original'!$B$2:$B$117=$B14),'Arbonia Original'!$H$2:$H$117,"")</f>
        <v>1.38</v>
      </c>
      <c r="R14" s="2" cm="1">
        <f t="array" ref="R14">_xlfn.XLOOKUP(1,('Arbonia Original'!$A$2:$A$117=R$10)*('Arbonia Original'!$B$2:$B$117=$B14),'Arbonia Original'!$H$2:$H$117,"")</f>
        <v>1.37</v>
      </c>
      <c r="S14" s="2" cm="1">
        <f t="array" ref="S14">_xlfn.XLOOKUP(1,('Arbonia Original'!$A$2:$A$117=S$10)*('Arbonia Original'!$B$2:$B$117=$B14),'Arbonia Original'!$H$2:$H$117,"")</f>
        <v>1.37</v>
      </c>
      <c r="T14" s="2" cm="1">
        <f t="array" ref="T14">_xlfn.XLOOKUP(1,('Arbonia Original'!$A$2:$A$117=T$10)*('Arbonia Original'!$B$2:$B$117=$B14),'Arbonia Original'!$H$2:$H$117,"")</f>
        <v>1.37</v>
      </c>
      <c r="U14" s="2" cm="1">
        <f t="array" ref="U14">_xlfn.XLOOKUP(1,('Arbonia Original'!$A$2:$A$117=U$10)*('Arbonia Original'!$B$2:$B$117=$B14),'Arbonia Original'!$H$2:$H$117,"")</f>
        <v>1.36</v>
      </c>
      <c r="V14" s="2" cm="1">
        <f t="array" ref="V14">_xlfn.XLOOKUP(1,('Arbonia Original'!$A$2:$A$117=V$10)*('Arbonia Original'!$B$2:$B$117=$B14),'Arbonia Original'!$H$2:$H$117,"")</f>
        <v>1.36</v>
      </c>
      <c r="W14" s="2" cm="1">
        <f t="array" ref="W14">_xlfn.XLOOKUP(1,('Arbonia Original'!$A$2:$A$117=W$10)*('Arbonia Original'!$B$2:$B$117=$B14),'Arbonia Original'!$H$2:$H$117,"")</f>
        <v>1.35</v>
      </c>
      <c r="X14" s="2" cm="1">
        <f t="array" ref="X14">_xlfn.XLOOKUP(1,('Arbonia Original'!$A$2:$A$117=X$10)*('Arbonia Original'!$B$2:$B$117=$B14),'Arbonia Original'!$H$2:$H$117,"")</f>
        <v>1.35</v>
      </c>
    </row>
    <row r="15" spans="1:25" x14ac:dyDescent="0.2">
      <c r="B15" s="2">
        <f>B7</f>
        <v>225</v>
      </c>
      <c r="C15" s="2" cm="1">
        <f t="array" ref="C15">_xlfn.XLOOKUP(1,('Arbonia Original'!$A$2:$A$117=C$10)*('Arbonia Original'!$B$2:$B$117=$B15),'Arbonia Original'!$H$2:$H$117,"")</f>
        <v>1.31</v>
      </c>
      <c r="D15" s="2" t="str" cm="1">
        <f t="array" ref="D15">_xlfn.XLOOKUP(1,('Arbonia Original'!$A$2:$A$117=D$10)*('Arbonia Original'!$B$2:$B$117=$B15),'Arbonia Original'!$H$2:$H$117,"")</f>
        <v/>
      </c>
      <c r="E15" s="2" cm="1">
        <f t="array" ref="E15">_xlfn.XLOOKUP(1,('Arbonia Original'!$A$2:$A$117=E$10)*('Arbonia Original'!$B$2:$B$117=$B15),'Arbonia Original'!$H$2:$H$117,"")</f>
        <v>1.36</v>
      </c>
      <c r="F15" s="2" cm="1">
        <f t="array" ref="F15">_xlfn.XLOOKUP(1,('Arbonia Original'!$A$2:$A$117=F$10)*('Arbonia Original'!$B$2:$B$117=$B15),'Arbonia Original'!$H$2:$H$117,"")</f>
        <v>1.39</v>
      </c>
      <c r="G15" s="2" cm="1">
        <f t="array" ref="G15">_xlfn.XLOOKUP(1,('Arbonia Original'!$A$2:$A$117=G$10)*('Arbonia Original'!$B$2:$B$117=$B15),'Arbonia Original'!$H$2:$H$117,"")</f>
        <v>1.41</v>
      </c>
      <c r="H15" s="2" cm="1">
        <f t="array" ref="H15">_xlfn.XLOOKUP(1,('Arbonia Original'!$A$2:$A$117=H$10)*('Arbonia Original'!$B$2:$B$117=$B15),'Arbonia Original'!$H$2:$H$117,"")</f>
        <v>1.41</v>
      </c>
      <c r="I15" s="2" cm="1">
        <f t="array" ref="I15">_xlfn.XLOOKUP(1,('Arbonia Original'!$A$2:$A$117=I$10)*('Arbonia Original'!$B$2:$B$117=$B15),'Arbonia Original'!$H$2:$H$117,"")</f>
        <v>1.41</v>
      </c>
      <c r="J15" s="2" cm="1">
        <f t="array" ref="J15">_xlfn.XLOOKUP(1,('Arbonia Original'!$A$2:$A$117=J$10)*('Arbonia Original'!$B$2:$B$117=$B15),'Arbonia Original'!$H$2:$H$117,"")</f>
        <v>1.41</v>
      </c>
      <c r="K15" s="2" cm="1">
        <f t="array" ref="K15">_xlfn.XLOOKUP(1,('Arbonia Original'!$A$2:$A$117=K$10)*('Arbonia Original'!$B$2:$B$117=$B15),'Arbonia Original'!$H$2:$H$117,"")</f>
        <v>1.41</v>
      </c>
      <c r="L15" s="2" cm="1">
        <f t="array" ref="L15">_xlfn.XLOOKUP(1,('Arbonia Original'!$A$2:$A$117=L$10)*('Arbonia Original'!$B$2:$B$117=$B15),'Arbonia Original'!$H$2:$H$117,"")</f>
        <v>1.41</v>
      </c>
      <c r="M15" s="2" cm="1">
        <f t="array" ref="M15">_xlfn.XLOOKUP(1,('Arbonia Original'!$A$2:$A$117=M$10)*('Arbonia Original'!$B$2:$B$117=$B15),'Arbonia Original'!$H$2:$H$117,"")</f>
        <v>1.4</v>
      </c>
      <c r="N15" s="2" cm="1">
        <f t="array" ref="N15">_xlfn.XLOOKUP(1,('Arbonia Original'!$A$2:$A$117=N$10)*('Arbonia Original'!$B$2:$B$117=$B15),'Arbonia Original'!$H$2:$H$117,"")</f>
        <v>1.4</v>
      </c>
      <c r="O15" s="2" cm="1">
        <f t="array" ref="O15">_xlfn.XLOOKUP(1,('Arbonia Original'!$A$2:$A$117=O$10)*('Arbonia Original'!$B$2:$B$117=$B15),'Arbonia Original'!$H$2:$H$117,"")</f>
        <v>1.4</v>
      </c>
      <c r="P15" s="2" cm="1">
        <f t="array" ref="P15">_xlfn.XLOOKUP(1,('Arbonia Original'!$A$2:$A$117=P$10)*('Arbonia Original'!$B$2:$B$117=$B15),'Arbonia Original'!$H$2:$H$117,"")</f>
        <v>1.4</v>
      </c>
      <c r="Q15" s="2" cm="1">
        <f t="array" ref="Q15">_xlfn.XLOOKUP(1,('Arbonia Original'!$A$2:$A$117=Q$10)*('Arbonia Original'!$B$2:$B$117=$B15),'Arbonia Original'!$H$2:$H$117,"")</f>
        <v>1.4</v>
      </c>
      <c r="R15" s="2" cm="1">
        <f t="array" ref="R15">_xlfn.XLOOKUP(1,('Arbonia Original'!$A$2:$A$117=R$10)*('Arbonia Original'!$B$2:$B$117=$B15),'Arbonia Original'!$H$2:$H$117,"")</f>
        <v>1.4</v>
      </c>
      <c r="S15" s="2" cm="1">
        <f t="array" ref="S15">_xlfn.XLOOKUP(1,('Arbonia Original'!$A$2:$A$117=S$10)*('Arbonia Original'!$B$2:$B$117=$B15),'Arbonia Original'!$H$2:$H$117,"")</f>
        <v>1.39</v>
      </c>
      <c r="T15" s="2" cm="1">
        <f t="array" ref="T15">_xlfn.XLOOKUP(1,('Arbonia Original'!$A$2:$A$117=T$10)*('Arbonia Original'!$B$2:$B$117=$B15),'Arbonia Original'!$H$2:$H$117,"")</f>
        <v>1.39</v>
      </c>
      <c r="U15" s="2" cm="1">
        <f t="array" ref="U15">_xlfn.XLOOKUP(1,('Arbonia Original'!$A$2:$A$117=U$10)*('Arbonia Original'!$B$2:$B$117=$B15),'Arbonia Original'!$H$2:$H$117,"")</f>
        <v>1.39</v>
      </c>
      <c r="V15" s="2" cm="1">
        <f t="array" ref="V15">_xlfn.XLOOKUP(1,('Arbonia Original'!$A$2:$A$117=V$10)*('Arbonia Original'!$B$2:$B$117=$B15),'Arbonia Original'!$H$2:$H$117,"")</f>
        <v>1.39</v>
      </c>
      <c r="W15" s="2" cm="1">
        <f t="array" ref="W15">_xlfn.XLOOKUP(1,('Arbonia Original'!$A$2:$A$117=W$10)*('Arbonia Original'!$B$2:$B$117=$B15),'Arbonia Original'!$H$2:$H$117,"")</f>
        <v>1.38</v>
      </c>
      <c r="X15" s="2" cm="1">
        <f t="array" ref="X15">_xlfn.XLOOKUP(1,('Arbonia Original'!$A$2:$A$117=X$10)*('Arbonia Original'!$B$2:$B$117=$B15),'Arbonia Original'!$H$2:$H$117,"")</f>
        <v>1.38</v>
      </c>
    </row>
    <row r="16" spans="1:25" x14ac:dyDescent="0.2">
      <c r="P16"/>
      <c r="Q16"/>
      <c r="R16"/>
      <c r="S16"/>
      <c r="T16"/>
      <c r="U16"/>
      <c r="V16"/>
    </row>
    <row r="17" spans="1:49" ht="26.25" x14ac:dyDescent="0.25">
      <c r="A17" s="57" t="s">
        <v>151</v>
      </c>
      <c r="C17" s="4" t="s">
        <v>2</v>
      </c>
      <c r="P17"/>
      <c r="Q17"/>
      <c r="R17"/>
      <c r="S17"/>
      <c r="T17"/>
      <c r="U17"/>
      <c r="V17"/>
    </row>
    <row r="18" spans="1:49" ht="12.75" customHeight="1" x14ac:dyDescent="0.2">
      <c r="A18" s="1" t="s">
        <v>152</v>
      </c>
      <c r="C18" s="5">
        <f t="shared" ref="C18:X18" si="1">C$2</f>
        <v>180</v>
      </c>
      <c r="D18" s="5">
        <f t="shared" si="1"/>
        <v>190</v>
      </c>
      <c r="E18" s="5">
        <f t="shared" si="1"/>
        <v>260</v>
      </c>
      <c r="F18" s="5">
        <f t="shared" si="1"/>
        <v>300</v>
      </c>
      <c r="G18" s="5">
        <f t="shared" si="1"/>
        <v>350</v>
      </c>
      <c r="H18" s="5">
        <f t="shared" si="1"/>
        <v>400</v>
      </c>
      <c r="I18" s="5">
        <f t="shared" si="1"/>
        <v>450</v>
      </c>
      <c r="J18" s="5">
        <f t="shared" si="1"/>
        <v>500</v>
      </c>
      <c r="K18" s="5">
        <f t="shared" si="1"/>
        <v>550</v>
      </c>
      <c r="L18" s="5">
        <f t="shared" si="1"/>
        <v>600</v>
      </c>
      <c r="M18" s="5">
        <f t="shared" si="1"/>
        <v>750</v>
      </c>
      <c r="N18" s="5">
        <f t="shared" si="1"/>
        <v>900</v>
      </c>
      <c r="O18" s="5">
        <f t="shared" si="1"/>
        <v>1000</v>
      </c>
      <c r="P18" s="5">
        <f t="shared" si="1"/>
        <v>1100</v>
      </c>
      <c r="Q18" s="5">
        <f t="shared" si="1"/>
        <v>1200</v>
      </c>
      <c r="R18" s="5">
        <f t="shared" si="1"/>
        <v>1500</v>
      </c>
      <c r="S18" s="5">
        <f t="shared" si="1"/>
        <v>1800</v>
      </c>
      <c r="T18" s="5">
        <f t="shared" si="1"/>
        <v>2000</v>
      </c>
      <c r="U18" s="5">
        <f t="shared" si="1"/>
        <v>2200</v>
      </c>
      <c r="V18" s="5">
        <f t="shared" si="1"/>
        <v>2500</v>
      </c>
      <c r="W18" s="5">
        <f t="shared" si="1"/>
        <v>2800</v>
      </c>
      <c r="X18" s="5">
        <f t="shared" si="1"/>
        <v>3000</v>
      </c>
    </row>
    <row r="19" spans="1:49" ht="13.5" customHeight="1" x14ac:dyDescent="0.25">
      <c r="A19" s="4" t="s">
        <v>3</v>
      </c>
      <c r="B19" s="2">
        <f>B3</f>
        <v>65</v>
      </c>
      <c r="C19" s="2" t="str" cm="1">
        <f t="array" ref="C19">_xlfn.XLOOKUP(1,('Arbonia Original'!$A$2:$A$117=C$18)*('Arbonia Original'!$B$2:$B$117=$B19),'Arbonia Original'!$I$2:$I$117,"")</f>
        <v/>
      </c>
      <c r="D19" s="2" cm="1">
        <f t="array" ref="D19">_xlfn.XLOOKUP(1,('Arbonia Original'!$A$2:$A$117=D$18)*('Arbonia Original'!$B$2:$B$117=$B19),'Arbonia Original'!$I$2:$I$117,"")</f>
        <v>0.33</v>
      </c>
      <c r="E19" s="2" cm="1">
        <f t="array" ref="E19">_xlfn.XLOOKUP(1,('Arbonia Original'!$A$2:$A$117=E$18)*('Arbonia Original'!$B$2:$B$117=$B19),'Arbonia Original'!$I$2:$I$117,"")</f>
        <v>0.42</v>
      </c>
      <c r="F19" s="2" cm="1">
        <f t="array" ref="F19">_xlfn.XLOOKUP(1,('Arbonia Original'!$A$2:$A$117=F$18)*('Arbonia Original'!$B$2:$B$117=$B19),'Arbonia Original'!$I$2:$I$117,"")</f>
        <v>0.47</v>
      </c>
      <c r="G19" s="2" cm="1">
        <f t="array" ref="G19">_xlfn.XLOOKUP(1,('Arbonia Original'!$A$2:$A$117=G$18)*('Arbonia Original'!$B$2:$B$117=$B19),'Arbonia Original'!$I$2:$I$117,"")</f>
        <v>0.53</v>
      </c>
      <c r="H19" s="2" cm="1">
        <f t="array" ref="H19">_xlfn.XLOOKUP(1,('Arbonia Original'!$A$2:$A$117=H$18)*('Arbonia Original'!$B$2:$B$117=$B19),'Arbonia Original'!$I$2:$I$117,"")</f>
        <v>0.59</v>
      </c>
      <c r="I19" s="2" cm="1">
        <f t="array" ref="I19">_xlfn.XLOOKUP(1,('Arbonia Original'!$A$2:$A$117=I$18)*('Arbonia Original'!$B$2:$B$117=$B19),'Arbonia Original'!$I$2:$I$117,"")</f>
        <v>0.65</v>
      </c>
      <c r="J19" s="2" cm="1">
        <f t="array" ref="J19">_xlfn.XLOOKUP(1,('Arbonia Original'!$A$2:$A$117=J$18)*('Arbonia Original'!$B$2:$B$117=$B19),'Arbonia Original'!$I$2:$I$117,"")</f>
        <v>0.71</v>
      </c>
      <c r="K19" s="2" cm="1">
        <f t="array" ref="K19">_xlfn.XLOOKUP(1,('Arbonia Original'!$A$2:$A$117=K$18)*('Arbonia Original'!$B$2:$B$117=$B19),'Arbonia Original'!$I$2:$I$117,"")</f>
        <v>0.77</v>
      </c>
      <c r="L19" s="2" cm="1">
        <f t="array" ref="L19">_xlfn.XLOOKUP(1,('Arbonia Original'!$A$2:$A$117=L$18)*('Arbonia Original'!$B$2:$B$117=$B19),'Arbonia Original'!$I$2:$I$117,"")</f>
        <v>0.83</v>
      </c>
      <c r="M19" s="2" cm="1">
        <f t="array" ref="M19">_xlfn.XLOOKUP(1,('Arbonia Original'!$A$2:$A$117=M$18)*('Arbonia Original'!$B$2:$B$117=$B19),'Arbonia Original'!$I$2:$I$117,"")</f>
        <v>1.02</v>
      </c>
      <c r="N19" s="2" cm="1">
        <f t="array" ref="N19">_xlfn.XLOOKUP(1,('Arbonia Original'!$A$2:$A$117=N$18)*('Arbonia Original'!$B$2:$B$117=$B19),'Arbonia Original'!$I$2:$I$117,"")</f>
        <v>1.2</v>
      </c>
      <c r="O19" s="2" cm="1">
        <f t="array" ref="O19">_xlfn.XLOOKUP(1,('Arbonia Original'!$A$2:$A$117=O$18)*('Arbonia Original'!$B$2:$B$117=$B19),'Arbonia Original'!$I$2:$I$117,"")</f>
        <v>1.32</v>
      </c>
      <c r="P19" s="2" cm="1">
        <f t="array" ref="P19">_xlfn.XLOOKUP(1,('Arbonia Original'!$A$2:$A$117=P$18)*('Arbonia Original'!$B$2:$B$117=$B19),'Arbonia Original'!$I$2:$I$117,"")</f>
        <v>1.44</v>
      </c>
      <c r="Q19" s="2" cm="1">
        <f t="array" ref="Q19">_xlfn.XLOOKUP(1,('Arbonia Original'!$A$2:$A$117=Q$18)*('Arbonia Original'!$B$2:$B$117=$B19),'Arbonia Original'!$I$2:$I$117,"")</f>
        <v>1.56</v>
      </c>
      <c r="R19" s="2" cm="1">
        <f t="array" ref="R19">_xlfn.XLOOKUP(1,('Arbonia Original'!$A$2:$A$117=R$18)*('Arbonia Original'!$B$2:$B$117=$B19),'Arbonia Original'!$I$2:$I$117,"")</f>
        <v>1.93</v>
      </c>
      <c r="S19" s="2" cm="1">
        <f t="array" ref="S19">_xlfn.XLOOKUP(1,('Arbonia Original'!$A$2:$A$117=S$18)*('Arbonia Original'!$B$2:$B$117=$B19),'Arbonia Original'!$I$2:$I$117,"")</f>
        <v>2.29</v>
      </c>
      <c r="T19" s="2" cm="1">
        <f t="array" ref="T19">_xlfn.XLOOKUP(1,('Arbonia Original'!$A$2:$A$117=T$18)*('Arbonia Original'!$B$2:$B$117=$B19),'Arbonia Original'!$I$2:$I$117,"")</f>
        <v>2.5299999999999998</v>
      </c>
      <c r="U19" s="2" cm="1">
        <f t="array" ref="U19">_xlfn.XLOOKUP(1,('Arbonia Original'!$A$2:$A$117=U$18)*('Arbonia Original'!$B$2:$B$117=$B19),'Arbonia Original'!$I$2:$I$117,"")</f>
        <v>2.78</v>
      </c>
      <c r="V19" s="2" cm="1">
        <f t="array" ref="V19">_xlfn.XLOOKUP(1,('Arbonia Original'!$A$2:$A$117=V$18)*('Arbonia Original'!$B$2:$B$117=$B19),'Arbonia Original'!$I$2:$I$117,"")</f>
        <v>3.14</v>
      </c>
      <c r="W19" s="2" cm="1">
        <f t="array" ref="W19">_xlfn.XLOOKUP(1,('Arbonia Original'!$A$2:$A$117=W$18)*('Arbonia Original'!$B$2:$B$117=$B19),'Arbonia Original'!$I$2:$I$117,"")</f>
        <v>3.5</v>
      </c>
      <c r="X19" s="2" cm="1">
        <f t="array" ref="X19">_xlfn.XLOOKUP(1,('Arbonia Original'!$A$2:$A$117=X$18)*('Arbonia Original'!$B$2:$B$117=$B19),'Arbonia Original'!$I$2:$I$117,"")</f>
        <v>3.75</v>
      </c>
    </row>
    <row r="20" spans="1:49" ht="12.75" customHeight="1" x14ac:dyDescent="0.2">
      <c r="B20" s="2">
        <f>B4</f>
        <v>105</v>
      </c>
      <c r="C20" s="2" t="str" cm="1">
        <f t="array" ref="C20">_xlfn.XLOOKUP(1,('Arbonia Original'!$A$2:$A$117=C$18)*('Arbonia Original'!$B$2:$B$117=$B20),'Arbonia Original'!$I$2:$I$117,"")</f>
        <v/>
      </c>
      <c r="D20" s="2" cm="1">
        <f t="array" ref="D20">_xlfn.XLOOKUP(1,('Arbonia Original'!$A$2:$A$117=D$18)*('Arbonia Original'!$B$2:$B$117=$B20),'Arbonia Original'!$I$2:$I$117,"")</f>
        <v>0.5</v>
      </c>
      <c r="E20" s="2" cm="1">
        <f t="array" ref="E20">_xlfn.XLOOKUP(1,('Arbonia Original'!$A$2:$A$117=E$18)*('Arbonia Original'!$B$2:$B$117=$B20),'Arbonia Original'!$I$2:$I$117,"")</f>
        <v>0.63</v>
      </c>
      <c r="F20" s="2" cm="1">
        <f t="array" ref="F20">_xlfn.XLOOKUP(1,('Arbonia Original'!$A$2:$A$117=F$18)*('Arbonia Original'!$B$2:$B$117=$B20),'Arbonia Original'!$I$2:$I$117,"")</f>
        <v>0.7</v>
      </c>
      <c r="G20" s="2" cm="1">
        <f t="array" ref="G20">_xlfn.XLOOKUP(1,('Arbonia Original'!$A$2:$A$117=G$18)*('Arbonia Original'!$B$2:$B$117=$B20),'Arbonia Original'!$I$2:$I$117,"")</f>
        <v>0.79</v>
      </c>
      <c r="H20" s="2" cm="1">
        <f t="array" ref="H20">_xlfn.XLOOKUP(1,('Arbonia Original'!$A$2:$A$117=H$18)*('Arbonia Original'!$B$2:$B$117=$B20),'Arbonia Original'!$I$2:$I$117,"")</f>
        <v>0.88</v>
      </c>
      <c r="I20" s="2" cm="1">
        <f t="array" ref="I20">_xlfn.XLOOKUP(1,('Arbonia Original'!$A$2:$A$117=I$18)*('Arbonia Original'!$B$2:$B$117=$B20),'Arbonia Original'!$I$2:$I$117,"")</f>
        <v>0.97</v>
      </c>
      <c r="J20" s="2" cm="1">
        <f t="array" ref="J20">_xlfn.XLOOKUP(1,('Arbonia Original'!$A$2:$A$117=J$18)*('Arbonia Original'!$B$2:$B$117=$B20),'Arbonia Original'!$I$2:$I$117,"")</f>
        <v>1.06</v>
      </c>
      <c r="K20" s="2" cm="1">
        <f t="array" ref="K20">_xlfn.XLOOKUP(1,('Arbonia Original'!$A$2:$A$117=K$18)*('Arbonia Original'!$B$2:$B$117=$B20),'Arbonia Original'!$I$2:$I$117,"")</f>
        <v>1.1599999999999999</v>
      </c>
      <c r="L20" s="2" cm="1">
        <f t="array" ref="L20">_xlfn.XLOOKUP(1,('Arbonia Original'!$A$2:$A$117=L$18)*('Arbonia Original'!$B$2:$B$117=$B20),'Arbonia Original'!$I$2:$I$117,"")</f>
        <v>1.25</v>
      </c>
      <c r="M20" s="2" cm="1">
        <f t="array" ref="M20">_xlfn.XLOOKUP(1,('Arbonia Original'!$A$2:$A$117=M$18)*('Arbonia Original'!$B$2:$B$117=$B20),'Arbonia Original'!$I$2:$I$117,"")</f>
        <v>1.52</v>
      </c>
      <c r="N20" s="2" cm="1">
        <f t="array" ref="N20">_xlfn.XLOOKUP(1,('Arbonia Original'!$A$2:$A$117=N$18)*('Arbonia Original'!$B$2:$B$117=$B20),'Arbonia Original'!$I$2:$I$117,"")</f>
        <v>1.79</v>
      </c>
      <c r="O20" s="2" cm="1">
        <f t="array" ref="O20">_xlfn.XLOOKUP(1,('Arbonia Original'!$A$2:$A$117=O$18)*('Arbonia Original'!$B$2:$B$117=$B20),'Arbonia Original'!$I$2:$I$117,"")</f>
        <v>1.98</v>
      </c>
      <c r="P20" s="2" cm="1">
        <f t="array" ref="P20">_xlfn.XLOOKUP(1,('Arbonia Original'!$A$2:$A$117=P$18)*('Arbonia Original'!$B$2:$B$117=$B20),'Arbonia Original'!$I$2:$I$117,"")</f>
        <v>2.16</v>
      </c>
      <c r="Q20" s="2" cm="1">
        <f t="array" ref="Q20">_xlfn.XLOOKUP(1,('Arbonia Original'!$A$2:$A$117=Q$18)*('Arbonia Original'!$B$2:$B$117=$B20),'Arbonia Original'!$I$2:$I$117,"")</f>
        <v>2.34</v>
      </c>
      <c r="R20" s="2" cm="1">
        <f t="array" ref="R20">_xlfn.XLOOKUP(1,('Arbonia Original'!$A$2:$A$117=R$18)*('Arbonia Original'!$B$2:$B$117=$B20),'Arbonia Original'!$I$2:$I$117,"")</f>
        <v>2.89</v>
      </c>
      <c r="S20" s="2" cm="1">
        <f t="array" ref="S20">_xlfn.XLOOKUP(1,('Arbonia Original'!$A$2:$A$117=S$18)*('Arbonia Original'!$B$2:$B$117=$B20),'Arbonia Original'!$I$2:$I$117,"")</f>
        <v>3.43</v>
      </c>
      <c r="T20" s="2" cm="1">
        <f t="array" ref="T20">_xlfn.XLOOKUP(1,('Arbonia Original'!$A$2:$A$117=T$18)*('Arbonia Original'!$B$2:$B$117=$B20),'Arbonia Original'!$I$2:$I$117,"")</f>
        <v>3.8</v>
      </c>
      <c r="U20" s="2" cm="1">
        <f t="array" ref="U20">_xlfn.XLOOKUP(1,('Arbonia Original'!$A$2:$A$117=U$18)*('Arbonia Original'!$B$2:$B$117=$B20),'Arbonia Original'!$I$2:$I$117,"")</f>
        <v>4.16</v>
      </c>
      <c r="V20" s="2" cm="1">
        <f t="array" ref="V20">_xlfn.XLOOKUP(1,('Arbonia Original'!$A$2:$A$117=V$18)*('Arbonia Original'!$B$2:$B$117=$B20),'Arbonia Original'!$I$2:$I$117,"")</f>
        <v>4.71</v>
      </c>
      <c r="W20" s="2" cm="1">
        <f t="array" ref="W20">_xlfn.XLOOKUP(1,('Arbonia Original'!$A$2:$A$117=W$18)*('Arbonia Original'!$B$2:$B$117=$B20),'Arbonia Original'!$I$2:$I$117,"")</f>
        <v>5.25</v>
      </c>
      <c r="X20" s="2" cm="1">
        <f t="array" ref="X20">_xlfn.XLOOKUP(1,('Arbonia Original'!$A$2:$A$117=X$18)*('Arbonia Original'!$B$2:$B$117=$B20),'Arbonia Original'!$I$2:$I$117,"")</f>
        <v>5.62</v>
      </c>
    </row>
    <row r="21" spans="1:49" ht="12.75" customHeight="1" x14ac:dyDescent="0.2">
      <c r="B21" s="2">
        <f>B5</f>
        <v>145</v>
      </c>
      <c r="C21" s="2" t="str" cm="1">
        <f t="array" ref="C21">_xlfn.XLOOKUP(1,('Arbonia Original'!$A$2:$A$117=C$18)*('Arbonia Original'!$B$2:$B$117=$B21),'Arbonia Original'!$I$2:$I$117,"")</f>
        <v/>
      </c>
      <c r="D21" s="2" cm="1">
        <f t="array" ref="D21">_xlfn.XLOOKUP(1,('Arbonia Original'!$A$2:$A$117=D$18)*('Arbonia Original'!$B$2:$B$117=$B21),'Arbonia Original'!$I$2:$I$117,"")</f>
        <v>0.66</v>
      </c>
      <c r="E21" s="2" cm="1">
        <f t="array" ref="E21">_xlfn.XLOOKUP(1,('Arbonia Original'!$A$2:$A$117=E$18)*('Arbonia Original'!$B$2:$B$117=$B21),'Arbonia Original'!$I$2:$I$117,"")</f>
        <v>0.84</v>
      </c>
      <c r="F21" s="2" cm="1">
        <f t="array" ref="F21">_xlfn.XLOOKUP(1,('Arbonia Original'!$A$2:$A$117=F$18)*('Arbonia Original'!$B$2:$B$117=$B21),'Arbonia Original'!$I$2:$I$117,"")</f>
        <v>0.93</v>
      </c>
      <c r="G21" s="2" cm="1">
        <f t="array" ref="G21">_xlfn.XLOOKUP(1,('Arbonia Original'!$A$2:$A$117=G$18)*('Arbonia Original'!$B$2:$B$117=$B21),'Arbonia Original'!$I$2:$I$117,"")</f>
        <v>1.06</v>
      </c>
      <c r="H21" s="2" cm="1">
        <f t="array" ref="H21">_xlfn.XLOOKUP(1,('Arbonia Original'!$A$2:$A$117=H$18)*('Arbonia Original'!$B$2:$B$117=$B21),'Arbonia Original'!$I$2:$I$117,"")</f>
        <v>1.18</v>
      </c>
      <c r="I21" s="2" cm="1">
        <f t="array" ref="I21">_xlfn.XLOOKUP(1,('Arbonia Original'!$A$2:$A$117=I$18)*('Arbonia Original'!$B$2:$B$117=$B21),'Arbonia Original'!$I$2:$I$117,"")</f>
        <v>1.3</v>
      </c>
      <c r="J21" s="2" cm="1">
        <f t="array" ref="J21">_xlfn.XLOOKUP(1,('Arbonia Original'!$A$2:$A$117=J$18)*('Arbonia Original'!$B$2:$B$117=$B21),'Arbonia Original'!$I$2:$I$117,"")</f>
        <v>1.42</v>
      </c>
      <c r="K21" s="2" cm="1">
        <f t="array" ref="K21">_xlfn.XLOOKUP(1,('Arbonia Original'!$A$2:$A$117=K$18)*('Arbonia Original'!$B$2:$B$117=$B21),'Arbonia Original'!$I$2:$I$117,"")</f>
        <v>1.54</v>
      </c>
      <c r="L21" s="2" cm="1">
        <f t="array" ref="L21">_xlfn.XLOOKUP(1,('Arbonia Original'!$A$2:$A$117=L$18)*('Arbonia Original'!$B$2:$B$117=$B21),'Arbonia Original'!$I$2:$I$117,"")</f>
        <v>1.66</v>
      </c>
      <c r="M21" s="2" cm="1">
        <f t="array" ref="M21">_xlfn.XLOOKUP(1,('Arbonia Original'!$A$2:$A$117=M$18)*('Arbonia Original'!$B$2:$B$117=$B21),'Arbonia Original'!$I$2:$I$117,"")</f>
        <v>2.0299999999999998</v>
      </c>
      <c r="N21" s="2" cm="1">
        <f t="array" ref="N21">_xlfn.XLOOKUP(1,('Arbonia Original'!$A$2:$A$117=N$18)*('Arbonia Original'!$B$2:$B$117=$B21),'Arbonia Original'!$I$2:$I$117,"")</f>
        <v>2.39</v>
      </c>
      <c r="O21" s="2" cm="1">
        <f t="array" ref="O21">_xlfn.XLOOKUP(1,('Arbonia Original'!$A$2:$A$117=O$18)*('Arbonia Original'!$B$2:$B$117=$B21),'Arbonia Original'!$I$2:$I$117,"")</f>
        <v>2.63</v>
      </c>
      <c r="P21" s="2" cm="1">
        <f t="array" ref="P21">_xlfn.XLOOKUP(1,('Arbonia Original'!$A$2:$A$117=P$18)*('Arbonia Original'!$B$2:$B$117=$B21),'Arbonia Original'!$I$2:$I$117,"")</f>
        <v>2.88</v>
      </c>
      <c r="Q21" s="2" cm="1">
        <f t="array" ref="Q21">_xlfn.XLOOKUP(1,('Arbonia Original'!$A$2:$A$117=Q$18)*('Arbonia Original'!$B$2:$B$117=$B21),'Arbonia Original'!$I$2:$I$117,"")</f>
        <v>3.12</v>
      </c>
      <c r="R21" s="2" cm="1">
        <f t="array" ref="R21">_xlfn.XLOOKUP(1,('Arbonia Original'!$A$2:$A$117=R$18)*('Arbonia Original'!$B$2:$B$117=$B21),'Arbonia Original'!$I$2:$I$117,"")</f>
        <v>3.85</v>
      </c>
      <c r="S21" s="2" cm="1">
        <f t="array" ref="S21">_xlfn.XLOOKUP(1,('Arbonia Original'!$A$2:$A$117=S$18)*('Arbonia Original'!$B$2:$B$117=$B21),'Arbonia Original'!$I$2:$I$117,"")</f>
        <v>4.58</v>
      </c>
      <c r="T21" s="2" cm="1">
        <f t="array" ref="T21">_xlfn.XLOOKUP(1,('Arbonia Original'!$A$2:$A$117=T$18)*('Arbonia Original'!$B$2:$B$117=$B21),'Arbonia Original'!$I$2:$I$117,"")</f>
        <v>5.0599999999999996</v>
      </c>
      <c r="U21" s="2" cm="1">
        <f t="array" ref="U21">_xlfn.XLOOKUP(1,('Arbonia Original'!$A$2:$A$117=U$18)*('Arbonia Original'!$B$2:$B$117=$B21),'Arbonia Original'!$I$2:$I$117,"")</f>
        <v>5.55</v>
      </c>
      <c r="V21" s="2" cm="1">
        <f t="array" ref="V21">_xlfn.XLOOKUP(1,('Arbonia Original'!$A$2:$A$117=V$18)*('Arbonia Original'!$B$2:$B$117=$B21),'Arbonia Original'!$I$2:$I$117,"")</f>
        <v>6.27</v>
      </c>
      <c r="W21" s="2" cm="1">
        <f t="array" ref="W21">_xlfn.XLOOKUP(1,('Arbonia Original'!$A$2:$A$117=W$18)*('Arbonia Original'!$B$2:$B$117=$B21),'Arbonia Original'!$I$2:$I$117,"")</f>
        <v>7</v>
      </c>
      <c r="X21" s="2" cm="1">
        <f t="array" ref="X21">_xlfn.XLOOKUP(1,('Arbonia Original'!$A$2:$A$117=X$18)*('Arbonia Original'!$B$2:$B$117=$B21),'Arbonia Original'!$I$2:$I$117,"")</f>
        <v>7.49</v>
      </c>
    </row>
    <row r="22" spans="1:49" ht="12.75" customHeight="1" x14ac:dyDescent="0.2">
      <c r="B22" s="2">
        <f>B6</f>
        <v>185</v>
      </c>
      <c r="C22" s="2" cm="1">
        <f t="array" ref="C22">_xlfn.XLOOKUP(1,('Arbonia Original'!$A$2:$A$117=C$18)*('Arbonia Original'!$B$2:$B$117=$B22),'Arbonia Original'!$I$2:$I$117,"")</f>
        <v>0.89</v>
      </c>
      <c r="D22" s="2" t="str" cm="1">
        <f t="array" ref="D22">_xlfn.XLOOKUP(1,('Arbonia Original'!$A$2:$A$117=D$18)*('Arbonia Original'!$B$2:$B$117=$B22),'Arbonia Original'!$I$2:$I$117,"")</f>
        <v/>
      </c>
      <c r="E22" s="2" cm="1">
        <f t="array" ref="E22">_xlfn.XLOOKUP(1,('Arbonia Original'!$A$2:$A$117=E$18)*('Arbonia Original'!$B$2:$B$117=$B22),'Arbonia Original'!$I$2:$I$117,"")</f>
        <v>1.1100000000000001</v>
      </c>
      <c r="F22" s="2" cm="1">
        <f t="array" ref="F22">_xlfn.XLOOKUP(1,('Arbonia Original'!$A$2:$A$117=F$18)*('Arbonia Original'!$B$2:$B$117=$B22),'Arbonia Original'!$I$2:$I$117,"")</f>
        <v>1.23</v>
      </c>
      <c r="G22" s="2" cm="1">
        <f t="array" ref="G22">_xlfn.XLOOKUP(1,('Arbonia Original'!$A$2:$A$117=G$18)*('Arbonia Original'!$B$2:$B$117=$B22),'Arbonia Original'!$I$2:$I$117,"")</f>
        <v>1.38</v>
      </c>
      <c r="H22" s="2" cm="1">
        <f t="array" ref="H22">_xlfn.XLOOKUP(1,('Arbonia Original'!$A$2:$A$117=H$18)*('Arbonia Original'!$B$2:$B$117=$B22),'Arbonia Original'!$I$2:$I$117,"")</f>
        <v>1.53</v>
      </c>
      <c r="I22" s="2" cm="1">
        <f t="array" ref="I22">_xlfn.XLOOKUP(1,('Arbonia Original'!$A$2:$A$117=I$18)*('Arbonia Original'!$B$2:$B$117=$B22),'Arbonia Original'!$I$2:$I$117,"")</f>
        <v>1.68</v>
      </c>
      <c r="J22" s="2" cm="1">
        <f t="array" ref="J22">_xlfn.XLOOKUP(1,('Arbonia Original'!$A$2:$A$117=J$18)*('Arbonia Original'!$B$2:$B$117=$B22),'Arbonia Original'!$I$2:$I$117,"")</f>
        <v>1.83</v>
      </c>
      <c r="K22" s="2" cm="1">
        <f t="array" ref="K22">_xlfn.XLOOKUP(1,('Arbonia Original'!$A$2:$A$117=K$18)*('Arbonia Original'!$B$2:$B$117=$B22),'Arbonia Original'!$I$2:$I$117,"")</f>
        <v>1.99</v>
      </c>
      <c r="L22" s="2" cm="1">
        <f t="array" ref="L22">_xlfn.XLOOKUP(1,('Arbonia Original'!$A$2:$A$117=L$18)*('Arbonia Original'!$B$2:$B$117=$B22),'Arbonia Original'!$I$2:$I$117,"")</f>
        <v>2.14</v>
      </c>
      <c r="M22" s="2" cm="1">
        <f t="array" ref="M22">_xlfn.XLOOKUP(1,('Arbonia Original'!$A$2:$A$117=M$18)*('Arbonia Original'!$B$2:$B$117=$B22),'Arbonia Original'!$I$2:$I$117,"")</f>
        <v>2.59</v>
      </c>
      <c r="N22" s="2" cm="1">
        <f t="array" ref="N22">_xlfn.XLOOKUP(1,('Arbonia Original'!$A$2:$A$117=N$18)*('Arbonia Original'!$B$2:$B$117=$B22),'Arbonia Original'!$I$2:$I$117,"")</f>
        <v>3.05</v>
      </c>
      <c r="O22" s="2" cm="1">
        <f t="array" ref="O22">_xlfn.XLOOKUP(1,('Arbonia Original'!$A$2:$A$117=O$18)*('Arbonia Original'!$B$2:$B$117=$B22),'Arbonia Original'!$I$2:$I$117,"")</f>
        <v>3.35</v>
      </c>
      <c r="P22" s="2" cm="1">
        <f t="array" ref="P22">_xlfn.XLOOKUP(1,('Arbonia Original'!$A$2:$A$117=P$18)*('Arbonia Original'!$B$2:$B$117=$B22),'Arbonia Original'!$I$2:$I$117,"")</f>
        <v>3.65</v>
      </c>
      <c r="Q22" s="2" cm="1">
        <f t="array" ref="Q22">_xlfn.XLOOKUP(1,('Arbonia Original'!$A$2:$A$117=Q$18)*('Arbonia Original'!$B$2:$B$117=$B22),'Arbonia Original'!$I$2:$I$117,"")</f>
        <v>3.96</v>
      </c>
      <c r="R22" s="2" cm="1">
        <f t="array" ref="R22">_xlfn.XLOOKUP(1,('Arbonia Original'!$A$2:$A$117=R$18)*('Arbonia Original'!$B$2:$B$117=$B22),'Arbonia Original'!$I$2:$I$117,"")</f>
        <v>4.87</v>
      </c>
      <c r="S22" s="2" cm="1">
        <f t="array" ref="S22">_xlfn.XLOOKUP(1,('Arbonia Original'!$A$2:$A$117=S$18)*('Arbonia Original'!$B$2:$B$117=$B22),'Arbonia Original'!$I$2:$I$117,"")</f>
        <v>5.78</v>
      </c>
      <c r="T22" s="2" cm="1">
        <f t="array" ref="T22">_xlfn.XLOOKUP(1,('Arbonia Original'!$A$2:$A$117=T$18)*('Arbonia Original'!$B$2:$B$117=$B22),'Arbonia Original'!$I$2:$I$117,"")</f>
        <v>6.38</v>
      </c>
      <c r="U22" s="2" cm="1">
        <f t="array" ref="U22">_xlfn.XLOOKUP(1,('Arbonia Original'!$A$2:$A$117=U$18)*('Arbonia Original'!$B$2:$B$117=$B22),'Arbonia Original'!$I$2:$I$117,"")</f>
        <v>6.99</v>
      </c>
      <c r="V22" s="2" cm="1">
        <f t="array" ref="V22">_xlfn.XLOOKUP(1,('Arbonia Original'!$A$2:$A$117=V$18)*('Arbonia Original'!$B$2:$B$117=$B22),'Arbonia Original'!$I$2:$I$117,"")</f>
        <v>7.9</v>
      </c>
      <c r="W22" s="2" cm="1">
        <f t="array" ref="W22">_xlfn.XLOOKUP(1,('Arbonia Original'!$A$2:$A$117=W$18)*('Arbonia Original'!$B$2:$B$117=$B22),'Arbonia Original'!$I$2:$I$117,"")</f>
        <v>8.81</v>
      </c>
      <c r="X22" s="2" cm="1">
        <f t="array" ref="X22">_xlfn.XLOOKUP(1,('Arbonia Original'!$A$2:$A$117=X$18)*('Arbonia Original'!$B$2:$B$117=$B22),'Arbonia Original'!$I$2:$I$117,"")</f>
        <v>9.42</v>
      </c>
    </row>
    <row r="23" spans="1:49" x14ac:dyDescent="0.2">
      <c r="B23" s="2">
        <f>B7</f>
        <v>225</v>
      </c>
      <c r="C23" s="2" cm="1">
        <f t="array" ref="C23">_xlfn.XLOOKUP(1,('Arbonia Original'!$A$2:$A$117=C$18)*('Arbonia Original'!$B$2:$B$117=$B23),'Arbonia Original'!$I$2:$I$117,"")</f>
        <v>1.08</v>
      </c>
      <c r="D23" s="2" t="str" cm="1">
        <f t="array" ref="D23">_xlfn.XLOOKUP(1,('Arbonia Original'!$A$2:$A$117=D$18)*('Arbonia Original'!$B$2:$B$117=$B23),'Arbonia Original'!$I$2:$I$117,"")</f>
        <v/>
      </c>
      <c r="E23" s="2" cm="1">
        <f t="array" ref="E23">_xlfn.XLOOKUP(1,('Arbonia Original'!$A$2:$A$117=E$18)*('Arbonia Original'!$B$2:$B$117=$B23),'Arbonia Original'!$I$2:$I$117,"")</f>
        <v>1.34</v>
      </c>
      <c r="F23" s="2" cm="1">
        <f t="array" ref="F23">_xlfn.XLOOKUP(1,('Arbonia Original'!$A$2:$A$117=F$18)*('Arbonia Original'!$B$2:$B$117=$B23),'Arbonia Original'!$I$2:$I$117,"")</f>
        <v>1.49</v>
      </c>
      <c r="G23" s="2" cm="1">
        <f t="array" ref="G23">_xlfn.XLOOKUP(1,('Arbonia Original'!$A$2:$A$117=G$18)*('Arbonia Original'!$B$2:$B$117=$B23),'Arbonia Original'!$I$2:$I$117,"")</f>
        <v>1.67</v>
      </c>
      <c r="H23" s="2" cm="1">
        <f t="array" ref="H23">_xlfn.XLOOKUP(1,('Arbonia Original'!$A$2:$A$117=H$18)*('Arbonia Original'!$B$2:$B$117=$B23),'Arbonia Original'!$I$2:$I$117,"")</f>
        <v>1.85</v>
      </c>
      <c r="I23" s="2" cm="1">
        <f t="array" ref="I23">_xlfn.XLOOKUP(1,('Arbonia Original'!$A$2:$A$117=I$18)*('Arbonia Original'!$B$2:$B$117=$B23),'Arbonia Original'!$I$2:$I$117,"")</f>
        <v>2.0299999999999998</v>
      </c>
      <c r="J23" s="2" cm="1">
        <f t="array" ref="J23">_xlfn.XLOOKUP(1,('Arbonia Original'!$A$2:$A$117=J$18)*('Arbonia Original'!$B$2:$B$117=$B23),'Arbonia Original'!$I$2:$I$117,"")</f>
        <v>2.21</v>
      </c>
      <c r="K23" s="2" cm="1">
        <f t="array" ref="K23">_xlfn.XLOOKUP(1,('Arbonia Original'!$A$2:$A$117=K$18)*('Arbonia Original'!$B$2:$B$117=$B23),'Arbonia Original'!$I$2:$I$117,"")</f>
        <v>2.4</v>
      </c>
      <c r="L23" s="2" cm="1">
        <f t="array" ref="L23">_xlfn.XLOOKUP(1,('Arbonia Original'!$A$2:$A$117=L$18)*('Arbonia Original'!$B$2:$B$117=$B23),'Arbonia Original'!$I$2:$I$117,"")</f>
        <v>2.58</v>
      </c>
      <c r="M23" s="2" cm="1">
        <f t="array" ref="M23">_xlfn.XLOOKUP(1,('Arbonia Original'!$A$2:$A$117=M$18)*('Arbonia Original'!$B$2:$B$117=$B23),'Arbonia Original'!$I$2:$I$117,"")</f>
        <v>3.12</v>
      </c>
      <c r="N23" s="2" cm="1">
        <f t="array" ref="N23">_xlfn.XLOOKUP(1,('Arbonia Original'!$A$2:$A$117=N$18)*('Arbonia Original'!$B$2:$B$117=$B23),'Arbonia Original'!$I$2:$I$117,"")</f>
        <v>3.67</v>
      </c>
      <c r="O23" s="2" cm="1">
        <f t="array" ref="O23">_xlfn.XLOOKUP(1,('Arbonia Original'!$A$2:$A$117=O$18)*('Arbonia Original'!$B$2:$B$117=$B23),'Arbonia Original'!$I$2:$I$117,"")</f>
        <v>4.03</v>
      </c>
      <c r="P23" s="2" cm="1">
        <f t="array" ref="P23">_xlfn.XLOOKUP(1,('Arbonia Original'!$A$2:$A$117=P$18)*('Arbonia Original'!$B$2:$B$117=$B23),'Arbonia Original'!$I$2:$I$117,"")</f>
        <v>4.4000000000000004</v>
      </c>
      <c r="Q23" s="2" cm="1">
        <f t="array" ref="Q23">_xlfn.XLOOKUP(1,('Arbonia Original'!$A$2:$A$117=Q$18)*('Arbonia Original'!$B$2:$B$117=$B23),'Arbonia Original'!$I$2:$I$117,"")</f>
        <v>4.76</v>
      </c>
      <c r="R23" s="2" cm="1">
        <f t="array" ref="R23">_xlfn.XLOOKUP(1,('Arbonia Original'!$A$2:$A$117=R$18)*('Arbonia Original'!$B$2:$B$117=$B23),'Arbonia Original'!$I$2:$I$117,"")</f>
        <v>5.85</v>
      </c>
      <c r="S23" s="2" cm="1">
        <f t="array" ref="S23">_xlfn.XLOOKUP(1,('Arbonia Original'!$A$2:$A$117=S$18)*('Arbonia Original'!$B$2:$B$117=$B23),'Arbonia Original'!$I$2:$I$117,"")</f>
        <v>6.95</v>
      </c>
      <c r="T23" s="2" cm="1">
        <f t="array" ref="T23">_xlfn.XLOOKUP(1,('Arbonia Original'!$A$2:$A$117=T$18)*('Arbonia Original'!$B$2:$B$117=$B23),'Arbonia Original'!$I$2:$I$117,"")</f>
        <v>7.67</v>
      </c>
      <c r="U23" s="2" cm="1">
        <f t="array" ref="U23">_xlfn.XLOOKUP(1,('Arbonia Original'!$A$2:$A$117=U$18)*('Arbonia Original'!$B$2:$B$117=$B23),'Arbonia Original'!$I$2:$I$117,"")</f>
        <v>8.4</v>
      </c>
      <c r="V23" s="2" cm="1">
        <f t="array" ref="V23">_xlfn.XLOOKUP(1,('Arbonia Original'!$A$2:$A$117=V$18)*('Arbonia Original'!$B$2:$B$117=$B23),'Arbonia Original'!$I$2:$I$117,"")</f>
        <v>9.49</v>
      </c>
      <c r="W23" s="2" cm="1">
        <f t="array" ref="W23">_xlfn.XLOOKUP(1,('Arbonia Original'!$A$2:$A$117=W$18)*('Arbonia Original'!$B$2:$B$117=$B23),'Arbonia Original'!$I$2:$I$117,"")</f>
        <v>10.59</v>
      </c>
      <c r="X23" s="2" cm="1">
        <f t="array" ref="X23">_xlfn.XLOOKUP(1,('Arbonia Original'!$A$2:$A$117=X$18)*('Arbonia Original'!$B$2:$B$117=$B23),'Arbonia Original'!$I$2:$I$117,"")</f>
        <v>11.31</v>
      </c>
    </row>
    <row r="24" spans="1:49" x14ac:dyDescent="0.2">
      <c r="C24" s="8"/>
      <c r="D24" s="8"/>
      <c r="E24" s="8"/>
      <c r="F24" s="8"/>
      <c r="G24" s="8"/>
      <c r="H24" s="8"/>
      <c r="I24" s="8"/>
      <c r="J24" s="8"/>
      <c r="K24" s="8"/>
      <c r="L24" s="8"/>
      <c r="M24" s="8"/>
      <c r="N24" s="8"/>
      <c r="O24" s="8"/>
      <c r="P24"/>
      <c r="Q24"/>
      <c r="R24"/>
      <c r="S24"/>
      <c r="T24"/>
      <c r="U24"/>
      <c r="V24"/>
    </row>
    <row r="25" spans="1:49" ht="40.5" x14ac:dyDescent="0.25">
      <c r="A25" s="57" t="s">
        <v>153</v>
      </c>
      <c r="C25" s="4" t="s">
        <v>2</v>
      </c>
      <c r="P25"/>
      <c r="Q25"/>
      <c r="R25"/>
      <c r="S25"/>
      <c r="T25"/>
      <c r="U25"/>
      <c r="V25"/>
    </row>
    <row r="26" spans="1:49" x14ac:dyDescent="0.2">
      <c r="A26" s="1" t="s">
        <v>154</v>
      </c>
      <c r="C26" s="5">
        <f t="shared" ref="C26:X26" si="2">C$2</f>
        <v>180</v>
      </c>
      <c r="D26" s="5">
        <f t="shared" si="2"/>
        <v>190</v>
      </c>
      <c r="E26" s="5">
        <f t="shared" si="2"/>
        <v>260</v>
      </c>
      <c r="F26" s="5">
        <f t="shared" si="2"/>
        <v>300</v>
      </c>
      <c r="G26" s="5">
        <f t="shared" si="2"/>
        <v>350</v>
      </c>
      <c r="H26" s="5">
        <f t="shared" si="2"/>
        <v>400</v>
      </c>
      <c r="I26" s="5">
        <f t="shared" si="2"/>
        <v>450</v>
      </c>
      <c r="J26" s="5">
        <f t="shared" si="2"/>
        <v>500</v>
      </c>
      <c r="K26" s="5">
        <f t="shared" si="2"/>
        <v>550</v>
      </c>
      <c r="L26" s="5">
        <f t="shared" si="2"/>
        <v>600</v>
      </c>
      <c r="M26" s="5">
        <f t="shared" si="2"/>
        <v>750</v>
      </c>
      <c r="N26" s="5">
        <f t="shared" si="2"/>
        <v>900</v>
      </c>
      <c r="O26" s="5">
        <f t="shared" si="2"/>
        <v>1000</v>
      </c>
      <c r="P26" s="5">
        <f t="shared" si="2"/>
        <v>1100</v>
      </c>
      <c r="Q26" s="5">
        <f t="shared" si="2"/>
        <v>1200</v>
      </c>
      <c r="R26" s="5">
        <f t="shared" si="2"/>
        <v>1500</v>
      </c>
      <c r="S26" s="5">
        <f t="shared" si="2"/>
        <v>1800</v>
      </c>
      <c r="T26" s="5">
        <f t="shared" si="2"/>
        <v>2000</v>
      </c>
      <c r="U26" s="5">
        <f t="shared" si="2"/>
        <v>2200</v>
      </c>
      <c r="V26" s="5">
        <f t="shared" si="2"/>
        <v>2500</v>
      </c>
      <c r="W26" s="5">
        <f t="shared" si="2"/>
        <v>2800</v>
      </c>
      <c r="X26" s="5">
        <f t="shared" si="2"/>
        <v>3000</v>
      </c>
    </row>
    <row r="27" spans="1:49" ht="13.5" x14ac:dyDescent="0.25">
      <c r="A27" s="4" t="s">
        <v>3</v>
      </c>
      <c r="B27" s="2">
        <f>B3</f>
        <v>65</v>
      </c>
      <c r="C27" s="2" t="str" cm="1">
        <f t="array" ref="C27">_xlfn.XLOOKUP(1,('Arbonia Original'!$A$2:$A$117=C$26)*('Arbonia Original'!$B$2:$B$117=$B27),'Arbonia Original'!$J$2:$J$117,"")</f>
        <v/>
      </c>
      <c r="D27" s="2" cm="1">
        <f t="array" ref="D27">_xlfn.XLOOKUP(1,('Arbonia Original'!$A$2:$A$117=D$26)*('Arbonia Original'!$B$2:$B$117=$B27),'Arbonia Original'!$J$2:$J$117,"")</f>
        <v>0.03</v>
      </c>
      <c r="E27" s="2" cm="1">
        <f t="array" ref="E27">_xlfn.XLOOKUP(1,('Arbonia Original'!$A$2:$A$117=E$26)*('Arbonia Original'!$B$2:$B$117=$B27),'Arbonia Original'!$J$2:$J$117,"")</f>
        <v>0.04</v>
      </c>
      <c r="F27" s="2" cm="1">
        <f t="array" ref="F27">_xlfn.XLOOKUP(1,('Arbonia Original'!$A$2:$A$117=F$26)*('Arbonia Original'!$B$2:$B$117=$B27),'Arbonia Original'!$J$2:$J$117,"")</f>
        <v>0.05</v>
      </c>
      <c r="G27" s="2" cm="1">
        <f t="array" ref="G27">_xlfn.XLOOKUP(1,('Arbonia Original'!$A$2:$A$117=G$26)*('Arbonia Original'!$B$2:$B$117=$B27),'Arbonia Original'!$J$2:$J$117,"")</f>
        <v>0.06</v>
      </c>
      <c r="H27" s="2" cm="1">
        <f t="array" ref="H27">_xlfn.XLOOKUP(1,('Arbonia Original'!$A$2:$A$117=H$26)*('Arbonia Original'!$B$2:$B$117=$B27),'Arbonia Original'!$J$2:$J$117,"")</f>
        <v>7.0000000000000007E-2</v>
      </c>
      <c r="I27" s="2" cm="1">
        <f t="array" ref="I27">_xlfn.XLOOKUP(1,('Arbonia Original'!$A$2:$A$117=I$26)*('Arbonia Original'!$B$2:$B$117=$B27),'Arbonia Original'!$J$2:$J$117,"")</f>
        <v>7.0000000000000007E-2</v>
      </c>
      <c r="J27" s="2" cm="1">
        <f t="array" ref="J27">_xlfn.XLOOKUP(1,('Arbonia Original'!$A$2:$A$117=J$26)*('Arbonia Original'!$B$2:$B$117=$B27),'Arbonia Original'!$J$2:$J$117,"")</f>
        <v>0.08</v>
      </c>
      <c r="K27" s="2" cm="1">
        <f t="array" ref="K27">_xlfn.XLOOKUP(1,('Arbonia Original'!$A$2:$A$117=K$26)*('Arbonia Original'!$B$2:$B$117=$B27),'Arbonia Original'!$J$2:$J$117,"")</f>
        <v>0.09</v>
      </c>
      <c r="L27" s="2" cm="1">
        <f t="array" ref="L27">_xlfn.XLOOKUP(1,('Arbonia Original'!$A$2:$A$117=L$26)*('Arbonia Original'!$B$2:$B$117=$B27),'Arbonia Original'!$J$2:$J$117,"")</f>
        <v>0.1</v>
      </c>
      <c r="M27" s="2" cm="1">
        <f t="array" ref="M27">_xlfn.XLOOKUP(1,('Arbonia Original'!$A$2:$A$117=M$26)*('Arbonia Original'!$B$2:$B$117=$B27),'Arbonia Original'!$J$2:$J$117,"")</f>
        <v>0.12</v>
      </c>
      <c r="N27" s="2" cm="1">
        <f t="array" ref="N27">_xlfn.XLOOKUP(1,('Arbonia Original'!$A$2:$A$117=N$26)*('Arbonia Original'!$B$2:$B$117=$B27),'Arbonia Original'!$J$2:$J$117,"")</f>
        <v>0.15</v>
      </c>
      <c r="O27" s="2" cm="1">
        <f t="array" ref="O27">_xlfn.XLOOKUP(1,('Arbonia Original'!$A$2:$A$117=O$26)*('Arbonia Original'!$B$2:$B$117=$B27),'Arbonia Original'!$J$2:$J$117,"")</f>
        <v>0.16</v>
      </c>
      <c r="P27" s="2" cm="1">
        <f t="array" ref="P27">_xlfn.XLOOKUP(1,('Arbonia Original'!$A$2:$A$117=P$26)*('Arbonia Original'!$B$2:$B$117=$B27),'Arbonia Original'!$J$2:$J$117,"")</f>
        <v>0.18</v>
      </c>
      <c r="Q27" s="2" cm="1">
        <f t="array" ref="Q27">_xlfn.XLOOKUP(1,('Arbonia Original'!$A$2:$A$117=Q$26)*('Arbonia Original'!$B$2:$B$117=$B27),'Arbonia Original'!$J$2:$J$117,"")</f>
        <v>0.19</v>
      </c>
      <c r="R27" s="2" cm="1">
        <f t="array" ref="R27">_xlfn.XLOOKUP(1,('Arbonia Original'!$A$2:$A$117=R$26)*('Arbonia Original'!$B$2:$B$117=$B27),'Arbonia Original'!$J$2:$J$117,"")</f>
        <v>0.24</v>
      </c>
      <c r="S27" s="2" cm="1">
        <f t="array" ref="S27">_xlfn.XLOOKUP(1,('Arbonia Original'!$A$2:$A$117=S$26)*('Arbonia Original'!$B$2:$B$117=$B27),'Arbonia Original'!$J$2:$J$117,"")</f>
        <v>0.28999999999999998</v>
      </c>
      <c r="T27" s="2" cm="1">
        <f t="array" ref="T27">_xlfn.XLOOKUP(1,('Arbonia Original'!$A$2:$A$117=T$26)*('Arbonia Original'!$B$2:$B$117=$B27),'Arbonia Original'!$J$2:$J$117,"")</f>
        <v>0.32</v>
      </c>
      <c r="U27" s="2" cm="1">
        <f t="array" ref="U27">_xlfn.XLOOKUP(1,('Arbonia Original'!$A$2:$A$117=U$26)*('Arbonia Original'!$B$2:$B$117=$B27),'Arbonia Original'!$J$2:$J$117,"")</f>
        <v>0.35</v>
      </c>
      <c r="V27" s="2" cm="1">
        <f t="array" ref="V27">_xlfn.XLOOKUP(1,('Arbonia Original'!$A$2:$A$117=V$26)*('Arbonia Original'!$B$2:$B$117=$B27),'Arbonia Original'!$J$2:$J$117,"")</f>
        <v>0.4</v>
      </c>
      <c r="W27" s="2" cm="1">
        <f t="array" ref="W27">_xlfn.XLOOKUP(1,('Arbonia Original'!$A$2:$A$117=W$26)*('Arbonia Original'!$B$2:$B$117=$B27),'Arbonia Original'!$J$2:$J$117,"")</f>
        <v>0.44</v>
      </c>
      <c r="X27" s="9" cm="1">
        <f t="array" ref="X27">_xlfn.XLOOKUP(1,('Arbonia Original'!$A$2:$A$117=X$26)*('Arbonia Original'!$B$2:$B$117=$B27),'Arbonia Original'!$J$2:$J$117,"")</f>
        <v>0.48</v>
      </c>
    </row>
    <row r="28" spans="1:49" x14ac:dyDescent="0.2">
      <c r="B28" s="2">
        <f>B4</f>
        <v>105</v>
      </c>
      <c r="C28" s="2" t="str" cm="1">
        <f t="array" ref="C28">_xlfn.XLOOKUP(1,('Arbonia Original'!$A$2:$A$117=C$26)*('Arbonia Original'!$B$2:$B$117=$B28),'Arbonia Original'!$J$2:$J$117,"")</f>
        <v/>
      </c>
      <c r="D28" s="2" cm="1">
        <f t="array" ref="D28">_xlfn.XLOOKUP(1,('Arbonia Original'!$A$2:$A$117=D$26)*('Arbonia Original'!$B$2:$B$117=$B28),'Arbonia Original'!$J$2:$J$117,"")</f>
        <v>0.05</v>
      </c>
      <c r="E28" s="2" cm="1">
        <f t="array" ref="E28">_xlfn.XLOOKUP(1,('Arbonia Original'!$A$2:$A$117=E$26)*('Arbonia Original'!$B$2:$B$117=$B28),'Arbonia Original'!$J$2:$J$117,"")</f>
        <v>7.0000000000000007E-2</v>
      </c>
      <c r="F28" s="2" cm="1">
        <f t="array" ref="F28">_xlfn.XLOOKUP(1,('Arbonia Original'!$A$2:$A$117=F$26)*('Arbonia Original'!$B$2:$B$117=$B28),'Arbonia Original'!$J$2:$J$117,"")</f>
        <v>0.08</v>
      </c>
      <c r="G28" s="2" cm="1">
        <f t="array" ref="G28">_xlfn.XLOOKUP(1,('Arbonia Original'!$A$2:$A$117=G$26)*('Arbonia Original'!$B$2:$B$117=$B28),'Arbonia Original'!$J$2:$J$117,"")</f>
        <v>0.09</v>
      </c>
      <c r="H28" s="2" cm="1">
        <f t="array" ref="H28">_xlfn.XLOOKUP(1,('Arbonia Original'!$A$2:$A$117=H$26)*('Arbonia Original'!$B$2:$B$117=$B28),'Arbonia Original'!$J$2:$J$117,"")</f>
        <v>0.1</v>
      </c>
      <c r="I28" s="2" cm="1">
        <f t="array" ref="I28">_xlfn.XLOOKUP(1,('Arbonia Original'!$A$2:$A$117=I$26)*('Arbonia Original'!$B$2:$B$117=$B28),'Arbonia Original'!$J$2:$J$117,"")</f>
        <v>0.11</v>
      </c>
      <c r="J28" s="2" cm="1">
        <f t="array" ref="J28">_xlfn.XLOOKUP(1,('Arbonia Original'!$A$2:$A$117=J$26)*('Arbonia Original'!$B$2:$B$117=$B28),'Arbonia Original'!$J$2:$J$117,"")</f>
        <v>0.12</v>
      </c>
      <c r="K28" s="2" cm="1">
        <f t="array" ref="K28">_xlfn.XLOOKUP(1,('Arbonia Original'!$A$2:$A$117=K$26)*('Arbonia Original'!$B$2:$B$117=$B28),'Arbonia Original'!$J$2:$J$117,"")</f>
        <v>0.14000000000000001</v>
      </c>
      <c r="L28" s="2" cm="1">
        <f t="array" ref="L28">_xlfn.XLOOKUP(1,('Arbonia Original'!$A$2:$A$117=L$26)*('Arbonia Original'!$B$2:$B$117=$B28),'Arbonia Original'!$J$2:$J$117,"")</f>
        <v>0.15</v>
      </c>
      <c r="M28" s="2" cm="1">
        <f t="array" ref="M28">_xlfn.XLOOKUP(1,('Arbonia Original'!$A$2:$A$117=M$26)*('Arbonia Original'!$B$2:$B$117=$B28),'Arbonia Original'!$J$2:$J$117,"")</f>
        <v>0.18</v>
      </c>
      <c r="N28" s="2" cm="1">
        <f t="array" ref="N28">_xlfn.XLOOKUP(1,('Arbonia Original'!$A$2:$A$117=N$26)*('Arbonia Original'!$B$2:$B$117=$B28),'Arbonia Original'!$J$2:$J$117,"")</f>
        <v>0.22</v>
      </c>
      <c r="O28" s="2" cm="1">
        <f t="array" ref="O28">_xlfn.XLOOKUP(1,('Arbonia Original'!$A$2:$A$117=O$26)*('Arbonia Original'!$B$2:$B$117=$B28),'Arbonia Original'!$J$2:$J$117,"")</f>
        <v>0.24</v>
      </c>
      <c r="P28" s="2" cm="1">
        <f t="array" ref="P28">_xlfn.XLOOKUP(1,('Arbonia Original'!$A$2:$A$117=P$26)*('Arbonia Original'!$B$2:$B$117=$B28),'Arbonia Original'!$J$2:$J$117,"")</f>
        <v>0.27</v>
      </c>
      <c r="Q28" s="2" cm="1">
        <f t="array" ref="Q28">_xlfn.XLOOKUP(1,('Arbonia Original'!$A$2:$A$117=Q$26)*('Arbonia Original'!$B$2:$B$117=$B28),'Arbonia Original'!$J$2:$J$117,"")</f>
        <v>0.28999999999999998</v>
      </c>
      <c r="R28" s="2" cm="1">
        <f t="array" ref="R28">_xlfn.XLOOKUP(1,('Arbonia Original'!$A$2:$A$117=R$26)*('Arbonia Original'!$B$2:$B$117=$B28),'Arbonia Original'!$J$2:$J$117,"")</f>
        <v>0.36</v>
      </c>
      <c r="S28" s="2" cm="1">
        <f t="array" ref="S28">_xlfn.XLOOKUP(1,('Arbonia Original'!$A$2:$A$117=S$26)*('Arbonia Original'!$B$2:$B$117=$B28),'Arbonia Original'!$J$2:$J$117,"")</f>
        <v>0.43</v>
      </c>
      <c r="T28" s="2" cm="1">
        <f t="array" ref="T28">_xlfn.XLOOKUP(1,('Arbonia Original'!$A$2:$A$117=T$26)*('Arbonia Original'!$B$2:$B$117=$B28),'Arbonia Original'!$J$2:$J$117,"")</f>
        <v>0.48</v>
      </c>
      <c r="U28" s="2" cm="1">
        <f t="array" ref="U28">_xlfn.XLOOKUP(1,('Arbonia Original'!$A$2:$A$117=U$26)*('Arbonia Original'!$B$2:$B$117=$B28),'Arbonia Original'!$J$2:$J$117,"")</f>
        <v>0.52</v>
      </c>
      <c r="V28" s="2" cm="1">
        <f t="array" ref="V28">_xlfn.XLOOKUP(1,('Arbonia Original'!$A$2:$A$117=V$26)*('Arbonia Original'!$B$2:$B$117=$B28),'Arbonia Original'!$J$2:$J$117,"")</f>
        <v>0.59</v>
      </c>
      <c r="W28" s="2" cm="1">
        <f t="array" ref="W28">_xlfn.XLOOKUP(1,('Arbonia Original'!$A$2:$A$117=W$26)*('Arbonia Original'!$B$2:$B$117=$B28),'Arbonia Original'!$J$2:$J$117,"")</f>
        <v>0.67</v>
      </c>
      <c r="X28" s="9" cm="1">
        <f t="array" ref="X28">_xlfn.XLOOKUP(1,('Arbonia Original'!$A$2:$A$117=X$26)*('Arbonia Original'!$B$2:$B$117=$B28),'Arbonia Original'!$J$2:$J$117,"")</f>
        <v>0.71</v>
      </c>
    </row>
    <row r="29" spans="1:49" x14ac:dyDescent="0.2">
      <c r="B29" s="2">
        <f>B5</f>
        <v>145</v>
      </c>
      <c r="C29" s="2" t="str" cm="1">
        <f t="array" ref="C29">_xlfn.XLOOKUP(1,('Arbonia Original'!$A$2:$A$117=C$26)*('Arbonia Original'!$B$2:$B$117=$B29),'Arbonia Original'!$J$2:$J$117,"")</f>
        <v/>
      </c>
      <c r="D29" s="2" cm="1">
        <f t="array" ref="D29">_xlfn.XLOOKUP(1,('Arbonia Original'!$A$2:$A$117=D$26)*('Arbonia Original'!$B$2:$B$117=$B29),'Arbonia Original'!$J$2:$J$117,"")</f>
        <v>7.0000000000000007E-2</v>
      </c>
      <c r="E29" s="2" cm="1">
        <f t="array" ref="E29">_xlfn.XLOOKUP(1,('Arbonia Original'!$A$2:$A$117=E$26)*('Arbonia Original'!$B$2:$B$117=$B29),'Arbonia Original'!$J$2:$J$117,"")</f>
        <v>0.09</v>
      </c>
      <c r="F29" s="2" cm="1">
        <f t="array" ref="F29">_xlfn.XLOOKUP(1,('Arbonia Original'!$A$2:$A$117=F$26)*('Arbonia Original'!$B$2:$B$117=$B29),'Arbonia Original'!$J$2:$J$117,"")</f>
        <v>0.1</v>
      </c>
      <c r="G29" s="2" cm="1">
        <f t="array" ref="G29">_xlfn.XLOOKUP(1,('Arbonia Original'!$A$2:$A$117=G$26)*('Arbonia Original'!$B$2:$B$117=$B29),'Arbonia Original'!$J$2:$J$117,"")</f>
        <v>0.12</v>
      </c>
      <c r="H29" s="2" cm="1">
        <f t="array" ref="H29">_xlfn.XLOOKUP(1,('Arbonia Original'!$A$2:$A$117=H$26)*('Arbonia Original'!$B$2:$B$117=$B29),'Arbonia Original'!$J$2:$J$117,"")</f>
        <v>0.13</v>
      </c>
      <c r="I29" s="2" cm="1">
        <f t="array" ref="I29">_xlfn.XLOOKUP(1,('Arbonia Original'!$A$2:$A$117=I$26)*('Arbonia Original'!$B$2:$B$117=$B29),'Arbonia Original'!$J$2:$J$117,"")</f>
        <v>0.15</v>
      </c>
      <c r="J29" s="2" cm="1">
        <f t="array" ref="J29">_xlfn.XLOOKUP(1,('Arbonia Original'!$A$2:$A$117=J$26)*('Arbonia Original'!$B$2:$B$117=$B29),'Arbonia Original'!$J$2:$J$117,"")</f>
        <v>0.17</v>
      </c>
      <c r="K29" s="2" cm="1">
        <f t="array" ref="K29">_xlfn.XLOOKUP(1,('Arbonia Original'!$A$2:$A$117=K$26)*('Arbonia Original'!$B$2:$B$117=$B29),'Arbonia Original'!$J$2:$J$117,"")</f>
        <v>0.18</v>
      </c>
      <c r="L29" s="2" cm="1">
        <f t="array" ref="L29">_xlfn.XLOOKUP(1,('Arbonia Original'!$A$2:$A$117=L$26)*('Arbonia Original'!$B$2:$B$117=$B29),'Arbonia Original'!$J$2:$J$117,"")</f>
        <v>0.2</v>
      </c>
      <c r="M29" s="2" cm="1">
        <f t="array" ref="M29">_xlfn.XLOOKUP(1,('Arbonia Original'!$A$2:$A$117=M$26)*('Arbonia Original'!$B$2:$B$117=$B29),'Arbonia Original'!$J$2:$J$117,"")</f>
        <v>0.24</v>
      </c>
      <c r="N29" s="2" cm="1">
        <f t="array" ref="N29">_xlfn.XLOOKUP(1,('Arbonia Original'!$A$2:$A$117=N$26)*('Arbonia Original'!$B$2:$B$117=$B29),'Arbonia Original'!$J$2:$J$117,"")</f>
        <v>0.28999999999999998</v>
      </c>
      <c r="O29" s="2" cm="1">
        <f t="array" ref="O29">_xlfn.XLOOKUP(1,('Arbonia Original'!$A$2:$A$117=O$26)*('Arbonia Original'!$B$2:$B$117=$B29),'Arbonia Original'!$J$2:$J$117,"")</f>
        <v>0.32</v>
      </c>
      <c r="P29" s="2" cm="1">
        <f t="array" ref="P29">_xlfn.XLOOKUP(1,('Arbonia Original'!$A$2:$A$117=P$26)*('Arbonia Original'!$B$2:$B$117=$B29),'Arbonia Original'!$J$2:$J$117,"")</f>
        <v>0.35</v>
      </c>
      <c r="Q29" s="2" cm="1">
        <f t="array" ref="Q29">_xlfn.XLOOKUP(1,('Arbonia Original'!$A$2:$A$117=Q$26)*('Arbonia Original'!$B$2:$B$117=$B29),'Arbonia Original'!$J$2:$J$117,"")</f>
        <v>0.38</v>
      </c>
      <c r="R29" s="2" cm="1">
        <f t="array" ref="R29">_xlfn.XLOOKUP(1,('Arbonia Original'!$A$2:$A$117=R$26)*('Arbonia Original'!$B$2:$B$117=$B29),'Arbonia Original'!$J$2:$J$117,"")</f>
        <v>0.48</v>
      </c>
      <c r="S29" s="2" cm="1">
        <f t="array" ref="S29">_xlfn.XLOOKUP(1,('Arbonia Original'!$A$2:$A$117=S$26)*('Arbonia Original'!$B$2:$B$117=$B29),'Arbonia Original'!$J$2:$J$117,"")</f>
        <v>0.56999999999999995</v>
      </c>
      <c r="T29" s="2" cm="1">
        <f t="array" ref="T29">_xlfn.XLOOKUP(1,('Arbonia Original'!$A$2:$A$117=T$26)*('Arbonia Original'!$B$2:$B$117=$B29),'Arbonia Original'!$J$2:$J$117,"")</f>
        <v>0.64</v>
      </c>
      <c r="U29" s="2" cm="1">
        <f t="array" ref="U29">_xlfn.XLOOKUP(1,('Arbonia Original'!$A$2:$A$117=U$26)*('Arbonia Original'!$B$2:$B$117=$B29),'Arbonia Original'!$J$2:$J$117,"")</f>
        <v>0.7</v>
      </c>
      <c r="V29" s="2" cm="1">
        <f t="array" ref="V29">_xlfn.XLOOKUP(1,('Arbonia Original'!$A$2:$A$117=V$26)*('Arbonia Original'!$B$2:$B$117=$B29),'Arbonia Original'!$J$2:$J$117,"")</f>
        <v>0.79</v>
      </c>
      <c r="W29" s="2" cm="1">
        <f t="array" ref="W29">_xlfn.XLOOKUP(1,('Arbonia Original'!$A$2:$A$117=W$26)*('Arbonia Original'!$B$2:$B$117=$B29),'Arbonia Original'!$J$2:$J$117,"")</f>
        <v>0.89</v>
      </c>
      <c r="X29" s="9" cm="1">
        <f t="array" ref="X29">_xlfn.XLOOKUP(1,('Arbonia Original'!$A$2:$A$117=X$26)*('Arbonia Original'!$B$2:$B$117=$B29),'Arbonia Original'!$J$2:$J$117,"")</f>
        <v>0.95</v>
      </c>
    </row>
    <row r="30" spans="1:49" x14ac:dyDescent="0.2">
      <c r="B30" s="2">
        <f>B6</f>
        <v>185</v>
      </c>
      <c r="C30" s="2" cm="1">
        <f t="array" ref="C30">_xlfn.XLOOKUP(1,('Arbonia Original'!$A$2:$A$117=C$26)*('Arbonia Original'!$B$2:$B$117=$B30),'Arbonia Original'!$J$2:$J$117,"")</f>
        <v>0.08</v>
      </c>
      <c r="D30" s="2" t="str" cm="1">
        <f t="array" ref="D30">_xlfn.XLOOKUP(1,('Arbonia Original'!$A$2:$A$117=D$26)*('Arbonia Original'!$B$2:$B$117=$B30),'Arbonia Original'!$J$2:$J$117,"")</f>
        <v/>
      </c>
      <c r="E30" s="2" cm="1">
        <f t="array" ref="E30">_xlfn.XLOOKUP(1,('Arbonia Original'!$A$2:$A$117=E$26)*('Arbonia Original'!$B$2:$B$117=$B30),'Arbonia Original'!$J$2:$J$117,"")</f>
        <v>0.11</v>
      </c>
      <c r="F30" s="2" cm="1">
        <f t="array" ref="F30">_xlfn.XLOOKUP(1,('Arbonia Original'!$A$2:$A$117=F$26)*('Arbonia Original'!$B$2:$B$117=$B30),'Arbonia Original'!$J$2:$J$117,"")</f>
        <v>0.13</v>
      </c>
      <c r="G30" s="2" cm="1">
        <f t="array" ref="G30">_xlfn.XLOOKUP(1,('Arbonia Original'!$A$2:$A$117=G$26)*('Arbonia Original'!$B$2:$B$117=$B30),'Arbonia Original'!$J$2:$J$117,"")</f>
        <v>0.15</v>
      </c>
      <c r="H30" s="2" cm="1">
        <f t="array" ref="H30">_xlfn.XLOOKUP(1,('Arbonia Original'!$A$2:$A$117=H$26)*('Arbonia Original'!$B$2:$B$117=$B30),'Arbonia Original'!$J$2:$J$117,"")</f>
        <v>0.17</v>
      </c>
      <c r="I30" s="2" cm="1">
        <f t="array" ref="I30">_xlfn.XLOOKUP(1,('Arbonia Original'!$A$2:$A$117=I$26)*('Arbonia Original'!$B$2:$B$117=$B30),'Arbonia Original'!$J$2:$J$117,"")</f>
        <v>0.19</v>
      </c>
      <c r="J30" s="2" cm="1">
        <f t="array" ref="J30">_xlfn.XLOOKUP(1,('Arbonia Original'!$A$2:$A$117=J$26)*('Arbonia Original'!$B$2:$B$117=$B30),'Arbonia Original'!$J$2:$J$117,"")</f>
        <v>0.21</v>
      </c>
      <c r="K30" s="2" cm="1">
        <f t="array" ref="K30">_xlfn.XLOOKUP(1,('Arbonia Original'!$A$2:$A$117=K$26)*('Arbonia Original'!$B$2:$B$117=$B30),'Arbonia Original'!$J$2:$J$117,"")</f>
        <v>0.23</v>
      </c>
      <c r="L30" s="2" cm="1">
        <f t="array" ref="L30">_xlfn.XLOOKUP(1,('Arbonia Original'!$A$2:$A$117=L$26)*('Arbonia Original'!$B$2:$B$117=$B30),'Arbonia Original'!$J$2:$J$117,"")</f>
        <v>0.25</v>
      </c>
      <c r="M30" s="2" cm="1">
        <f t="array" ref="M30">_xlfn.XLOOKUP(1,('Arbonia Original'!$A$2:$A$117=M$26)*('Arbonia Original'!$B$2:$B$117=$B30),'Arbonia Original'!$J$2:$J$117,"")</f>
        <v>0.3</v>
      </c>
      <c r="N30" s="2" cm="1">
        <f t="array" ref="N30">_xlfn.XLOOKUP(1,('Arbonia Original'!$A$2:$A$117=N$26)*('Arbonia Original'!$B$2:$B$117=$B30),'Arbonia Original'!$J$2:$J$117,"")</f>
        <v>0.36</v>
      </c>
      <c r="O30" s="2" cm="1">
        <f t="array" ref="O30">_xlfn.XLOOKUP(1,('Arbonia Original'!$A$2:$A$117=O$26)*('Arbonia Original'!$B$2:$B$117=$B30),'Arbonia Original'!$J$2:$J$117,"")</f>
        <v>0.4</v>
      </c>
      <c r="P30" s="2" cm="1">
        <f t="array" ref="P30">_xlfn.XLOOKUP(1,('Arbonia Original'!$A$2:$A$117=P$26)*('Arbonia Original'!$B$2:$B$117=$B30),'Arbonia Original'!$J$2:$J$117,"")</f>
        <v>0.44</v>
      </c>
      <c r="Q30" s="2" cm="1">
        <f t="array" ref="Q30">_xlfn.XLOOKUP(1,('Arbonia Original'!$A$2:$A$117=Q$26)*('Arbonia Original'!$B$2:$B$117=$B30),'Arbonia Original'!$J$2:$J$117,"")</f>
        <v>0.48</v>
      </c>
      <c r="R30" s="2" cm="1">
        <f t="array" ref="R30">_xlfn.XLOOKUP(1,('Arbonia Original'!$A$2:$A$117=R$26)*('Arbonia Original'!$B$2:$B$117=$B30),'Arbonia Original'!$J$2:$J$117,"")</f>
        <v>0.6</v>
      </c>
      <c r="S30" s="2" cm="1">
        <f t="array" ref="S30">_xlfn.XLOOKUP(1,('Arbonia Original'!$A$2:$A$117=S$26)*('Arbonia Original'!$B$2:$B$117=$B30),'Arbonia Original'!$J$2:$J$117,"")</f>
        <v>0.72</v>
      </c>
      <c r="T30" s="2" cm="1">
        <f t="array" ref="T30">_xlfn.XLOOKUP(1,('Arbonia Original'!$A$2:$A$117=T$26)*('Arbonia Original'!$B$2:$B$117=$B30),'Arbonia Original'!$J$2:$J$117,"")</f>
        <v>0.8</v>
      </c>
      <c r="U30" s="2" cm="1">
        <f t="array" ref="U30">_xlfn.XLOOKUP(1,('Arbonia Original'!$A$2:$A$117=U$26)*('Arbonia Original'!$B$2:$B$117=$B30),'Arbonia Original'!$J$2:$J$117,"")</f>
        <v>0.87</v>
      </c>
      <c r="V30" s="2" cm="1">
        <f t="array" ref="V30">_xlfn.XLOOKUP(1,('Arbonia Original'!$A$2:$A$117=V$26)*('Arbonia Original'!$B$2:$B$117=$B30),'Arbonia Original'!$J$2:$J$117,"")</f>
        <v>0.99</v>
      </c>
      <c r="W30" s="2" cm="1">
        <f t="array" ref="W30">_xlfn.XLOOKUP(1,('Arbonia Original'!$A$2:$A$117=W$26)*('Arbonia Original'!$B$2:$B$117=$B30),'Arbonia Original'!$J$2:$J$117,"")</f>
        <v>1.1100000000000001</v>
      </c>
      <c r="X30" s="9" cm="1">
        <f t="array" ref="X30">_xlfn.XLOOKUP(1,('Arbonia Original'!$A$2:$A$117=X$26)*('Arbonia Original'!$B$2:$B$117=$B30),'Arbonia Original'!$J$2:$J$117,"")</f>
        <v>1.19</v>
      </c>
    </row>
    <row r="31" spans="1:49" x14ac:dyDescent="0.2">
      <c r="B31" s="2">
        <f>B7</f>
        <v>225</v>
      </c>
      <c r="C31" s="2" cm="1">
        <f t="array" ref="C31">_xlfn.XLOOKUP(1,('Arbonia Original'!$A$2:$A$117=C$26)*('Arbonia Original'!$B$2:$B$117=$B31),'Arbonia Original'!$J$2:$J$117,"")</f>
        <v>0.1</v>
      </c>
      <c r="D31" s="2" t="str" cm="1">
        <f t="array" ref="D31">_xlfn.XLOOKUP(1,('Arbonia Original'!$A$2:$A$117=D$26)*('Arbonia Original'!$B$2:$B$117=$B31),'Arbonia Original'!$J$2:$J$117,"")</f>
        <v/>
      </c>
      <c r="E31" s="2" cm="1">
        <f t="array" ref="E31">_xlfn.XLOOKUP(1,('Arbonia Original'!$A$2:$A$117=E$26)*('Arbonia Original'!$B$2:$B$117=$B31),'Arbonia Original'!$J$2:$J$117,"")</f>
        <v>0.13</v>
      </c>
      <c r="F31" s="2" cm="1">
        <f t="array" ref="F31">_xlfn.XLOOKUP(1,('Arbonia Original'!$A$2:$A$117=F$26)*('Arbonia Original'!$B$2:$B$117=$B31),'Arbonia Original'!$J$2:$J$117,"")</f>
        <v>0.15</v>
      </c>
      <c r="G31" s="2" cm="1">
        <f t="array" ref="G31">_xlfn.XLOOKUP(1,('Arbonia Original'!$A$2:$A$117=G$26)*('Arbonia Original'!$B$2:$B$117=$B31),'Arbonia Original'!$J$2:$J$117,"")</f>
        <v>0.18</v>
      </c>
      <c r="H31" s="2" cm="1">
        <f t="array" ref="H31">_xlfn.XLOOKUP(1,('Arbonia Original'!$A$2:$A$117=H$26)*('Arbonia Original'!$B$2:$B$117=$B31),'Arbonia Original'!$J$2:$J$117,"")</f>
        <v>0.2</v>
      </c>
      <c r="I31" s="2" cm="1">
        <f t="array" ref="I31">_xlfn.XLOOKUP(1,('Arbonia Original'!$A$2:$A$117=I$26)*('Arbonia Original'!$B$2:$B$117=$B31),'Arbonia Original'!$J$2:$J$117,"")</f>
        <v>0.22</v>
      </c>
      <c r="J31" s="2" cm="1">
        <f t="array" ref="J31">_xlfn.XLOOKUP(1,('Arbonia Original'!$A$2:$A$117=J$26)*('Arbonia Original'!$B$2:$B$117=$B31),'Arbonia Original'!$J$2:$J$117,"")</f>
        <v>0.25</v>
      </c>
      <c r="K31" s="2" cm="1">
        <f t="array" ref="K31">_xlfn.XLOOKUP(1,('Arbonia Original'!$A$2:$A$117=K$26)*('Arbonia Original'!$B$2:$B$117=$B31),'Arbonia Original'!$J$2:$J$117,"")</f>
        <v>0.27</v>
      </c>
      <c r="L31" s="2" cm="1">
        <f t="array" ref="L31">_xlfn.XLOOKUP(1,('Arbonia Original'!$A$2:$A$117=L$26)*('Arbonia Original'!$B$2:$B$117=$B31),'Arbonia Original'!$J$2:$J$117,"")</f>
        <v>0.28999999999999998</v>
      </c>
      <c r="M31" s="2" cm="1">
        <f t="array" ref="M31">_xlfn.XLOOKUP(1,('Arbonia Original'!$A$2:$A$117=M$26)*('Arbonia Original'!$B$2:$B$117=$B31),'Arbonia Original'!$J$2:$J$117,"")</f>
        <v>0.37</v>
      </c>
      <c r="N31" s="2" cm="1">
        <f t="array" ref="N31">_xlfn.XLOOKUP(1,('Arbonia Original'!$A$2:$A$117=N$26)*('Arbonia Original'!$B$2:$B$117=$B31),'Arbonia Original'!$J$2:$J$117,"")</f>
        <v>0.44</v>
      </c>
      <c r="O31" s="2" cm="1">
        <f t="array" ref="O31">_xlfn.XLOOKUP(1,('Arbonia Original'!$A$2:$A$117=O$26)*('Arbonia Original'!$B$2:$B$117=$B31),'Arbonia Original'!$J$2:$J$117,"")</f>
        <v>0.48</v>
      </c>
      <c r="P31" s="2" cm="1">
        <f t="array" ref="P31">_xlfn.XLOOKUP(1,('Arbonia Original'!$A$2:$A$117=P$26)*('Arbonia Original'!$B$2:$B$117=$B31),'Arbonia Original'!$J$2:$J$117,"")</f>
        <v>0.53</v>
      </c>
      <c r="Q31" s="2" cm="1">
        <f t="array" ref="Q31">_xlfn.XLOOKUP(1,('Arbonia Original'!$A$2:$A$117=Q$26)*('Arbonia Original'!$B$2:$B$117=$B31),'Arbonia Original'!$J$2:$J$117,"")</f>
        <v>0.57999999999999996</v>
      </c>
      <c r="R31" s="2" cm="1">
        <f t="array" ref="R31">_xlfn.XLOOKUP(1,('Arbonia Original'!$A$2:$A$117=R$26)*('Arbonia Original'!$B$2:$B$117=$B31),'Arbonia Original'!$J$2:$J$117,"")</f>
        <v>0.72</v>
      </c>
      <c r="S31" s="2" cm="1">
        <f t="array" ref="S31">_xlfn.XLOOKUP(1,('Arbonia Original'!$A$2:$A$117=S$26)*('Arbonia Original'!$B$2:$B$117=$B31),'Arbonia Original'!$J$2:$J$117,"")</f>
        <v>0.86</v>
      </c>
      <c r="T31" s="2" cm="1">
        <f t="array" ref="T31">_xlfn.XLOOKUP(1,('Arbonia Original'!$A$2:$A$117=T$26)*('Arbonia Original'!$B$2:$B$117=$B31),'Arbonia Original'!$J$2:$J$117,"")</f>
        <v>0.95</v>
      </c>
      <c r="U31" s="2" cm="1">
        <f t="array" ref="U31">_xlfn.XLOOKUP(1,('Arbonia Original'!$A$2:$A$117=U$26)*('Arbonia Original'!$B$2:$B$117=$B31),'Arbonia Original'!$J$2:$J$117,"")</f>
        <v>1.05</v>
      </c>
      <c r="V31" s="2" cm="1">
        <f t="array" ref="V31">_xlfn.XLOOKUP(1,('Arbonia Original'!$A$2:$A$117=V$26)*('Arbonia Original'!$B$2:$B$117=$B31),'Arbonia Original'!$J$2:$J$117,"")</f>
        <v>1.19</v>
      </c>
      <c r="W31" s="2" cm="1">
        <f t="array" ref="W31">_xlfn.XLOOKUP(1,('Arbonia Original'!$A$2:$A$117=W$26)*('Arbonia Original'!$B$2:$B$117=$B31),'Arbonia Original'!$J$2:$J$117,"")</f>
        <v>1.33</v>
      </c>
      <c r="X31" s="9" cm="1">
        <f t="array" ref="X31">_xlfn.XLOOKUP(1,('Arbonia Original'!$A$2:$A$117=X$26)*('Arbonia Original'!$B$2:$B$117=$B31),'Arbonia Original'!$J$2:$J$117,"")</f>
        <v>1.43</v>
      </c>
    </row>
    <row r="32" spans="1:49" x14ac:dyDescent="0.2">
      <c r="C32" s="8"/>
      <c r="D32" s="8"/>
      <c r="E32" s="8"/>
      <c r="F32" s="8"/>
      <c r="G32" s="8"/>
      <c r="H32" s="8"/>
      <c r="I32" s="8"/>
      <c r="J32" s="8"/>
      <c r="K32" s="8"/>
      <c r="L32" s="8"/>
      <c r="M32" s="8"/>
      <c r="N32" s="8"/>
      <c r="O32" s="8"/>
      <c r="P32"/>
      <c r="Q32"/>
      <c r="R32"/>
      <c r="S32"/>
      <c r="T32"/>
      <c r="U32"/>
      <c r="V32"/>
      <c r="AW32" s="30"/>
    </row>
    <row r="33" spans="1:24" ht="39" x14ac:dyDescent="0.25">
      <c r="A33" s="57" t="s">
        <v>155</v>
      </c>
      <c r="C33" s="4" t="s">
        <v>2</v>
      </c>
      <c r="P33"/>
      <c r="Q33"/>
      <c r="R33"/>
      <c r="S33"/>
      <c r="T33"/>
      <c r="U33"/>
      <c r="V33"/>
    </row>
    <row r="34" spans="1:24" x14ac:dyDescent="0.2">
      <c r="A34" s="57" t="s">
        <v>156</v>
      </c>
      <c r="C34" s="5">
        <f t="shared" ref="C34:X34" si="3">C$2</f>
        <v>180</v>
      </c>
      <c r="D34" s="5">
        <f t="shared" si="3"/>
        <v>190</v>
      </c>
      <c r="E34" s="5">
        <f t="shared" si="3"/>
        <v>260</v>
      </c>
      <c r="F34" s="5">
        <f t="shared" si="3"/>
        <v>300</v>
      </c>
      <c r="G34" s="5">
        <f t="shared" si="3"/>
        <v>350</v>
      </c>
      <c r="H34" s="5">
        <f t="shared" si="3"/>
        <v>400</v>
      </c>
      <c r="I34" s="5">
        <f t="shared" si="3"/>
        <v>450</v>
      </c>
      <c r="J34" s="5">
        <f t="shared" si="3"/>
        <v>500</v>
      </c>
      <c r="K34" s="5">
        <f t="shared" si="3"/>
        <v>550</v>
      </c>
      <c r="L34" s="5">
        <f t="shared" si="3"/>
        <v>600</v>
      </c>
      <c r="M34" s="5">
        <f t="shared" si="3"/>
        <v>750</v>
      </c>
      <c r="N34" s="5">
        <f t="shared" si="3"/>
        <v>900</v>
      </c>
      <c r="O34" s="5">
        <f t="shared" si="3"/>
        <v>1000</v>
      </c>
      <c r="P34" s="5">
        <f t="shared" si="3"/>
        <v>1100</v>
      </c>
      <c r="Q34" s="5">
        <f t="shared" si="3"/>
        <v>1200</v>
      </c>
      <c r="R34" s="5">
        <f t="shared" si="3"/>
        <v>1500</v>
      </c>
      <c r="S34" s="5">
        <f t="shared" si="3"/>
        <v>1800</v>
      </c>
      <c r="T34" s="5">
        <f t="shared" si="3"/>
        <v>2000</v>
      </c>
      <c r="U34" s="5">
        <f t="shared" si="3"/>
        <v>2200</v>
      </c>
      <c r="V34" s="5">
        <f t="shared" si="3"/>
        <v>2500</v>
      </c>
      <c r="W34" s="5">
        <f t="shared" si="3"/>
        <v>2800</v>
      </c>
      <c r="X34" s="5">
        <f t="shared" si="3"/>
        <v>3000</v>
      </c>
    </row>
    <row r="35" spans="1:24" ht="13.5" x14ac:dyDescent="0.25">
      <c r="A35" s="4" t="s">
        <v>3</v>
      </c>
      <c r="B35" s="2">
        <f>B3</f>
        <v>65</v>
      </c>
      <c r="C35" s="2" t="str" cm="1">
        <f t="array" ref="C35">_xlfn.XLOOKUP(1,('Arbonia Original'!$A$2:$A$117=C$34)*('Arbonia Original'!$B$2:$B$117=$B35),'Arbonia Original'!$K$2:$K$117,"")</f>
        <v/>
      </c>
      <c r="D35" s="2" cm="1">
        <f t="array" ref="D35">_xlfn.XLOOKUP(1,('Arbonia Original'!$A$2:$A$117=D$34)*('Arbonia Original'!$B$2:$B$117=$B35),'Arbonia Original'!$K$2:$K$117,"")</f>
        <v>0.28000000000000003</v>
      </c>
      <c r="E35" s="2" cm="1">
        <f t="array" ref="E35">_xlfn.XLOOKUP(1,('Arbonia Original'!$A$2:$A$117=E$34)*('Arbonia Original'!$B$2:$B$117=$B35),'Arbonia Original'!$K$2:$K$117,"")</f>
        <v>0.34</v>
      </c>
      <c r="F35" s="2" cm="1">
        <f t="array" ref="F35">_xlfn.XLOOKUP(1,('Arbonia Original'!$A$2:$A$117=F$34)*('Arbonia Original'!$B$2:$B$117=$B35),'Arbonia Original'!$K$2:$K$117,"")</f>
        <v>0.37</v>
      </c>
      <c r="G35" s="2" cm="1">
        <f t="array" ref="G35">_xlfn.XLOOKUP(1,('Arbonia Original'!$A$2:$A$117=G$34)*('Arbonia Original'!$B$2:$B$117=$B35),'Arbonia Original'!$K$2:$K$117,"")</f>
        <v>0.41</v>
      </c>
      <c r="H35" s="2" cm="1">
        <f t="array" ref="H35">_xlfn.XLOOKUP(1,('Arbonia Original'!$A$2:$A$117=H$34)*('Arbonia Original'!$B$2:$B$117=$B35),'Arbonia Original'!$K$2:$K$117,"")</f>
        <v>0.45</v>
      </c>
      <c r="I35" s="2" cm="1">
        <f t="array" ref="I35">_xlfn.XLOOKUP(1,('Arbonia Original'!$A$2:$A$117=I$34)*('Arbonia Original'!$B$2:$B$117=$B35),'Arbonia Original'!$K$2:$K$117,"")</f>
        <v>0.49</v>
      </c>
      <c r="J35" s="2" cm="1">
        <f t="array" ref="J35">_xlfn.XLOOKUP(1,('Arbonia Original'!$A$2:$A$117=J$34)*('Arbonia Original'!$B$2:$B$117=$B35),'Arbonia Original'!$K$2:$K$117,"")</f>
        <v>0.53</v>
      </c>
      <c r="K35" s="2" cm="1">
        <f t="array" ref="K35">_xlfn.XLOOKUP(1,('Arbonia Original'!$A$2:$A$117=K$34)*('Arbonia Original'!$B$2:$B$117=$B35),'Arbonia Original'!$K$2:$K$117,"")</f>
        <v>0.56999999999999995</v>
      </c>
      <c r="L35" s="2" cm="1">
        <f t="array" ref="L35">_xlfn.XLOOKUP(1,('Arbonia Original'!$A$2:$A$117=L$34)*('Arbonia Original'!$B$2:$B$117=$B35),'Arbonia Original'!$K$2:$K$117,"")</f>
        <v>0.61</v>
      </c>
      <c r="M35" s="2" cm="1">
        <f t="array" ref="M35">_xlfn.XLOOKUP(1,('Arbonia Original'!$A$2:$A$117=M$34)*('Arbonia Original'!$B$2:$B$117=$B35),'Arbonia Original'!$K$2:$K$117,"")</f>
        <v>0.73</v>
      </c>
      <c r="N35" s="2" cm="1">
        <f t="array" ref="N35">_xlfn.XLOOKUP(1,('Arbonia Original'!$A$2:$A$117=N$34)*('Arbonia Original'!$B$2:$B$117=$B35),'Arbonia Original'!$K$2:$K$117,"")</f>
        <v>0.84</v>
      </c>
      <c r="O35" s="2" cm="1">
        <f t="array" ref="O35">_xlfn.XLOOKUP(1,('Arbonia Original'!$A$2:$A$117=O$34)*('Arbonia Original'!$B$2:$B$117=$B35),'Arbonia Original'!$K$2:$K$117,"")</f>
        <v>0.92</v>
      </c>
      <c r="P35" s="2" cm="1">
        <f t="array" ref="P35">_xlfn.XLOOKUP(1,('Arbonia Original'!$A$2:$A$117=P$34)*('Arbonia Original'!$B$2:$B$117=$B35),'Arbonia Original'!$K$2:$K$117,"")</f>
        <v>1</v>
      </c>
      <c r="Q35" s="2" cm="1">
        <f t="array" ref="Q35">_xlfn.XLOOKUP(1,('Arbonia Original'!$A$2:$A$117=Q$34)*('Arbonia Original'!$B$2:$B$117=$B35),'Arbonia Original'!$K$2:$K$117,"")</f>
        <v>1.08</v>
      </c>
      <c r="R35" s="2" cm="1">
        <f t="array" ref="R35">_xlfn.XLOOKUP(1,('Arbonia Original'!$A$2:$A$117=R$34)*('Arbonia Original'!$B$2:$B$117=$B35),'Arbonia Original'!$K$2:$K$117,"")</f>
        <v>1.32</v>
      </c>
      <c r="S35" s="2" cm="1">
        <f t="array" ref="S35">_xlfn.XLOOKUP(1,('Arbonia Original'!$A$2:$A$117=S$34)*('Arbonia Original'!$B$2:$B$117=$B35),'Arbonia Original'!$K$2:$K$117,"")</f>
        <v>1.56</v>
      </c>
      <c r="T35" s="2" cm="1">
        <f t="array" ref="T35">_xlfn.XLOOKUP(1,('Arbonia Original'!$A$2:$A$117=T$34)*('Arbonia Original'!$B$2:$B$117=$B35),'Arbonia Original'!$K$2:$K$117,"")</f>
        <v>1.72</v>
      </c>
      <c r="U35" s="2" cm="1">
        <f t="array" ref="U35">_xlfn.XLOOKUP(1,('Arbonia Original'!$A$2:$A$117=U$34)*('Arbonia Original'!$B$2:$B$117=$B35),'Arbonia Original'!$K$2:$K$117,"")</f>
        <v>1.88</v>
      </c>
      <c r="V35" s="2" cm="1">
        <f t="array" ref="V35">_xlfn.XLOOKUP(1,('Arbonia Original'!$A$2:$A$117=V$34)*('Arbonia Original'!$B$2:$B$117=$B35),'Arbonia Original'!$K$2:$K$117,"")</f>
        <v>2.12</v>
      </c>
      <c r="W35" s="2" cm="1">
        <f t="array" ref="W35">_xlfn.XLOOKUP(1,('Arbonia Original'!$A$2:$A$117=W$34)*('Arbonia Original'!$B$2:$B$117=$B35),'Arbonia Original'!$K$2:$K$117,"")</f>
        <v>2.36</v>
      </c>
      <c r="X35" s="2" cm="1">
        <f t="array" ref="X35">_xlfn.XLOOKUP(1,('Arbonia Original'!$A$2:$A$117=X$34)*('Arbonia Original'!$B$2:$B$117=$B35),'Arbonia Original'!$K$2:$K$117,"")</f>
        <v>2.5099999999999998</v>
      </c>
    </row>
    <row r="36" spans="1:24" x14ac:dyDescent="0.2">
      <c r="B36" s="2">
        <f>B4</f>
        <v>105</v>
      </c>
      <c r="C36" s="2" t="str" cm="1">
        <f t="array" ref="C36">_xlfn.XLOOKUP(1,('Arbonia Original'!$A$2:$A$117=C$34)*('Arbonia Original'!$B$2:$B$117=$B36),'Arbonia Original'!$K$2:$K$117,"")</f>
        <v/>
      </c>
      <c r="D36" s="2" cm="1">
        <f t="array" ref="D36">_xlfn.XLOOKUP(1,('Arbonia Original'!$A$2:$A$117=D$34)*('Arbonia Original'!$B$2:$B$117=$B36),'Arbonia Original'!$K$2:$K$117,"")</f>
        <v>0.4</v>
      </c>
      <c r="E36" s="2" cm="1">
        <f t="array" ref="E36">_xlfn.XLOOKUP(1,('Arbonia Original'!$A$2:$A$117=E$34)*('Arbonia Original'!$B$2:$B$117=$B36),'Arbonia Original'!$K$2:$K$117,"")</f>
        <v>0.48</v>
      </c>
      <c r="F36" s="2" cm="1">
        <f t="array" ref="F36">_xlfn.XLOOKUP(1,('Arbonia Original'!$A$2:$A$117=F$34)*('Arbonia Original'!$B$2:$B$117=$B36),'Arbonia Original'!$K$2:$K$117,"")</f>
        <v>0.53</v>
      </c>
      <c r="G36" s="2" cm="1">
        <f t="array" ref="G36">_xlfn.XLOOKUP(1,('Arbonia Original'!$A$2:$A$117=G$34)*('Arbonia Original'!$B$2:$B$117=$B36),'Arbonia Original'!$K$2:$K$117,"")</f>
        <v>0.59</v>
      </c>
      <c r="H36" s="2" cm="1">
        <f t="array" ref="H36">_xlfn.XLOOKUP(1,('Arbonia Original'!$A$2:$A$117=H$34)*('Arbonia Original'!$B$2:$B$117=$B36),'Arbonia Original'!$K$2:$K$117,"")</f>
        <v>0.65</v>
      </c>
      <c r="I36" s="2" cm="1">
        <f t="array" ref="I36">_xlfn.XLOOKUP(1,('Arbonia Original'!$A$2:$A$117=I$34)*('Arbonia Original'!$B$2:$B$117=$B36),'Arbonia Original'!$K$2:$K$117,"")</f>
        <v>0.71</v>
      </c>
      <c r="J36" s="2" cm="1">
        <f t="array" ref="J36">_xlfn.XLOOKUP(1,('Arbonia Original'!$A$2:$A$117=J$34)*('Arbonia Original'!$B$2:$B$117=$B36),'Arbonia Original'!$K$2:$K$117,"")</f>
        <v>0.77</v>
      </c>
      <c r="K36" s="2" cm="1">
        <f t="array" ref="K36">_xlfn.XLOOKUP(1,('Arbonia Original'!$A$2:$A$117=K$34)*('Arbonia Original'!$B$2:$B$117=$B36),'Arbonia Original'!$K$2:$K$117,"")</f>
        <v>0.83</v>
      </c>
      <c r="L36" s="2" cm="1">
        <f t="array" ref="L36">_xlfn.XLOOKUP(1,('Arbonia Original'!$A$2:$A$117=L$34)*('Arbonia Original'!$B$2:$B$117=$B36),'Arbonia Original'!$K$2:$K$117,"")</f>
        <v>0.89</v>
      </c>
      <c r="M36" s="2" cm="1">
        <f t="array" ref="M36">_xlfn.XLOOKUP(1,('Arbonia Original'!$A$2:$A$117=M$34)*('Arbonia Original'!$B$2:$B$117=$B36),'Arbonia Original'!$K$2:$K$117,"")</f>
        <v>1.07</v>
      </c>
      <c r="N36" s="2" cm="1">
        <f t="array" ref="N36">_xlfn.XLOOKUP(1,('Arbonia Original'!$A$2:$A$117=N$34)*('Arbonia Original'!$B$2:$B$117=$B36),'Arbonia Original'!$K$2:$K$117,"")</f>
        <v>1.25</v>
      </c>
      <c r="O36" s="2" cm="1">
        <f t="array" ref="O36">_xlfn.XLOOKUP(1,('Arbonia Original'!$A$2:$A$117=O$34)*('Arbonia Original'!$B$2:$B$117=$B36),'Arbonia Original'!$K$2:$K$117,"")</f>
        <v>1.37</v>
      </c>
      <c r="P36" s="2" cm="1">
        <f t="array" ref="P36">_xlfn.XLOOKUP(1,('Arbonia Original'!$A$2:$A$117=P$34)*('Arbonia Original'!$B$2:$B$117=$B36),'Arbonia Original'!$K$2:$K$117,"")</f>
        <v>1.49</v>
      </c>
      <c r="Q36" s="2" cm="1">
        <f t="array" ref="Q36">_xlfn.XLOOKUP(1,('Arbonia Original'!$A$2:$A$117=Q$34)*('Arbonia Original'!$B$2:$B$117=$B36),'Arbonia Original'!$K$2:$K$117,"")</f>
        <v>1.6</v>
      </c>
      <c r="R36" s="2" cm="1">
        <f t="array" ref="R36">_xlfn.XLOOKUP(1,('Arbonia Original'!$A$2:$A$117=R$34)*('Arbonia Original'!$B$2:$B$117=$B36),'Arbonia Original'!$K$2:$K$117,"")</f>
        <v>1.96</v>
      </c>
      <c r="S36" s="2" cm="1">
        <f t="array" ref="S36">_xlfn.XLOOKUP(1,('Arbonia Original'!$A$2:$A$117=S$34)*('Arbonia Original'!$B$2:$B$117=$B36),'Arbonia Original'!$K$2:$K$117,"")</f>
        <v>2.3199999999999998</v>
      </c>
      <c r="T36" s="2" cm="1">
        <f t="array" ref="T36">_xlfn.XLOOKUP(1,('Arbonia Original'!$A$2:$A$117=T$34)*('Arbonia Original'!$B$2:$B$117=$B36),'Arbonia Original'!$K$2:$K$117,"")</f>
        <v>2.56</v>
      </c>
      <c r="U36" s="2" cm="1">
        <f t="array" ref="U36">_xlfn.XLOOKUP(1,('Arbonia Original'!$A$2:$A$117=U$34)*('Arbonia Original'!$B$2:$B$117=$B36),'Arbonia Original'!$K$2:$K$117,"")</f>
        <v>2.8</v>
      </c>
      <c r="V36" s="2" cm="1">
        <f t="array" ref="V36">_xlfn.XLOOKUP(1,('Arbonia Original'!$A$2:$A$117=V$34)*('Arbonia Original'!$B$2:$B$117=$B36),'Arbonia Original'!$K$2:$K$117,"")</f>
        <v>3.16</v>
      </c>
      <c r="W36" s="2" cm="1">
        <f t="array" ref="W36">_xlfn.XLOOKUP(1,('Arbonia Original'!$A$2:$A$117=W$34)*('Arbonia Original'!$B$2:$B$117=$B36),'Arbonia Original'!$K$2:$K$117,"")</f>
        <v>3.51</v>
      </c>
      <c r="X36" s="2" cm="1">
        <f t="array" ref="X36">_xlfn.XLOOKUP(1,('Arbonia Original'!$A$2:$A$117=X$34)*('Arbonia Original'!$B$2:$B$117=$B36),'Arbonia Original'!$K$2:$K$117,"")</f>
        <v>3.75</v>
      </c>
    </row>
    <row r="37" spans="1:24" x14ac:dyDescent="0.2">
      <c r="B37" s="2">
        <f>B5</f>
        <v>145</v>
      </c>
      <c r="C37" s="2" t="str" cm="1">
        <f t="array" ref="C37">_xlfn.XLOOKUP(1,('Arbonia Original'!$A$2:$A$117=C$34)*('Arbonia Original'!$B$2:$B$117=$B37),'Arbonia Original'!$K$2:$K$117,"")</f>
        <v/>
      </c>
      <c r="D37" s="2" cm="1">
        <f t="array" ref="D37">_xlfn.XLOOKUP(1,('Arbonia Original'!$A$2:$A$117=D$34)*('Arbonia Original'!$B$2:$B$117=$B37),'Arbonia Original'!$K$2:$K$117,"")</f>
        <v>0.52</v>
      </c>
      <c r="E37" s="2" cm="1">
        <f t="array" ref="E37">_xlfn.XLOOKUP(1,('Arbonia Original'!$A$2:$A$117=E$34)*('Arbonia Original'!$B$2:$B$117=$B37),'Arbonia Original'!$K$2:$K$117,"")</f>
        <v>0.63</v>
      </c>
      <c r="F37" s="2" cm="1">
        <f t="array" ref="F37">_xlfn.XLOOKUP(1,('Arbonia Original'!$A$2:$A$117=F$34)*('Arbonia Original'!$B$2:$B$117=$B37),'Arbonia Original'!$K$2:$K$117,"")</f>
        <v>0.69</v>
      </c>
      <c r="G37" s="2" cm="1">
        <f t="array" ref="G37">_xlfn.XLOOKUP(1,('Arbonia Original'!$A$2:$A$117=G$34)*('Arbonia Original'!$B$2:$B$117=$B37),'Arbonia Original'!$K$2:$K$117,"")</f>
        <v>0.77</v>
      </c>
      <c r="H37" s="2" cm="1">
        <f t="array" ref="H37">_xlfn.XLOOKUP(1,('Arbonia Original'!$A$2:$A$117=H$34)*('Arbonia Original'!$B$2:$B$117=$B37),'Arbonia Original'!$K$2:$K$117,"")</f>
        <v>0.85</v>
      </c>
      <c r="I37" s="2" cm="1">
        <f t="array" ref="I37">_xlfn.XLOOKUP(1,('Arbonia Original'!$A$2:$A$117=I$34)*('Arbonia Original'!$B$2:$B$117=$B37),'Arbonia Original'!$K$2:$K$117,"")</f>
        <v>0.93</v>
      </c>
      <c r="J37" s="2" cm="1">
        <f t="array" ref="J37">_xlfn.XLOOKUP(1,('Arbonia Original'!$A$2:$A$117=J$34)*('Arbonia Original'!$B$2:$B$117=$B37),'Arbonia Original'!$K$2:$K$117,"")</f>
        <v>1.01</v>
      </c>
      <c r="K37" s="2" cm="1">
        <f t="array" ref="K37">_xlfn.XLOOKUP(1,('Arbonia Original'!$A$2:$A$117=K$34)*('Arbonia Original'!$B$2:$B$117=$B37),'Arbonia Original'!$K$2:$K$117,"")</f>
        <v>1.0900000000000001</v>
      </c>
      <c r="L37" s="2" cm="1">
        <f t="array" ref="L37">_xlfn.XLOOKUP(1,('Arbonia Original'!$A$2:$A$117=L$34)*('Arbonia Original'!$B$2:$B$117=$B37),'Arbonia Original'!$K$2:$K$117,"")</f>
        <v>1.17</v>
      </c>
      <c r="M37" s="2" cm="1">
        <f t="array" ref="M37">_xlfn.XLOOKUP(1,('Arbonia Original'!$A$2:$A$117=M$34)*('Arbonia Original'!$B$2:$B$117=$B37),'Arbonia Original'!$K$2:$K$117,"")</f>
        <v>1.41</v>
      </c>
      <c r="N37" s="2" cm="1">
        <f t="array" ref="N37">_xlfn.XLOOKUP(1,('Arbonia Original'!$A$2:$A$117=N$34)*('Arbonia Original'!$B$2:$B$117=$B37),'Arbonia Original'!$K$2:$K$117,"")</f>
        <v>1.65</v>
      </c>
      <c r="O37" s="2" cm="1">
        <f t="array" ref="O37">_xlfn.XLOOKUP(1,('Arbonia Original'!$A$2:$A$117=O$34)*('Arbonia Original'!$B$2:$B$117=$B37),'Arbonia Original'!$K$2:$K$117,"")</f>
        <v>1.81</v>
      </c>
      <c r="P37" s="2" cm="1">
        <f t="array" ref="P37">_xlfn.XLOOKUP(1,('Arbonia Original'!$A$2:$A$117=P$34)*('Arbonia Original'!$B$2:$B$117=$B37),'Arbonia Original'!$K$2:$K$117,"")</f>
        <v>1.97</v>
      </c>
      <c r="Q37" s="2" cm="1">
        <f t="array" ref="Q37">_xlfn.XLOOKUP(1,('Arbonia Original'!$A$2:$A$117=Q$34)*('Arbonia Original'!$B$2:$B$117=$B37),'Arbonia Original'!$K$2:$K$117,"")</f>
        <v>2.13</v>
      </c>
      <c r="R37" s="2" cm="1">
        <f t="array" ref="R37">_xlfn.XLOOKUP(1,('Arbonia Original'!$A$2:$A$117=R$34)*('Arbonia Original'!$B$2:$B$117=$B37),'Arbonia Original'!$K$2:$K$117,"")</f>
        <v>2.6</v>
      </c>
      <c r="S37" s="2" cm="1">
        <f t="array" ref="S37">_xlfn.XLOOKUP(1,('Arbonia Original'!$A$2:$A$117=S$34)*('Arbonia Original'!$B$2:$B$117=$B37),'Arbonia Original'!$K$2:$K$117,"")</f>
        <v>3.08</v>
      </c>
      <c r="T37" s="2" cm="1">
        <f t="array" ref="T37">_xlfn.XLOOKUP(1,('Arbonia Original'!$A$2:$A$117=T$34)*('Arbonia Original'!$B$2:$B$117=$B37),'Arbonia Original'!$K$2:$K$117,"")</f>
        <v>3.4</v>
      </c>
      <c r="U37" s="2" cm="1">
        <f t="array" ref="U37">_xlfn.XLOOKUP(1,('Arbonia Original'!$A$2:$A$117=U$34)*('Arbonia Original'!$B$2:$B$117=$B37),'Arbonia Original'!$K$2:$K$117,"")</f>
        <v>3.72</v>
      </c>
      <c r="V37" s="2" cm="1">
        <f t="array" ref="V37">_xlfn.XLOOKUP(1,('Arbonia Original'!$A$2:$A$117=V$34)*('Arbonia Original'!$B$2:$B$117=$B37),'Arbonia Original'!$K$2:$K$117,"")</f>
        <v>4.1900000000000004</v>
      </c>
      <c r="W37" s="2" cm="1">
        <f t="array" ref="W37">_xlfn.XLOOKUP(1,('Arbonia Original'!$A$2:$A$117=W$34)*('Arbonia Original'!$B$2:$B$117=$B37),'Arbonia Original'!$K$2:$K$117,"")</f>
        <v>4.67</v>
      </c>
      <c r="X37" s="2" cm="1">
        <f t="array" ref="X37">_xlfn.XLOOKUP(1,('Arbonia Original'!$A$2:$A$117=X$34)*('Arbonia Original'!$B$2:$B$117=$B37),'Arbonia Original'!$K$2:$K$117,"")</f>
        <v>4.99</v>
      </c>
    </row>
    <row r="38" spans="1:24" x14ac:dyDescent="0.2">
      <c r="B38" s="2">
        <f>B6</f>
        <v>185</v>
      </c>
      <c r="C38" s="2" cm="1">
        <f t="array" ref="C38">_xlfn.XLOOKUP(1,('Arbonia Original'!$A$2:$A$117=C$34)*('Arbonia Original'!$B$2:$B$117=$B38),'Arbonia Original'!$K$2:$K$117,"")</f>
        <v>0.62</v>
      </c>
      <c r="D38" s="2" t="str" cm="1">
        <f t="array" ref="D38">_xlfn.XLOOKUP(1,('Arbonia Original'!$A$2:$A$117=D$34)*('Arbonia Original'!$B$2:$B$117=$B38),'Arbonia Original'!$K$2:$K$117,"")</f>
        <v/>
      </c>
      <c r="E38" s="2" cm="1">
        <f t="array" ref="E38">_xlfn.XLOOKUP(1,('Arbonia Original'!$A$2:$A$117=E$34)*('Arbonia Original'!$B$2:$B$117=$B38),'Arbonia Original'!$K$2:$K$117,"")</f>
        <v>0.78</v>
      </c>
      <c r="F38" s="2" cm="1">
        <f t="array" ref="F38">_xlfn.XLOOKUP(1,('Arbonia Original'!$A$2:$A$117=F$34)*('Arbonia Original'!$B$2:$B$117=$B38),'Arbonia Original'!$K$2:$K$117,"")</f>
        <v>0.86</v>
      </c>
      <c r="G38" s="2" cm="1">
        <f t="array" ref="G38">_xlfn.XLOOKUP(1,('Arbonia Original'!$A$2:$A$117=G$34)*('Arbonia Original'!$B$2:$B$117=$B38),'Arbonia Original'!$K$2:$K$117,"")</f>
        <v>0.96</v>
      </c>
      <c r="H38" s="2" cm="1">
        <f t="array" ref="H38">_xlfn.XLOOKUP(1,('Arbonia Original'!$A$2:$A$117=H$34)*('Arbonia Original'!$B$2:$B$117=$B38),'Arbonia Original'!$K$2:$K$117,"")</f>
        <v>1.06</v>
      </c>
      <c r="I38" s="2" cm="1">
        <f t="array" ref="I38">_xlfn.XLOOKUP(1,('Arbonia Original'!$A$2:$A$117=I$34)*('Arbonia Original'!$B$2:$B$117=$B38),'Arbonia Original'!$K$2:$K$117,"")</f>
        <v>1.1599999999999999</v>
      </c>
      <c r="J38" s="2" cm="1">
        <f t="array" ref="J38">_xlfn.XLOOKUP(1,('Arbonia Original'!$A$2:$A$117=J$34)*('Arbonia Original'!$B$2:$B$117=$B38),'Arbonia Original'!$K$2:$K$117,"")</f>
        <v>1.26</v>
      </c>
      <c r="K38" s="2" cm="1">
        <f t="array" ref="K38">_xlfn.XLOOKUP(1,('Arbonia Original'!$A$2:$A$117=K$34)*('Arbonia Original'!$B$2:$B$117=$B38),'Arbonia Original'!$K$2:$K$117,"")</f>
        <v>1.36</v>
      </c>
      <c r="L38" s="2" cm="1">
        <f t="array" ref="L38">_xlfn.XLOOKUP(1,('Arbonia Original'!$A$2:$A$117=L$34)*('Arbonia Original'!$B$2:$B$117=$B38),'Arbonia Original'!$K$2:$K$117,"")</f>
        <v>1.45</v>
      </c>
      <c r="M38" s="2" cm="1">
        <f t="array" ref="M38">_xlfn.XLOOKUP(1,('Arbonia Original'!$A$2:$A$117=M$34)*('Arbonia Original'!$B$2:$B$117=$B38),'Arbonia Original'!$K$2:$K$117,"")</f>
        <v>1.75</v>
      </c>
      <c r="N38" s="2" cm="1">
        <f t="array" ref="N38">_xlfn.XLOOKUP(1,('Arbonia Original'!$A$2:$A$117=N$34)*('Arbonia Original'!$B$2:$B$117=$B38),'Arbonia Original'!$K$2:$K$117,"")</f>
        <v>2.0499999999999998</v>
      </c>
      <c r="O38" s="2" cm="1">
        <f t="array" ref="O38">_xlfn.XLOOKUP(1,('Arbonia Original'!$A$2:$A$117=O$34)*('Arbonia Original'!$B$2:$B$117=$B38),'Arbonia Original'!$K$2:$K$117,"")</f>
        <v>2.25</v>
      </c>
      <c r="P38" s="2" cm="1">
        <f t="array" ref="P38">_xlfn.XLOOKUP(1,('Arbonia Original'!$A$2:$A$117=P$34)*('Arbonia Original'!$B$2:$B$117=$B38),'Arbonia Original'!$K$2:$K$117,"")</f>
        <v>2.4500000000000002</v>
      </c>
      <c r="Q38" s="2" cm="1">
        <f t="array" ref="Q38">_xlfn.XLOOKUP(1,('Arbonia Original'!$A$2:$A$117=Q$34)*('Arbonia Original'!$B$2:$B$117=$B38),'Arbonia Original'!$K$2:$K$117,"")</f>
        <v>2.65</v>
      </c>
      <c r="R38" s="2" cm="1">
        <f t="array" ref="R38">_xlfn.XLOOKUP(1,('Arbonia Original'!$A$2:$A$117=R$34)*('Arbonia Original'!$B$2:$B$117=$B38),'Arbonia Original'!$K$2:$K$117,"")</f>
        <v>3.24</v>
      </c>
      <c r="S38" s="2" cm="1">
        <f t="array" ref="S38">_xlfn.XLOOKUP(1,('Arbonia Original'!$A$2:$A$117=S$34)*('Arbonia Original'!$B$2:$B$117=$B38),'Arbonia Original'!$K$2:$K$117,"")</f>
        <v>3.84</v>
      </c>
      <c r="T38" s="2" cm="1">
        <f t="array" ref="T38">_xlfn.XLOOKUP(1,('Arbonia Original'!$A$2:$A$117=T$34)*('Arbonia Original'!$B$2:$B$117=$B38),'Arbonia Original'!$K$2:$K$117,"")</f>
        <v>4.24</v>
      </c>
      <c r="U38" s="2" cm="1">
        <f t="array" ref="U38">_xlfn.XLOOKUP(1,('Arbonia Original'!$A$2:$A$117=U$34)*('Arbonia Original'!$B$2:$B$117=$B38),'Arbonia Original'!$K$2:$K$117,"")</f>
        <v>4.6399999999999997</v>
      </c>
      <c r="V38" s="2" cm="1">
        <f t="array" ref="V38">_xlfn.XLOOKUP(1,('Arbonia Original'!$A$2:$A$117=V$34)*('Arbonia Original'!$B$2:$B$117=$B38),'Arbonia Original'!$K$2:$K$117,"")</f>
        <v>5.23</v>
      </c>
      <c r="W38" s="2" cm="1">
        <f t="array" ref="W38">_xlfn.XLOOKUP(1,('Arbonia Original'!$A$2:$A$117=W$34)*('Arbonia Original'!$B$2:$B$117=$B38),'Arbonia Original'!$K$2:$K$117,"")</f>
        <v>5.83</v>
      </c>
      <c r="X38" s="2" cm="1">
        <f t="array" ref="X38">_xlfn.XLOOKUP(1,('Arbonia Original'!$A$2:$A$117=X$34)*('Arbonia Original'!$B$2:$B$117=$B38),'Arbonia Original'!$K$2:$K$117,"")</f>
        <v>6.23</v>
      </c>
    </row>
    <row r="39" spans="1:24" x14ac:dyDescent="0.2">
      <c r="B39" s="2">
        <f>B7</f>
        <v>225</v>
      </c>
      <c r="C39" s="2" cm="1">
        <f t="array" ref="C39">_xlfn.XLOOKUP(1,('Arbonia Original'!$A$2:$A$117=C$34)*('Arbonia Original'!$B$2:$B$117=$B39),'Arbonia Original'!$K$2:$K$117,"")</f>
        <v>0.74</v>
      </c>
      <c r="D39" s="2" t="str" cm="1">
        <f t="array" ref="D39">_xlfn.XLOOKUP(1,('Arbonia Original'!$A$2:$A$117=D$34)*('Arbonia Original'!$B$2:$B$117=$B39),'Arbonia Original'!$K$2:$K$117,"")</f>
        <v/>
      </c>
      <c r="E39" s="2" cm="1">
        <f t="array" ref="E39">_xlfn.XLOOKUP(1,('Arbonia Original'!$A$2:$A$117=E$34)*('Arbonia Original'!$B$2:$B$117=$B39),'Arbonia Original'!$K$2:$K$117,"")</f>
        <v>0.93</v>
      </c>
      <c r="F39" s="2" cm="1">
        <f t="array" ref="F39">_xlfn.XLOOKUP(1,('Arbonia Original'!$A$2:$A$117=F$34)*('Arbonia Original'!$B$2:$B$117=$B39),'Arbonia Original'!$K$2:$K$117,"")</f>
        <v>1.02</v>
      </c>
      <c r="G39" s="2" cm="1">
        <f t="array" ref="G39">_xlfn.XLOOKUP(1,('Arbonia Original'!$A$2:$A$117=G$34)*('Arbonia Original'!$B$2:$B$117=$B39),'Arbonia Original'!$K$2:$K$117,"")</f>
        <v>1.1399999999999999</v>
      </c>
      <c r="H39" s="2" cm="1">
        <f t="array" ref="H39">_xlfn.XLOOKUP(1,('Arbonia Original'!$A$2:$A$117=H$34)*('Arbonia Original'!$B$2:$B$117=$B39),'Arbonia Original'!$K$2:$K$117,"")</f>
        <v>1.26</v>
      </c>
      <c r="I39" s="2" cm="1">
        <f t="array" ref="I39">_xlfn.XLOOKUP(1,('Arbonia Original'!$A$2:$A$117=I$34)*('Arbonia Original'!$B$2:$B$117=$B39),'Arbonia Original'!$K$2:$K$117,"")</f>
        <v>1.38</v>
      </c>
      <c r="J39" s="2" cm="1">
        <f t="array" ref="J39">_xlfn.XLOOKUP(1,('Arbonia Original'!$A$2:$A$117=J$34)*('Arbonia Original'!$B$2:$B$117=$B39),'Arbonia Original'!$K$2:$K$117,"")</f>
        <v>1.5</v>
      </c>
      <c r="K39" s="2" cm="1">
        <f t="array" ref="K39">_xlfn.XLOOKUP(1,('Arbonia Original'!$A$2:$A$117=K$34)*('Arbonia Original'!$B$2:$B$117=$B39),'Arbonia Original'!$K$2:$K$117,"")</f>
        <v>1.62</v>
      </c>
      <c r="L39" s="2" cm="1">
        <f t="array" ref="L39">_xlfn.XLOOKUP(1,('Arbonia Original'!$A$2:$A$117=L$34)*('Arbonia Original'!$B$2:$B$117=$B39),'Arbonia Original'!$K$2:$K$117,"")</f>
        <v>1.74</v>
      </c>
      <c r="M39" s="2" cm="1">
        <f t="array" ref="M39">_xlfn.XLOOKUP(1,('Arbonia Original'!$A$2:$A$117=M$34)*('Arbonia Original'!$B$2:$B$117=$B39),'Arbonia Original'!$K$2:$K$117,"")</f>
        <v>2.1</v>
      </c>
      <c r="N39" s="2" cm="1">
        <f t="array" ref="N39">_xlfn.XLOOKUP(1,('Arbonia Original'!$A$2:$A$117=N$34)*('Arbonia Original'!$B$2:$B$117=$B39),'Arbonia Original'!$K$2:$K$117,"")</f>
        <v>2.4500000000000002</v>
      </c>
      <c r="O39" s="2" cm="1">
        <f t="array" ref="O39">_xlfn.XLOOKUP(1,('Arbonia Original'!$A$2:$A$117=O$34)*('Arbonia Original'!$B$2:$B$117=$B39),'Arbonia Original'!$K$2:$K$117,"")</f>
        <v>2.69</v>
      </c>
      <c r="P39" s="2" cm="1">
        <f t="array" ref="P39">_xlfn.XLOOKUP(1,('Arbonia Original'!$A$2:$A$117=P$34)*('Arbonia Original'!$B$2:$B$117=$B39),'Arbonia Original'!$K$2:$K$117,"")</f>
        <v>2.93</v>
      </c>
      <c r="Q39" s="2" cm="1">
        <f t="array" ref="Q39">_xlfn.XLOOKUP(1,('Arbonia Original'!$A$2:$A$117=Q$34)*('Arbonia Original'!$B$2:$B$117=$B39),'Arbonia Original'!$K$2:$K$117,"")</f>
        <v>3.17</v>
      </c>
      <c r="R39" s="2" cm="1">
        <f t="array" ref="R39">_xlfn.XLOOKUP(1,('Arbonia Original'!$A$2:$A$117=R$34)*('Arbonia Original'!$B$2:$B$117=$B39),'Arbonia Original'!$K$2:$K$117,"")</f>
        <v>3.88</v>
      </c>
      <c r="S39" s="2" cm="1">
        <f t="array" ref="S39">_xlfn.XLOOKUP(1,('Arbonia Original'!$A$2:$A$117=S$34)*('Arbonia Original'!$B$2:$B$117=$B39),'Arbonia Original'!$K$2:$K$117,"")</f>
        <v>4.5999999999999996</v>
      </c>
      <c r="T39" s="2" cm="1">
        <f t="array" ref="T39">_xlfn.XLOOKUP(1,('Arbonia Original'!$A$2:$A$117=T$34)*('Arbonia Original'!$B$2:$B$117=$B39),'Arbonia Original'!$K$2:$K$117,"")</f>
        <v>5.08</v>
      </c>
      <c r="U39" s="2" cm="1">
        <f t="array" ref="U39">_xlfn.XLOOKUP(1,('Arbonia Original'!$A$2:$A$117=U$34)*('Arbonia Original'!$B$2:$B$117=$B39),'Arbonia Original'!$K$2:$K$117,"")</f>
        <v>5.55</v>
      </c>
      <c r="V39" s="2" cm="1">
        <f t="array" ref="V39">_xlfn.XLOOKUP(1,('Arbonia Original'!$A$2:$A$117=V$34)*('Arbonia Original'!$B$2:$B$117=$B39),'Arbonia Original'!$K$2:$K$117,"")</f>
        <v>6.27</v>
      </c>
      <c r="W39" s="2" cm="1">
        <f t="array" ref="W39">_xlfn.XLOOKUP(1,('Arbonia Original'!$A$2:$A$117=W$34)*('Arbonia Original'!$B$2:$B$117=$B39),'Arbonia Original'!$K$2:$K$117,"")</f>
        <v>6.99</v>
      </c>
      <c r="X39" s="2" cm="1">
        <f t="array" ref="X39">_xlfn.XLOOKUP(1,('Arbonia Original'!$A$2:$A$117=X$34)*('Arbonia Original'!$B$2:$B$117=$B39),'Arbonia Original'!$K$2:$K$117,"")</f>
        <v>7.46</v>
      </c>
    </row>
    <row r="40" spans="1:24" x14ac:dyDescent="0.2">
      <c r="P40"/>
      <c r="Q40"/>
      <c r="R40"/>
      <c r="S40"/>
      <c r="T40"/>
      <c r="U40"/>
      <c r="V40"/>
    </row>
    <row r="41" spans="1:24" ht="51.75" x14ac:dyDescent="0.25">
      <c r="A41" s="57" t="s">
        <v>157</v>
      </c>
      <c r="C41" s="4" t="s">
        <v>2</v>
      </c>
      <c r="P41"/>
      <c r="Q41"/>
      <c r="R41"/>
      <c r="S41"/>
      <c r="T41"/>
      <c r="U41"/>
      <c r="V41"/>
    </row>
    <row r="42" spans="1:24" x14ac:dyDescent="0.2">
      <c r="A42" s="57" t="s">
        <v>158</v>
      </c>
      <c r="C42" s="5">
        <f t="shared" ref="C42:X42" si="4">C$2</f>
        <v>180</v>
      </c>
      <c r="D42" s="5">
        <f t="shared" si="4"/>
        <v>190</v>
      </c>
      <c r="E42" s="5">
        <f t="shared" si="4"/>
        <v>260</v>
      </c>
      <c r="F42" s="5">
        <f t="shared" si="4"/>
        <v>300</v>
      </c>
      <c r="G42" s="5">
        <f t="shared" si="4"/>
        <v>350</v>
      </c>
      <c r="H42" s="5">
        <f t="shared" si="4"/>
        <v>400</v>
      </c>
      <c r="I42" s="5">
        <f t="shared" si="4"/>
        <v>450</v>
      </c>
      <c r="J42" s="5">
        <f t="shared" si="4"/>
        <v>500</v>
      </c>
      <c r="K42" s="5">
        <f t="shared" si="4"/>
        <v>550</v>
      </c>
      <c r="L42" s="5">
        <f t="shared" si="4"/>
        <v>600</v>
      </c>
      <c r="M42" s="5">
        <f t="shared" si="4"/>
        <v>750</v>
      </c>
      <c r="N42" s="5">
        <f t="shared" si="4"/>
        <v>900</v>
      </c>
      <c r="O42" s="5">
        <f t="shared" si="4"/>
        <v>1000</v>
      </c>
      <c r="P42" s="5">
        <f t="shared" si="4"/>
        <v>1100</v>
      </c>
      <c r="Q42" s="5">
        <f t="shared" si="4"/>
        <v>1200</v>
      </c>
      <c r="R42" s="5">
        <f t="shared" si="4"/>
        <v>1500</v>
      </c>
      <c r="S42" s="5">
        <f t="shared" si="4"/>
        <v>1800</v>
      </c>
      <c r="T42" s="5">
        <f t="shared" si="4"/>
        <v>2000</v>
      </c>
      <c r="U42" s="5">
        <f t="shared" si="4"/>
        <v>2200</v>
      </c>
      <c r="V42" s="5">
        <f t="shared" si="4"/>
        <v>2500</v>
      </c>
      <c r="W42" s="5">
        <f t="shared" si="4"/>
        <v>2800</v>
      </c>
      <c r="X42" s="5">
        <f t="shared" si="4"/>
        <v>3000</v>
      </c>
    </row>
    <row r="43" spans="1:24" ht="13.5" x14ac:dyDescent="0.25">
      <c r="A43" s="4" t="s">
        <v>3</v>
      </c>
      <c r="B43" s="2">
        <f>B3</f>
        <v>65</v>
      </c>
      <c r="C43" s="2" t="str" cm="1">
        <f t="array" ref="C43">_xlfn.XLOOKUP(1,('Arbonia Original'!$A$2:$A$117=C$42)*('Arbonia Original'!$B$2:$B$117=$B43),'Arbonia Original'!$L$2:$L$117,"")</f>
        <v/>
      </c>
      <c r="D43" s="2" cm="1">
        <f t="array" ref="D43">_xlfn.XLOOKUP(1,('Arbonia Original'!$A$2:$A$117=D$42)*('Arbonia Original'!$B$2:$B$117=$B43),'Arbonia Original'!$L$2:$L$117,"")</f>
        <v>1.2</v>
      </c>
      <c r="E43" s="2" cm="1">
        <f t="array" ref="E43">_xlfn.XLOOKUP(1,('Arbonia Original'!$A$2:$A$117=E$42)*('Arbonia Original'!$B$2:$B$117=$B43),'Arbonia Original'!$L$2:$L$117,"")</f>
        <v>1.6</v>
      </c>
      <c r="F43" s="2" cm="1">
        <f t="array" ref="F43">_xlfn.XLOOKUP(1,('Arbonia Original'!$A$2:$A$117=F$42)*('Arbonia Original'!$B$2:$B$117=$B43),'Arbonia Original'!$L$2:$L$117,"")</f>
        <v>1.9</v>
      </c>
      <c r="G43" s="2" cm="1">
        <f t="array" ref="G43">_xlfn.XLOOKUP(1,('Arbonia Original'!$A$2:$A$117=G$42)*('Arbonia Original'!$B$2:$B$117=$B43),'Arbonia Original'!$L$2:$L$117,"")</f>
        <v>2.2000000000000002</v>
      </c>
      <c r="H43" s="2" cm="1">
        <f t="array" ref="H43">_xlfn.XLOOKUP(1,('Arbonia Original'!$A$2:$A$117=H$42)*('Arbonia Original'!$B$2:$B$117=$B43),'Arbonia Original'!$L$2:$L$117,"")</f>
        <v>2.4</v>
      </c>
      <c r="I43" s="2" cm="1">
        <f t="array" ref="I43">_xlfn.XLOOKUP(1,('Arbonia Original'!$A$2:$A$117=I$42)*('Arbonia Original'!$B$2:$B$117=$B43),'Arbonia Original'!$L$2:$L$117,"")</f>
        <v>2.8</v>
      </c>
      <c r="J43" s="2" cm="1">
        <f t="array" ref="J43">_xlfn.XLOOKUP(1,('Arbonia Original'!$A$2:$A$117=J$42)*('Arbonia Original'!$B$2:$B$117=$B43),'Arbonia Original'!$L$2:$L$117,"")</f>
        <v>3.2</v>
      </c>
      <c r="K43" s="2" cm="1">
        <f t="array" ref="K43">_xlfn.XLOOKUP(1,('Arbonia Original'!$A$2:$A$117=K$42)*('Arbonia Original'!$B$2:$B$117=$B43),'Arbonia Original'!$L$2:$L$117,"")</f>
        <v>3.5</v>
      </c>
      <c r="L43" s="2" cm="1">
        <f t="array" ref="L43">_xlfn.XLOOKUP(1,('Arbonia Original'!$A$2:$A$117=L$42)*('Arbonia Original'!$B$2:$B$117=$B43),'Arbonia Original'!$L$2:$L$117,"")</f>
        <v>3.8</v>
      </c>
      <c r="M43" s="2" cm="1">
        <f t="array" ref="M43">_xlfn.XLOOKUP(1,('Arbonia Original'!$A$2:$A$117=M$42)*('Arbonia Original'!$B$2:$B$117=$B43),'Arbonia Original'!$L$2:$L$117,"")</f>
        <v>4.7</v>
      </c>
      <c r="N43" s="2" cm="1">
        <f t="array" ref="N43">_xlfn.XLOOKUP(1,('Arbonia Original'!$A$2:$A$117=N$42)*('Arbonia Original'!$B$2:$B$117=$B43),'Arbonia Original'!$L$2:$L$117,"")</f>
        <v>5.8</v>
      </c>
      <c r="O43" s="2" cm="1">
        <f t="array" ref="O43">_xlfn.XLOOKUP(1,('Arbonia Original'!$A$2:$A$117=O$42)*('Arbonia Original'!$B$2:$B$117=$B43),'Arbonia Original'!$L$2:$L$117,"")</f>
        <v>6.3</v>
      </c>
      <c r="P43" s="2" cm="1">
        <f t="array" ref="P43">_xlfn.XLOOKUP(1,('Arbonia Original'!$A$2:$A$117=P$42)*('Arbonia Original'!$B$2:$B$117=$B43),'Arbonia Original'!$L$2:$L$117,"")</f>
        <v>6.9</v>
      </c>
      <c r="Q43" s="2" cm="1">
        <f t="array" ref="Q43">_xlfn.XLOOKUP(1,('Arbonia Original'!$A$2:$A$117=Q$42)*('Arbonia Original'!$B$2:$B$117=$B43),'Arbonia Original'!$L$2:$L$117,"")</f>
        <v>7.4</v>
      </c>
      <c r="R43" s="2" cm="1">
        <f t="array" ref="R43">_xlfn.XLOOKUP(1,('Arbonia Original'!$A$2:$A$117=R$42)*('Arbonia Original'!$B$2:$B$117=$B43),'Arbonia Original'!$L$2:$L$117,"")</f>
        <v>9.1</v>
      </c>
      <c r="S43" s="2" cm="1">
        <f t="array" ref="S43">_xlfn.XLOOKUP(1,('Arbonia Original'!$A$2:$A$117=S$42)*('Arbonia Original'!$B$2:$B$117=$B43),'Arbonia Original'!$L$2:$L$117,"")</f>
        <v>10.8</v>
      </c>
      <c r="T43" s="2" cm="1">
        <f t="array" ref="T43">_xlfn.XLOOKUP(1,('Arbonia Original'!$A$2:$A$117=T$42)*('Arbonia Original'!$B$2:$B$117=$B43),'Arbonia Original'!$L$2:$L$117,"")</f>
        <v>12</v>
      </c>
      <c r="U43" s="2" cm="1">
        <f t="array" ref="U43">_xlfn.XLOOKUP(1,('Arbonia Original'!$A$2:$A$117=U$42)*('Arbonia Original'!$B$2:$B$117=$B43),'Arbonia Original'!$L$2:$L$117,"")</f>
        <v>13.2</v>
      </c>
      <c r="V43" s="2" cm="1">
        <f t="array" ref="V43">_xlfn.XLOOKUP(1,('Arbonia Original'!$A$2:$A$117=V$42)*('Arbonia Original'!$B$2:$B$117=$B43),'Arbonia Original'!$L$2:$L$117,"")</f>
        <v>15</v>
      </c>
      <c r="W43" s="2" cm="1">
        <f t="array" ref="W43">_xlfn.XLOOKUP(1,('Arbonia Original'!$A$2:$A$117=W$42)*('Arbonia Original'!$B$2:$B$117=$B43),'Arbonia Original'!$L$2:$L$117,"")</f>
        <v>16.8</v>
      </c>
      <c r="X43" s="2" cm="1">
        <f t="array" ref="X43">_xlfn.XLOOKUP(1,('Arbonia Original'!$A$2:$A$117=X$42)*('Arbonia Original'!$B$2:$B$117=$B43),'Arbonia Original'!$L$2:$L$117,"")</f>
        <v>17.899999999999999</v>
      </c>
    </row>
    <row r="44" spans="1:24" ht="12.75" customHeight="1" x14ac:dyDescent="0.2">
      <c r="B44" s="2">
        <f>B4</f>
        <v>105</v>
      </c>
      <c r="C44" s="2" t="str" cm="1">
        <f t="array" ref="C44">_xlfn.XLOOKUP(1,('Arbonia Original'!$A$2:$A$117=C$42)*('Arbonia Original'!$B$2:$B$117=$B44),'Arbonia Original'!$L$2:$L$117,"")</f>
        <v/>
      </c>
      <c r="D44" s="2" cm="1">
        <f t="array" ref="D44">_xlfn.XLOOKUP(1,('Arbonia Original'!$A$2:$A$117=D$42)*('Arbonia Original'!$B$2:$B$117=$B44),'Arbonia Original'!$L$2:$L$117,"")</f>
        <v>1.7</v>
      </c>
      <c r="E44" s="2" cm="1">
        <f t="array" ref="E44">_xlfn.XLOOKUP(1,('Arbonia Original'!$A$2:$A$117=E$42)*('Arbonia Original'!$B$2:$B$117=$B44),'Arbonia Original'!$L$2:$L$117,"")</f>
        <v>2.2000000000000002</v>
      </c>
      <c r="F44" s="2" cm="1">
        <f t="array" ref="F44">_xlfn.XLOOKUP(1,('Arbonia Original'!$A$2:$A$117=F$42)*('Arbonia Original'!$B$2:$B$117=$B44),'Arbonia Original'!$L$2:$L$117,"")</f>
        <v>2.7</v>
      </c>
      <c r="G44" s="2" cm="1">
        <f t="array" ref="G44">_xlfn.XLOOKUP(1,('Arbonia Original'!$A$2:$A$117=G$42)*('Arbonia Original'!$B$2:$B$117=$B44),'Arbonia Original'!$L$2:$L$117,"")</f>
        <v>3.1</v>
      </c>
      <c r="H44" s="2" cm="1">
        <f t="array" ref="H44">_xlfn.XLOOKUP(1,('Arbonia Original'!$A$2:$A$117=H$42)*('Arbonia Original'!$B$2:$B$117=$B44),'Arbonia Original'!$L$2:$L$117,"")</f>
        <v>3.5</v>
      </c>
      <c r="I44" s="2" cm="1">
        <f t="array" ref="I44">_xlfn.XLOOKUP(1,('Arbonia Original'!$A$2:$A$117=I$42)*('Arbonia Original'!$B$2:$B$117=$B44),'Arbonia Original'!$L$2:$L$117,"")</f>
        <v>4</v>
      </c>
      <c r="J44" s="2" cm="1">
        <f t="array" ref="J44">_xlfn.XLOOKUP(1,('Arbonia Original'!$A$2:$A$117=J$42)*('Arbonia Original'!$B$2:$B$117=$B44),'Arbonia Original'!$L$2:$L$117,"")</f>
        <v>4.4000000000000004</v>
      </c>
      <c r="K44" s="2" cm="1">
        <f t="array" ref="K44">_xlfn.XLOOKUP(1,('Arbonia Original'!$A$2:$A$117=K$42)*('Arbonia Original'!$B$2:$B$117=$B44),'Arbonia Original'!$L$2:$L$117,"")</f>
        <v>4.7</v>
      </c>
      <c r="L44" s="2" cm="1">
        <f t="array" ref="L44">_xlfn.XLOOKUP(1,('Arbonia Original'!$A$2:$A$117=L$42)*('Arbonia Original'!$B$2:$B$117=$B44),'Arbonia Original'!$L$2:$L$117,"")</f>
        <v>5.2</v>
      </c>
      <c r="M44" s="2" cm="1">
        <f t="array" ref="M44">_xlfn.XLOOKUP(1,('Arbonia Original'!$A$2:$A$117=M$42)*('Arbonia Original'!$B$2:$B$117=$B44),'Arbonia Original'!$L$2:$L$117,"")</f>
        <v>6.5</v>
      </c>
      <c r="N44" s="2" cm="1">
        <f t="array" ref="N44">_xlfn.XLOOKUP(1,('Arbonia Original'!$A$2:$A$117=N$42)*('Arbonia Original'!$B$2:$B$117=$B44),'Arbonia Original'!$L$2:$L$117,"")</f>
        <v>7.7</v>
      </c>
      <c r="O44" s="2" cm="1">
        <f t="array" ref="O44">_xlfn.XLOOKUP(1,('Arbonia Original'!$A$2:$A$117=O$42)*('Arbonia Original'!$B$2:$B$117=$B44),'Arbonia Original'!$L$2:$L$117,"")</f>
        <v>8.4</v>
      </c>
      <c r="P44" s="2" cm="1">
        <f t="array" ref="P44">_xlfn.XLOOKUP(1,('Arbonia Original'!$A$2:$A$117=P$42)*('Arbonia Original'!$B$2:$B$117=$B44),'Arbonia Original'!$L$2:$L$117,"")</f>
        <v>9.1999999999999993</v>
      </c>
      <c r="Q44" s="2" cm="1">
        <f t="array" ref="Q44">_xlfn.XLOOKUP(1,('Arbonia Original'!$A$2:$A$117=Q$42)*('Arbonia Original'!$B$2:$B$117=$B44),'Arbonia Original'!$L$2:$L$117,"")</f>
        <v>10</v>
      </c>
      <c r="R44" s="2" cm="1">
        <f t="array" ref="R44">_xlfn.XLOOKUP(1,('Arbonia Original'!$A$2:$A$117=R$42)*('Arbonia Original'!$B$2:$B$117=$B44),'Arbonia Original'!$L$2:$L$117,"")</f>
        <v>12.3</v>
      </c>
      <c r="S44" s="2" cm="1">
        <f t="array" ref="S44">_xlfn.XLOOKUP(1,('Arbonia Original'!$A$2:$A$117=S$42)*('Arbonia Original'!$B$2:$B$117=$B44),'Arbonia Original'!$L$2:$L$117,"")</f>
        <v>14.6</v>
      </c>
      <c r="T44" s="2" cm="1">
        <f t="array" ref="T44">_xlfn.XLOOKUP(1,('Arbonia Original'!$A$2:$A$117=T$42)*('Arbonia Original'!$B$2:$B$117=$B44),'Arbonia Original'!$L$2:$L$117,"")</f>
        <v>16.3</v>
      </c>
      <c r="U44" s="2" cm="1">
        <f t="array" ref="U44">_xlfn.XLOOKUP(1,('Arbonia Original'!$A$2:$A$117=U$42)*('Arbonia Original'!$B$2:$B$117=$B44),'Arbonia Original'!$L$2:$L$117,"")</f>
        <v>17.899999999999999</v>
      </c>
      <c r="V44" s="2" cm="1">
        <f t="array" ref="V44">_xlfn.XLOOKUP(1,('Arbonia Original'!$A$2:$A$117=V$42)*('Arbonia Original'!$B$2:$B$117=$B44),'Arbonia Original'!$L$2:$L$117,"")</f>
        <v>20.3</v>
      </c>
      <c r="W44" s="2" cm="1">
        <f t="array" ref="W44">_xlfn.XLOOKUP(1,('Arbonia Original'!$A$2:$A$117=W$42)*('Arbonia Original'!$B$2:$B$117=$B44),'Arbonia Original'!$L$2:$L$117,"")</f>
        <v>22.5</v>
      </c>
      <c r="X44" s="2" cm="1">
        <f t="array" ref="X44">_xlfn.XLOOKUP(1,('Arbonia Original'!$A$2:$A$117=X$42)*('Arbonia Original'!$B$2:$B$117=$B44),'Arbonia Original'!$L$2:$L$117,"")</f>
        <v>24</v>
      </c>
    </row>
    <row r="45" spans="1:24" ht="12.75" customHeight="1" x14ac:dyDescent="0.2">
      <c r="B45" s="2">
        <f>B5</f>
        <v>145</v>
      </c>
      <c r="C45" s="2" t="str" cm="1">
        <f t="array" ref="C45">_xlfn.XLOOKUP(1,('Arbonia Original'!$A$2:$A$117=C$42)*('Arbonia Original'!$B$2:$B$117=$B45),'Arbonia Original'!$L$2:$L$117,"")</f>
        <v/>
      </c>
      <c r="D45" s="2" cm="1">
        <f t="array" ref="D45">_xlfn.XLOOKUP(1,('Arbonia Original'!$A$2:$A$117=D$42)*('Arbonia Original'!$B$2:$B$117=$B45),'Arbonia Original'!$L$2:$L$117,"")</f>
        <v>2.2000000000000002</v>
      </c>
      <c r="E45" s="2" cm="1">
        <f t="array" ref="E45">_xlfn.XLOOKUP(1,('Arbonia Original'!$A$2:$A$117=E$42)*('Arbonia Original'!$B$2:$B$117=$B45),'Arbonia Original'!$L$2:$L$117,"")</f>
        <v>2.8</v>
      </c>
      <c r="F45" s="2" cm="1">
        <f t="array" ref="F45">_xlfn.XLOOKUP(1,('Arbonia Original'!$A$2:$A$117=F$42)*('Arbonia Original'!$B$2:$B$117=$B45),'Arbonia Original'!$L$2:$L$117,"")</f>
        <v>3.4</v>
      </c>
      <c r="G45" s="2" cm="1">
        <f t="array" ref="G45">_xlfn.XLOOKUP(1,('Arbonia Original'!$A$2:$A$117=G$42)*('Arbonia Original'!$B$2:$B$117=$B45),'Arbonia Original'!$L$2:$L$117,"")</f>
        <v>4</v>
      </c>
      <c r="H45" s="2" cm="1">
        <f t="array" ref="H45">_xlfn.XLOOKUP(1,('Arbonia Original'!$A$2:$A$117=H$42)*('Arbonia Original'!$B$2:$B$117=$B45),'Arbonia Original'!$L$2:$L$117,"")</f>
        <v>4.5</v>
      </c>
      <c r="I45" s="2" cm="1">
        <f t="array" ref="I45">_xlfn.XLOOKUP(1,('Arbonia Original'!$A$2:$A$117=I$42)*('Arbonia Original'!$B$2:$B$117=$B45),'Arbonia Original'!$L$2:$L$117,"")</f>
        <v>5</v>
      </c>
      <c r="J45" s="2" cm="1">
        <f t="array" ref="J45">_xlfn.XLOOKUP(1,('Arbonia Original'!$A$2:$A$117=J$42)*('Arbonia Original'!$B$2:$B$117=$B45),'Arbonia Original'!$L$2:$L$117,"")</f>
        <v>5.6</v>
      </c>
      <c r="K45" s="2" cm="1">
        <f t="array" ref="K45">_xlfn.XLOOKUP(1,('Arbonia Original'!$A$2:$A$117=K$42)*('Arbonia Original'!$B$2:$B$117=$B45),'Arbonia Original'!$L$2:$L$117,"")</f>
        <v>6.1</v>
      </c>
      <c r="L45" s="2" cm="1">
        <f t="array" ref="L45">_xlfn.XLOOKUP(1,('Arbonia Original'!$A$2:$A$117=L$42)*('Arbonia Original'!$B$2:$B$117=$B45),'Arbonia Original'!$L$2:$L$117,"")</f>
        <v>6.6</v>
      </c>
      <c r="M45" s="2" cm="1">
        <f t="array" ref="M45">_xlfn.XLOOKUP(1,('Arbonia Original'!$A$2:$A$117=M$42)*('Arbonia Original'!$B$2:$B$117=$B45),'Arbonia Original'!$L$2:$L$117,"")</f>
        <v>8.1999999999999993</v>
      </c>
      <c r="N45" s="2" cm="1">
        <f t="array" ref="N45">_xlfn.XLOOKUP(1,('Arbonia Original'!$A$2:$A$117=N$42)*('Arbonia Original'!$B$2:$B$117=$B45),'Arbonia Original'!$L$2:$L$117,"")</f>
        <v>9.6</v>
      </c>
      <c r="O45" s="2" cm="1">
        <f t="array" ref="O45">_xlfn.XLOOKUP(1,('Arbonia Original'!$A$2:$A$117=O$42)*('Arbonia Original'!$B$2:$B$117=$B45),'Arbonia Original'!$L$2:$L$117,"")</f>
        <v>10.7</v>
      </c>
      <c r="P45" s="2" cm="1">
        <f t="array" ref="P45">_xlfn.XLOOKUP(1,('Arbonia Original'!$A$2:$A$117=P$42)*('Arbonia Original'!$B$2:$B$117=$B45),'Arbonia Original'!$L$2:$L$117,"")</f>
        <v>11.6</v>
      </c>
      <c r="Q45" s="2" cm="1">
        <f t="array" ref="Q45">_xlfn.XLOOKUP(1,('Arbonia Original'!$A$2:$A$117=Q$42)*('Arbonia Original'!$B$2:$B$117=$B45),'Arbonia Original'!$L$2:$L$117,"")</f>
        <v>12.6</v>
      </c>
      <c r="R45" s="2" cm="1">
        <f t="array" ref="R45">_xlfn.XLOOKUP(1,('Arbonia Original'!$A$2:$A$117=R$42)*('Arbonia Original'!$B$2:$B$117=$B45),'Arbonia Original'!$L$2:$L$117,"")</f>
        <v>15.5</v>
      </c>
      <c r="S45" s="2" cm="1">
        <f t="array" ref="S45">_xlfn.XLOOKUP(1,('Arbonia Original'!$A$2:$A$117=S$42)*('Arbonia Original'!$B$2:$B$117=$B45),'Arbonia Original'!$L$2:$L$117,"")</f>
        <v>18.399999999999999</v>
      </c>
      <c r="T45" s="2" cm="1">
        <f t="array" ref="T45">_xlfn.XLOOKUP(1,('Arbonia Original'!$A$2:$A$117=T$42)*('Arbonia Original'!$B$2:$B$117=$B45),'Arbonia Original'!$L$2:$L$117,"")</f>
        <v>20.399999999999999</v>
      </c>
      <c r="U45" s="2" cm="1">
        <f t="array" ref="U45">_xlfn.XLOOKUP(1,('Arbonia Original'!$A$2:$A$117=U$42)*('Arbonia Original'!$B$2:$B$117=$B45),'Arbonia Original'!$L$2:$L$117,"")</f>
        <v>22.4</v>
      </c>
      <c r="V45" s="2" cm="1">
        <f t="array" ref="V45">_xlfn.XLOOKUP(1,('Arbonia Original'!$A$2:$A$117=V$42)*('Arbonia Original'!$B$2:$B$117=$B45),'Arbonia Original'!$L$2:$L$117,"")</f>
        <v>25.4</v>
      </c>
      <c r="W45" s="2" cm="1">
        <f t="array" ref="W45">_xlfn.XLOOKUP(1,('Arbonia Original'!$A$2:$A$117=W$42)*('Arbonia Original'!$B$2:$B$117=$B45),'Arbonia Original'!$L$2:$L$117,"")</f>
        <v>28.2</v>
      </c>
      <c r="X45" s="2" cm="1">
        <f t="array" ref="X45">_xlfn.XLOOKUP(1,('Arbonia Original'!$A$2:$A$117=X$42)*('Arbonia Original'!$B$2:$B$117=$B45),'Arbonia Original'!$L$2:$L$117,"")</f>
        <v>30.1</v>
      </c>
    </row>
    <row r="46" spans="1:24" x14ac:dyDescent="0.2">
      <c r="B46" s="2">
        <f>B6</f>
        <v>185</v>
      </c>
      <c r="C46" s="2" cm="1">
        <f t="array" ref="C46">_xlfn.XLOOKUP(1,('Arbonia Original'!$A$2:$A$117=C$42)*('Arbonia Original'!$B$2:$B$117=$B46),'Arbonia Original'!$L$2:$L$117,"")</f>
        <v>2.5</v>
      </c>
      <c r="D46" s="2" t="str" cm="1">
        <f t="array" ref="D46">_xlfn.XLOOKUP(1,('Arbonia Original'!$A$2:$A$117=D$42)*('Arbonia Original'!$B$2:$B$117=$B46),'Arbonia Original'!$L$2:$L$117,"")</f>
        <v/>
      </c>
      <c r="E46" s="2" cm="1">
        <f t="array" ref="E46">_xlfn.XLOOKUP(1,('Arbonia Original'!$A$2:$A$117=E$42)*('Arbonia Original'!$B$2:$B$117=$B46),'Arbonia Original'!$L$2:$L$117,"")</f>
        <v>3.6</v>
      </c>
      <c r="F46" s="2" cm="1">
        <f t="array" ref="F46">_xlfn.XLOOKUP(1,('Arbonia Original'!$A$2:$A$117=F$42)*('Arbonia Original'!$B$2:$B$117=$B46),'Arbonia Original'!$L$2:$L$117,"")</f>
        <v>4.0999999999999996</v>
      </c>
      <c r="G46" s="2" cm="1">
        <f t="array" ref="G46">_xlfn.XLOOKUP(1,('Arbonia Original'!$A$2:$A$117=G$42)*('Arbonia Original'!$B$2:$B$117=$B46),'Arbonia Original'!$L$2:$L$117,"")</f>
        <v>4.8</v>
      </c>
      <c r="H46" s="2" cm="1">
        <f t="array" ref="H46">_xlfn.XLOOKUP(1,('Arbonia Original'!$A$2:$A$117=H$42)*('Arbonia Original'!$B$2:$B$117=$B46),'Arbonia Original'!$L$2:$L$117,"")</f>
        <v>5.5</v>
      </c>
      <c r="I46" s="2" cm="1">
        <f t="array" ref="I46">_xlfn.XLOOKUP(1,('Arbonia Original'!$A$2:$A$117=I$42)*('Arbonia Original'!$B$2:$B$117=$B46),'Arbonia Original'!$L$2:$L$117,"")</f>
        <v>6.2</v>
      </c>
      <c r="J46" s="2" cm="1">
        <f t="array" ref="J46">_xlfn.XLOOKUP(1,('Arbonia Original'!$A$2:$A$117=J$42)*('Arbonia Original'!$B$2:$B$117=$B46),'Arbonia Original'!$L$2:$L$117,"")</f>
        <v>6.9</v>
      </c>
      <c r="K46" s="2" cm="1">
        <f t="array" ref="K46">_xlfn.XLOOKUP(1,('Arbonia Original'!$A$2:$A$117=K$42)*('Arbonia Original'!$B$2:$B$117=$B46),'Arbonia Original'!$L$2:$L$117,"")</f>
        <v>7.5</v>
      </c>
      <c r="L46" s="2" cm="1">
        <f t="array" ref="L46">_xlfn.XLOOKUP(1,('Arbonia Original'!$A$2:$A$117=L$42)*('Arbonia Original'!$B$2:$B$117=$B46),'Arbonia Original'!$L$2:$L$117,"")</f>
        <v>8.1999999999999993</v>
      </c>
      <c r="M46" s="2" cm="1">
        <f t="array" ref="M46">_xlfn.XLOOKUP(1,('Arbonia Original'!$A$2:$A$117=M$42)*('Arbonia Original'!$B$2:$B$117=$B46),'Arbonia Original'!$L$2:$L$117,"")</f>
        <v>10.1</v>
      </c>
      <c r="N46" s="2" cm="1">
        <f t="array" ref="N46">_xlfn.XLOOKUP(1,('Arbonia Original'!$A$2:$A$117=N$42)*('Arbonia Original'!$B$2:$B$117=$B46),'Arbonia Original'!$L$2:$L$117,"")</f>
        <v>11.9</v>
      </c>
      <c r="O46" s="2" cm="1">
        <f t="array" ref="O46">_xlfn.XLOOKUP(1,('Arbonia Original'!$A$2:$A$117=O$42)*('Arbonia Original'!$B$2:$B$117=$B46),'Arbonia Original'!$L$2:$L$117,"")</f>
        <v>13</v>
      </c>
      <c r="P46" s="2" cm="1">
        <f t="array" ref="P46">_xlfn.XLOOKUP(1,('Arbonia Original'!$A$2:$A$117=P$42)*('Arbonia Original'!$B$2:$B$117=$B46),'Arbonia Original'!$L$2:$L$117,"")</f>
        <v>14.2</v>
      </c>
      <c r="Q46" s="2" cm="1">
        <f t="array" ref="Q46">_xlfn.XLOOKUP(1,('Arbonia Original'!$A$2:$A$117=Q$42)*('Arbonia Original'!$B$2:$B$117=$B46),'Arbonia Original'!$L$2:$L$117,"")</f>
        <v>15.4</v>
      </c>
      <c r="R46" s="2" cm="1">
        <f t="array" ref="R46">_xlfn.XLOOKUP(1,('Arbonia Original'!$A$2:$A$117=R$42)*('Arbonia Original'!$B$2:$B$117=$B46),'Arbonia Original'!$L$2:$L$117,"")</f>
        <v>18.5</v>
      </c>
      <c r="S46" s="2" cm="1">
        <f t="array" ref="S46">_xlfn.XLOOKUP(1,('Arbonia Original'!$A$2:$A$117=S$42)*('Arbonia Original'!$B$2:$B$117=$B46),'Arbonia Original'!$L$2:$L$117,"")</f>
        <v>22</v>
      </c>
      <c r="T46" s="2" cm="1">
        <f t="array" ref="T46">_xlfn.XLOOKUP(1,('Arbonia Original'!$A$2:$A$117=T$42)*('Arbonia Original'!$B$2:$B$117=$B46),'Arbonia Original'!$L$2:$L$117,"")</f>
        <v>24.3</v>
      </c>
      <c r="U46" s="2" cm="1">
        <f t="array" ref="U46">_xlfn.XLOOKUP(1,('Arbonia Original'!$A$2:$A$117=U$42)*('Arbonia Original'!$B$2:$B$117=$B46),'Arbonia Original'!$L$2:$L$117,"")</f>
        <v>26.5</v>
      </c>
      <c r="V46" s="2" cm="1">
        <f t="array" ref="V46">_xlfn.XLOOKUP(1,('Arbonia Original'!$A$2:$A$117=V$42)*('Arbonia Original'!$B$2:$B$117=$B46),'Arbonia Original'!$L$2:$L$117,"")</f>
        <v>29.8</v>
      </c>
      <c r="W46" s="2" cm="1">
        <f t="array" ref="W46">_xlfn.XLOOKUP(1,('Arbonia Original'!$A$2:$A$117=W$42)*('Arbonia Original'!$B$2:$B$117=$B46),'Arbonia Original'!$L$2:$L$117,"")</f>
        <v>33.1</v>
      </c>
      <c r="X46" s="2" cm="1">
        <f t="array" ref="X46">_xlfn.XLOOKUP(1,('Arbonia Original'!$A$2:$A$117=X$42)*('Arbonia Original'!$B$2:$B$117=$B46),'Arbonia Original'!$L$2:$L$117,"")</f>
        <v>35.299999999999997</v>
      </c>
    </row>
    <row r="47" spans="1:24" x14ac:dyDescent="0.2">
      <c r="B47" s="2">
        <f>B7</f>
        <v>225</v>
      </c>
      <c r="C47" s="2" cm="1">
        <f t="array" ref="C47">_xlfn.XLOOKUP(1,('Arbonia Original'!$A$2:$A$117=C$42)*('Arbonia Original'!$B$2:$B$117=$B47),'Arbonia Original'!$L$2:$L$117,"")</f>
        <v>2.8</v>
      </c>
      <c r="D47" s="2" t="str" cm="1">
        <f t="array" ref="D47">_xlfn.XLOOKUP(1,('Arbonia Original'!$A$2:$A$117=D$42)*('Arbonia Original'!$B$2:$B$117=$B47),'Arbonia Original'!$L$2:$L$117,"")</f>
        <v/>
      </c>
      <c r="E47" s="2" cm="1">
        <f t="array" ref="E47">_xlfn.XLOOKUP(1,('Arbonia Original'!$A$2:$A$117=E$42)*('Arbonia Original'!$B$2:$B$117=$B47),'Arbonia Original'!$L$2:$L$117,"")</f>
        <v>4</v>
      </c>
      <c r="F47" s="2" cm="1">
        <f t="array" ref="F47">_xlfn.XLOOKUP(1,('Arbonia Original'!$A$2:$A$117=F$42)*('Arbonia Original'!$B$2:$B$117=$B47),'Arbonia Original'!$L$2:$L$117,"")</f>
        <v>4.9000000000000004</v>
      </c>
      <c r="G47" s="2" cm="1">
        <f t="array" ref="G47">_xlfn.XLOOKUP(1,('Arbonia Original'!$A$2:$A$117=G$42)*('Arbonia Original'!$B$2:$B$117=$B47),'Arbonia Original'!$L$2:$L$117,"")</f>
        <v>5.7</v>
      </c>
      <c r="H47" s="2" cm="1">
        <f t="array" ref="H47">_xlfn.XLOOKUP(1,('Arbonia Original'!$A$2:$A$117=H$42)*('Arbonia Original'!$B$2:$B$117=$B47),'Arbonia Original'!$L$2:$L$117,"")</f>
        <v>6.5</v>
      </c>
      <c r="I47" s="2" cm="1">
        <f t="array" ref="I47">_xlfn.XLOOKUP(1,('Arbonia Original'!$A$2:$A$117=I$42)*('Arbonia Original'!$B$2:$B$117=$B47),'Arbonia Original'!$L$2:$L$117,"")</f>
        <v>7.2</v>
      </c>
      <c r="J47" s="2" cm="1">
        <f t="array" ref="J47">_xlfn.XLOOKUP(1,('Arbonia Original'!$A$2:$A$117=J$42)*('Arbonia Original'!$B$2:$B$117=$B47),'Arbonia Original'!$L$2:$L$117,"")</f>
        <v>8.1</v>
      </c>
      <c r="K47" s="2" cm="1">
        <f t="array" ref="K47">_xlfn.XLOOKUP(1,('Arbonia Original'!$A$2:$A$117=K$42)*('Arbonia Original'!$B$2:$B$117=$B47),'Arbonia Original'!$L$2:$L$117,"")</f>
        <v>8.9</v>
      </c>
      <c r="L47" s="2" cm="1">
        <f t="array" ref="L47">_xlfn.XLOOKUP(1,('Arbonia Original'!$A$2:$A$117=L$42)*('Arbonia Original'!$B$2:$B$117=$B47),'Arbonia Original'!$L$2:$L$117,"")</f>
        <v>9.6999999999999993</v>
      </c>
      <c r="M47" s="2" cm="1">
        <f t="array" ref="M47">_xlfn.XLOOKUP(1,('Arbonia Original'!$A$2:$A$117=M$42)*('Arbonia Original'!$B$2:$B$117=$B47),'Arbonia Original'!$L$2:$L$117,"")</f>
        <v>11.8</v>
      </c>
      <c r="N47" s="2" cm="1">
        <f t="array" ref="N47">_xlfn.XLOOKUP(1,('Arbonia Original'!$A$2:$A$117=N$42)*('Arbonia Original'!$B$2:$B$117=$B47),'Arbonia Original'!$L$2:$L$117,"")</f>
        <v>14</v>
      </c>
      <c r="O47" s="2" cm="1">
        <f t="array" ref="O47">_xlfn.XLOOKUP(1,('Arbonia Original'!$A$2:$A$117=O$42)*('Arbonia Original'!$B$2:$B$117=$B47),'Arbonia Original'!$L$2:$L$117,"")</f>
        <v>15.5</v>
      </c>
      <c r="P47" s="2" cm="1">
        <f t="array" ref="P47">_xlfn.XLOOKUP(1,('Arbonia Original'!$A$2:$A$117=P$42)*('Arbonia Original'!$B$2:$B$117=$B47),'Arbonia Original'!$L$2:$L$117,"")</f>
        <v>16.899999999999999</v>
      </c>
      <c r="Q47" s="2" cm="1">
        <f t="array" ref="Q47">_xlfn.XLOOKUP(1,('Arbonia Original'!$A$2:$A$117=Q$42)*('Arbonia Original'!$B$2:$B$117=$B47),'Arbonia Original'!$L$2:$L$117,"")</f>
        <v>18</v>
      </c>
      <c r="R47" s="2" cm="1">
        <f t="array" ref="R47">_xlfn.XLOOKUP(1,('Arbonia Original'!$A$2:$A$117=R$42)*('Arbonia Original'!$B$2:$B$117=$B47),'Arbonia Original'!$L$2:$L$117,"")</f>
        <v>21.5</v>
      </c>
      <c r="S47" s="2" cm="1">
        <f t="array" ref="S47">_xlfn.XLOOKUP(1,('Arbonia Original'!$A$2:$A$117=S$42)*('Arbonia Original'!$B$2:$B$117=$B47),'Arbonia Original'!$L$2:$L$117,"")</f>
        <v>25.5</v>
      </c>
      <c r="T47" s="2" cm="1">
        <f t="array" ref="T47">_xlfn.XLOOKUP(1,('Arbonia Original'!$A$2:$A$117=T$42)*('Arbonia Original'!$B$2:$B$117=$B47),'Arbonia Original'!$L$2:$L$117,"")</f>
        <v>28.4</v>
      </c>
      <c r="U47" s="2" cm="1">
        <f t="array" ref="U47">_xlfn.XLOOKUP(1,('Arbonia Original'!$A$2:$A$117=U$42)*('Arbonia Original'!$B$2:$B$117=$B47),'Arbonia Original'!$L$2:$L$117,"")</f>
        <v>31</v>
      </c>
      <c r="V47" s="2" cm="1">
        <f t="array" ref="V47">_xlfn.XLOOKUP(1,('Arbonia Original'!$A$2:$A$117=V$42)*('Arbonia Original'!$B$2:$B$117=$B47),'Arbonia Original'!$L$2:$L$117,"")</f>
        <v>34.700000000000003</v>
      </c>
      <c r="W47" s="2" cm="1">
        <f t="array" ref="W47">_xlfn.XLOOKUP(1,('Arbonia Original'!$A$2:$A$117=W$42)*('Arbonia Original'!$B$2:$B$117=$B47),'Arbonia Original'!$L$2:$L$117,"")</f>
        <v>38.6</v>
      </c>
      <c r="X47" s="2" cm="1">
        <f t="array" ref="X47">_xlfn.XLOOKUP(1,('Arbonia Original'!$A$2:$A$117=X$42)*('Arbonia Original'!$B$2:$B$117=$B47),'Arbonia Original'!$L$2:$L$117,"")</f>
        <v>41.3</v>
      </c>
    </row>
    <row r="48" spans="1:24" x14ac:dyDescent="0.2">
      <c r="C48" s="8"/>
      <c r="D48" s="8"/>
      <c r="E48" s="8"/>
      <c r="F48" s="8"/>
      <c r="G48" s="8"/>
      <c r="H48" s="8"/>
      <c r="I48" s="8"/>
      <c r="J48" s="8"/>
      <c r="K48" s="8"/>
      <c r="L48" s="8"/>
      <c r="M48" s="8"/>
      <c r="N48" s="8"/>
      <c r="O48" s="8"/>
      <c r="P48"/>
      <c r="Q48"/>
      <c r="R48"/>
      <c r="S48"/>
      <c r="T48"/>
      <c r="U48"/>
      <c r="V48"/>
    </row>
    <row r="49" spans="1:24" ht="26.25" x14ac:dyDescent="0.25">
      <c r="A49" s="57" t="s">
        <v>159</v>
      </c>
      <c r="C49" s="4" t="s">
        <v>2</v>
      </c>
      <c r="P49"/>
      <c r="Q49"/>
      <c r="R49"/>
      <c r="S49"/>
      <c r="T49"/>
      <c r="U49"/>
      <c r="V49"/>
    </row>
    <row r="50" spans="1:24" x14ac:dyDescent="0.2">
      <c r="A50" s="57" t="s">
        <v>160</v>
      </c>
      <c r="C50" s="5">
        <f t="shared" ref="C50:X50" si="5">C$2</f>
        <v>180</v>
      </c>
      <c r="D50" s="5">
        <f t="shared" si="5"/>
        <v>190</v>
      </c>
      <c r="E50" s="5">
        <f t="shared" si="5"/>
        <v>260</v>
      </c>
      <c r="F50" s="5">
        <f t="shared" si="5"/>
        <v>300</v>
      </c>
      <c r="G50" s="5">
        <f t="shared" si="5"/>
        <v>350</v>
      </c>
      <c r="H50" s="5">
        <f t="shared" si="5"/>
        <v>400</v>
      </c>
      <c r="I50" s="5">
        <f t="shared" si="5"/>
        <v>450</v>
      </c>
      <c r="J50" s="5">
        <f t="shared" si="5"/>
        <v>500</v>
      </c>
      <c r="K50" s="5">
        <f t="shared" si="5"/>
        <v>550</v>
      </c>
      <c r="L50" s="5">
        <f t="shared" si="5"/>
        <v>600</v>
      </c>
      <c r="M50" s="5">
        <f t="shared" si="5"/>
        <v>750</v>
      </c>
      <c r="N50" s="5">
        <f t="shared" si="5"/>
        <v>900</v>
      </c>
      <c r="O50" s="5">
        <f t="shared" si="5"/>
        <v>1000</v>
      </c>
      <c r="P50" s="5">
        <f t="shared" si="5"/>
        <v>1100</v>
      </c>
      <c r="Q50" s="5">
        <f t="shared" si="5"/>
        <v>1200</v>
      </c>
      <c r="R50" s="5">
        <f t="shared" si="5"/>
        <v>1500</v>
      </c>
      <c r="S50" s="5">
        <f t="shared" si="5"/>
        <v>1800</v>
      </c>
      <c r="T50" s="5">
        <f t="shared" si="5"/>
        <v>2000</v>
      </c>
      <c r="U50" s="5">
        <f t="shared" si="5"/>
        <v>2200</v>
      </c>
      <c r="V50" s="5">
        <f t="shared" si="5"/>
        <v>2500</v>
      </c>
      <c r="W50" s="5">
        <f t="shared" si="5"/>
        <v>2800</v>
      </c>
      <c r="X50" s="5">
        <f t="shared" si="5"/>
        <v>3000</v>
      </c>
    </row>
    <row r="51" spans="1:24" ht="13.5" x14ac:dyDescent="0.25">
      <c r="A51" s="4" t="s">
        <v>3</v>
      </c>
      <c r="B51" s="2">
        <f>B3</f>
        <v>65</v>
      </c>
      <c r="C51" s="2" t="str" cm="1">
        <f t="array" ref="C51">_xlfn.XLOOKUP(1,('Arbonia Original'!$A$2:$A$117=C$50)*('Arbonia Original'!$B$2:$B$117=$B51),'Arbonia Original'!$M$2:$M$117,"")</f>
        <v/>
      </c>
      <c r="D51" s="2" cm="1">
        <f t="array" ref="D51">_xlfn.XLOOKUP(1,('Arbonia Original'!$A$2:$A$117=D$50)*('Arbonia Original'!$B$2:$B$117=$B51),'Arbonia Original'!$M$2:$M$117,"")</f>
        <v>49</v>
      </c>
      <c r="E51" s="2" cm="1">
        <f t="array" ref="E51">_xlfn.XLOOKUP(1,('Arbonia Original'!$A$2:$A$117=E$50)*('Arbonia Original'!$B$2:$B$117=$B51),'Arbonia Original'!$M$2:$M$117,"")</f>
        <v>49</v>
      </c>
      <c r="F51" s="2" cm="1">
        <f t="array" ref="F51">_xlfn.XLOOKUP(1,('Arbonia Original'!$A$2:$A$117=F$50)*('Arbonia Original'!$B$2:$B$117=$B51),'Arbonia Original'!$M$2:$M$117,"")</f>
        <v>49</v>
      </c>
      <c r="G51" s="2" cm="1">
        <f t="array" ref="G51">_xlfn.XLOOKUP(1,('Arbonia Original'!$A$2:$A$117=G$50)*('Arbonia Original'!$B$2:$B$117=$B51),'Arbonia Original'!$M$2:$M$117,"")</f>
        <v>49</v>
      </c>
      <c r="H51" s="2" cm="1">
        <f t="array" ref="H51">_xlfn.XLOOKUP(1,('Arbonia Original'!$A$2:$A$117=H$50)*('Arbonia Original'!$B$2:$B$117=$B51),'Arbonia Original'!$M$2:$M$117,"")</f>
        <v>49</v>
      </c>
      <c r="I51" s="2" cm="1">
        <f t="array" ref="I51">_xlfn.XLOOKUP(1,('Arbonia Original'!$A$2:$A$117=I$50)*('Arbonia Original'!$B$2:$B$117=$B51),'Arbonia Original'!$M$2:$M$117,"")</f>
        <v>49</v>
      </c>
      <c r="J51" s="2" cm="1">
        <f t="array" ref="J51">_xlfn.XLOOKUP(1,('Arbonia Original'!$A$2:$A$117=J$50)*('Arbonia Original'!$B$2:$B$117=$B51),'Arbonia Original'!$M$2:$M$117,"")</f>
        <v>49</v>
      </c>
      <c r="K51" s="2" cm="1">
        <f t="array" ref="K51">_xlfn.XLOOKUP(1,('Arbonia Original'!$A$2:$A$117=K$50)*('Arbonia Original'!$B$2:$B$117=$B51),'Arbonia Original'!$M$2:$M$117,"")</f>
        <v>49</v>
      </c>
      <c r="L51" s="2" cm="1">
        <f t="array" ref="L51">_xlfn.XLOOKUP(1,('Arbonia Original'!$A$2:$A$117=L$50)*('Arbonia Original'!$B$2:$B$117=$B51),'Arbonia Original'!$M$2:$M$117,"")</f>
        <v>49</v>
      </c>
      <c r="M51" s="2" cm="1">
        <f t="array" ref="M51">_xlfn.XLOOKUP(1,('Arbonia Original'!$A$2:$A$117=M$50)*('Arbonia Original'!$B$2:$B$117=$B51),'Arbonia Original'!$M$2:$M$117,"")</f>
        <v>49</v>
      </c>
      <c r="N51" s="2" cm="1">
        <f t="array" ref="N51">_xlfn.XLOOKUP(1,('Arbonia Original'!$A$2:$A$117=N$50)*('Arbonia Original'!$B$2:$B$117=$B51),'Arbonia Original'!$M$2:$M$117,"")</f>
        <v>49</v>
      </c>
      <c r="O51" s="2" cm="1">
        <f t="array" ref="O51">_xlfn.XLOOKUP(1,('Arbonia Original'!$A$2:$A$117=O$50)*('Arbonia Original'!$B$2:$B$117=$B51),'Arbonia Original'!$M$2:$M$117,"")</f>
        <v>49</v>
      </c>
      <c r="P51" s="2" cm="1">
        <f t="array" ref="P51">_xlfn.XLOOKUP(1,('Arbonia Original'!$A$2:$A$117=P$50)*('Arbonia Original'!$B$2:$B$117=$B51),'Arbonia Original'!$M$2:$M$117,"")</f>
        <v>49</v>
      </c>
      <c r="Q51" s="2" cm="1">
        <f t="array" ref="Q51">_xlfn.XLOOKUP(1,('Arbonia Original'!$A$2:$A$117=Q$50)*('Arbonia Original'!$B$2:$B$117=$B51),'Arbonia Original'!$M$2:$M$117,"")</f>
        <v>49</v>
      </c>
      <c r="R51" s="2" cm="1">
        <f t="array" ref="R51">_xlfn.XLOOKUP(1,('Arbonia Original'!$A$2:$A$117=R$50)*('Arbonia Original'!$B$2:$B$117=$B51),'Arbonia Original'!$M$2:$M$117,"")</f>
        <v>49</v>
      </c>
      <c r="S51" s="2" cm="1">
        <f t="array" ref="S51">_xlfn.XLOOKUP(1,('Arbonia Original'!$A$2:$A$117=S$50)*('Arbonia Original'!$B$2:$B$117=$B51),'Arbonia Original'!$M$2:$M$117,"")</f>
        <v>49</v>
      </c>
      <c r="T51" s="2" cm="1">
        <f t="array" ref="T51">_xlfn.XLOOKUP(1,('Arbonia Original'!$A$2:$A$117=T$50)*('Arbonia Original'!$B$2:$B$117=$B51),'Arbonia Original'!$M$2:$M$117,"")</f>
        <v>49</v>
      </c>
      <c r="U51" s="2" cm="1">
        <f t="array" ref="U51">_xlfn.XLOOKUP(1,('Arbonia Original'!$A$2:$A$117=U$50)*('Arbonia Original'!$B$2:$B$117=$B51),'Arbonia Original'!$M$2:$M$117,"")</f>
        <v>49</v>
      </c>
      <c r="V51" s="2" cm="1">
        <f t="array" ref="V51">_xlfn.XLOOKUP(1,('Arbonia Original'!$A$2:$A$117=V$50)*('Arbonia Original'!$B$2:$B$117=$B51),'Arbonia Original'!$M$2:$M$117,"")</f>
        <v>49</v>
      </c>
      <c r="W51" s="2" cm="1">
        <f t="array" ref="W51">_xlfn.XLOOKUP(1,('Arbonia Original'!$A$2:$A$117=W$50)*('Arbonia Original'!$B$2:$B$117=$B51),'Arbonia Original'!$M$2:$M$117,"")</f>
        <v>49</v>
      </c>
      <c r="X51" s="2" cm="1">
        <f t="array" ref="X51">_xlfn.XLOOKUP(1,('Arbonia Original'!$A$2:$A$117=X$50)*('Arbonia Original'!$B$2:$B$117=$B51),'Arbonia Original'!$M$2:$M$117,"")</f>
        <v>49</v>
      </c>
    </row>
    <row r="52" spans="1:24" x14ac:dyDescent="0.2">
      <c r="B52" s="2">
        <f>B4</f>
        <v>105</v>
      </c>
      <c r="C52" s="2" t="str" cm="1">
        <f t="array" ref="C52">_xlfn.XLOOKUP(1,('Arbonia Original'!$A$2:$A$117=C$50)*('Arbonia Original'!$B$2:$B$117=$B52),'Arbonia Original'!$M$2:$M$117,"")</f>
        <v/>
      </c>
      <c r="D52" s="2" cm="1">
        <f t="array" ref="D52">_xlfn.XLOOKUP(1,('Arbonia Original'!$A$2:$A$117=D$50)*('Arbonia Original'!$B$2:$B$117=$B52),'Arbonia Original'!$M$2:$M$117,"")</f>
        <v>38</v>
      </c>
      <c r="E52" s="2" cm="1">
        <f t="array" ref="E52">_xlfn.XLOOKUP(1,('Arbonia Original'!$A$2:$A$117=E$50)*('Arbonia Original'!$B$2:$B$117=$B52),'Arbonia Original'!$M$2:$M$117,"")</f>
        <v>38</v>
      </c>
      <c r="F52" s="2" cm="1">
        <f t="array" ref="F52">_xlfn.XLOOKUP(1,('Arbonia Original'!$A$2:$A$117=F$50)*('Arbonia Original'!$B$2:$B$117=$B52),'Arbonia Original'!$M$2:$M$117,"")</f>
        <v>38</v>
      </c>
      <c r="G52" s="2" cm="1">
        <f t="array" ref="G52">_xlfn.XLOOKUP(1,('Arbonia Original'!$A$2:$A$117=G$50)*('Arbonia Original'!$B$2:$B$117=$B52),'Arbonia Original'!$M$2:$M$117,"")</f>
        <v>38</v>
      </c>
      <c r="H52" s="2" cm="1">
        <f t="array" ref="H52">_xlfn.XLOOKUP(1,('Arbonia Original'!$A$2:$A$117=H$50)*('Arbonia Original'!$B$2:$B$117=$B52),'Arbonia Original'!$M$2:$M$117,"")</f>
        <v>38</v>
      </c>
      <c r="I52" s="2" cm="1">
        <f t="array" ref="I52">_xlfn.XLOOKUP(1,('Arbonia Original'!$A$2:$A$117=I$50)*('Arbonia Original'!$B$2:$B$117=$B52),'Arbonia Original'!$M$2:$M$117,"")</f>
        <v>38</v>
      </c>
      <c r="J52" s="2" cm="1">
        <f t="array" ref="J52">_xlfn.XLOOKUP(1,('Arbonia Original'!$A$2:$A$117=J$50)*('Arbonia Original'!$B$2:$B$117=$B52),'Arbonia Original'!$M$2:$M$117,"")</f>
        <v>38</v>
      </c>
      <c r="K52" s="2" cm="1">
        <f t="array" ref="K52">_xlfn.XLOOKUP(1,('Arbonia Original'!$A$2:$A$117=K$50)*('Arbonia Original'!$B$2:$B$117=$B52),'Arbonia Original'!$M$2:$M$117,"")</f>
        <v>38</v>
      </c>
      <c r="L52" s="2" cm="1">
        <f t="array" ref="L52">_xlfn.XLOOKUP(1,('Arbonia Original'!$A$2:$A$117=L$50)*('Arbonia Original'!$B$2:$B$117=$B52),'Arbonia Original'!$M$2:$M$117,"")</f>
        <v>38</v>
      </c>
      <c r="M52" s="2" cm="1">
        <f t="array" ref="M52">_xlfn.XLOOKUP(1,('Arbonia Original'!$A$2:$A$117=M$50)*('Arbonia Original'!$B$2:$B$117=$B52),'Arbonia Original'!$M$2:$M$117,"")</f>
        <v>38</v>
      </c>
      <c r="N52" s="2" cm="1">
        <f t="array" ref="N52">_xlfn.XLOOKUP(1,('Arbonia Original'!$A$2:$A$117=N$50)*('Arbonia Original'!$B$2:$B$117=$B52),'Arbonia Original'!$M$2:$M$117,"")</f>
        <v>38</v>
      </c>
      <c r="O52" s="2" cm="1">
        <f t="array" ref="O52">_xlfn.XLOOKUP(1,('Arbonia Original'!$A$2:$A$117=O$50)*('Arbonia Original'!$B$2:$B$117=$B52),'Arbonia Original'!$M$2:$M$117,"")</f>
        <v>38</v>
      </c>
      <c r="P52" s="2" cm="1">
        <f t="array" ref="P52">_xlfn.XLOOKUP(1,('Arbonia Original'!$A$2:$A$117=P$50)*('Arbonia Original'!$B$2:$B$117=$B52),'Arbonia Original'!$M$2:$M$117,"")</f>
        <v>38</v>
      </c>
      <c r="Q52" s="2" cm="1">
        <f t="array" ref="Q52">_xlfn.XLOOKUP(1,('Arbonia Original'!$A$2:$A$117=Q$50)*('Arbonia Original'!$B$2:$B$117=$B52),'Arbonia Original'!$M$2:$M$117,"")</f>
        <v>38</v>
      </c>
      <c r="R52" s="2" cm="1">
        <f t="array" ref="R52">_xlfn.XLOOKUP(1,('Arbonia Original'!$A$2:$A$117=R$50)*('Arbonia Original'!$B$2:$B$117=$B52),'Arbonia Original'!$M$2:$M$117,"")</f>
        <v>38</v>
      </c>
      <c r="S52" s="2" cm="1">
        <f t="array" ref="S52">_xlfn.XLOOKUP(1,('Arbonia Original'!$A$2:$A$117=S$50)*('Arbonia Original'!$B$2:$B$117=$B52),'Arbonia Original'!$M$2:$M$117,"")</f>
        <v>38</v>
      </c>
      <c r="T52" s="2" cm="1">
        <f t="array" ref="T52">_xlfn.XLOOKUP(1,('Arbonia Original'!$A$2:$A$117=T$50)*('Arbonia Original'!$B$2:$B$117=$B52),'Arbonia Original'!$M$2:$M$117,"")</f>
        <v>38</v>
      </c>
      <c r="U52" s="2" cm="1">
        <f t="array" ref="U52">_xlfn.XLOOKUP(1,('Arbonia Original'!$A$2:$A$117=U$50)*('Arbonia Original'!$B$2:$B$117=$B52),'Arbonia Original'!$M$2:$M$117,"")</f>
        <v>38</v>
      </c>
      <c r="V52" s="2" cm="1">
        <f t="array" ref="V52">_xlfn.XLOOKUP(1,('Arbonia Original'!$A$2:$A$117=V$50)*('Arbonia Original'!$B$2:$B$117=$B52),'Arbonia Original'!$M$2:$M$117,"")</f>
        <v>38</v>
      </c>
      <c r="W52" s="2" cm="1">
        <f t="array" ref="W52">_xlfn.XLOOKUP(1,('Arbonia Original'!$A$2:$A$117=W$50)*('Arbonia Original'!$B$2:$B$117=$B52),'Arbonia Original'!$M$2:$M$117,"")</f>
        <v>38</v>
      </c>
      <c r="X52" s="2" cm="1">
        <f t="array" ref="X52">_xlfn.XLOOKUP(1,('Arbonia Original'!$A$2:$A$117=X$50)*('Arbonia Original'!$B$2:$B$117=$B52),'Arbonia Original'!$M$2:$M$117,"")</f>
        <v>38</v>
      </c>
    </row>
    <row r="53" spans="1:24" x14ac:dyDescent="0.2">
      <c r="B53" s="2">
        <f>B5</f>
        <v>145</v>
      </c>
      <c r="C53" s="2" t="str" cm="1">
        <f t="array" ref="C53">_xlfn.XLOOKUP(1,('Arbonia Original'!$A$2:$A$117=C$50)*('Arbonia Original'!$B$2:$B$117=$B53),'Arbonia Original'!$M$2:$M$117,"")</f>
        <v/>
      </c>
      <c r="D53" s="2" cm="1">
        <f t="array" ref="D53">_xlfn.XLOOKUP(1,('Arbonia Original'!$A$2:$A$117=D$50)*('Arbonia Original'!$B$2:$B$117=$B53),'Arbonia Original'!$M$2:$M$117,"")</f>
        <v>33</v>
      </c>
      <c r="E53" s="2" cm="1">
        <f t="array" ref="E53">_xlfn.XLOOKUP(1,('Arbonia Original'!$A$2:$A$117=E$50)*('Arbonia Original'!$B$2:$B$117=$B53),'Arbonia Original'!$M$2:$M$117,"")</f>
        <v>33</v>
      </c>
      <c r="F53" s="2" cm="1">
        <f t="array" ref="F53">_xlfn.XLOOKUP(1,('Arbonia Original'!$A$2:$A$117=F$50)*('Arbonia Original'!$B$2:$B$117=$B53),'Arbonia Original'!$M$2:$M$117,"")</f>
        <v>33</v>
      </c>
      <c r="G53" s="2" cm="1">
        <f t="array" ref="G53">_xlfn.XLOOKUP(1,('Arbonia Original'!$A$2:$A$117=G$50)*('Arbonia Original'!$B$2:$B$117=$B53),'Arbonia Original'!$M$2:$M$117,"")</f>
        <v>33</v>
      </c>
      <c r="H53" s="2" cm="1">
        <f t="array" ref="H53">_xlfn.XLOOKUP(1,('Arbonia Original'!$A$2:$A$117=H$50)*('Arbonia Original'!$B$2:$B$117=$B53),'Arbonia Original'!$M$2:$M$117,"")</f>
        <v>33</v>
      </c>
      <c r="I53" s="2" cm="1">
        <f t="array" ref="I53">_xlfn.XLOOKUP(1,('Arbonia Original'!$A$2:$A$117=I$50)*('Arbonia Original'!$B$2:$B$117=$B53),'Arbonia Original'!$M$2:$M$117,"")</f>
        <v>33</v>
      </c>
      <c r="J53" s="2" cm="1">
        <f t="array" ref="J53">_xlfn.XLOOKUP(1,('Arbonia Original'!$A$2:$A$117=J$50)*('Arbonia Original'!$B$2:$B$117=$B53),'Arbonia Original'!$M$2:$M$117,"")</f>
        <v>33</v>
      </c>
      <c r="K53" s="2" cm="1">
        <f t="array" ref="K53">_xlfn.XLOOKUP(1,('Arbonia Original'!$A$2:$A$117=K$50)*('Arbonia Original'!$B$2:$B$117=$B53),'Arbonia Original'!$M$2:$M$117,"")</f>
        <v>33</v>
      </c>
      <c r="L53" s="2" cm="1">
        <f t="array" ref="L53">_xlfn.XLOOKUP(1,('Arbonia Original'!$A$2:$A$117=L$50)*('Arbonia Original'!$B$2:$B$117=$B53),'Arbonia Original'!$M$2:$M$117,"")</f>
        <v>33</v>
      </c>
      <c r="M53" s="2" cm="1">
        <f t="array" ref="M53">_xlfn.XLOOKUP(1,('Arbonia Original'!$A$2:$A$117=M$50)*('Arbonia Original'!$B$2:$B$117=$B53),'Arbonia Original'!$M$2:$M$117,"")</f>
        <v>33</v>
      </c>
      <c r="N53" s="2" cm="1">
        <f t="array" ref="N53">_xlfn.XLOOKUP(1,('Arbonia Original'!$A$2:$A$117=N$50)*('Arbonia Original'!$B$2:$B$117=$B53),'Arbonia Original'!$M$2:$M$117,"")</f>
        <v>33</v>
      </c>
      <c r="O53" s="2" cm="1">
        <f t="array" ref="O53">_xlfn.XLOOKUP(1,('Arbonia Original'!$A$2:$A$117=O$50)*('Arbonia Original'!$B$2:$B$117=$B53),'Arbonia Original'!$M$2:$M$117,"")</f>
        <v>33</v>
      </c>
      <c r="P53" s="2" cm="1">
        <f t="array" ref="P53">_xlfn.XLOOKUP(1,('Arbonia Original'!$A$2:$A$117=P$50)*('Arbonia Original'!$B$2:$B$117=$B53),'Arbonia Original'!$M$2:$M$117,"")</f>
        <v>33</v>
      </c>
      <c r="Q53" s="2" cm="1">
        <f t="array" ref="Q53">_xlfn.XLOOKUP(1,('Arbonia Original'!$A$2:$A$117=Q$50)*('Arbonia Original'!$B$2:$B$117=$B53),'Arbonia Original'!$M$2:$M$117,"")</f>
        <v>33</v>
      </c>
      <c r="R53" s="2" cm="1">
        <f t="array" ref="R53">_xlfn.XLOOKUP(1,('Arbonia Original'!$A$2:$A$117=R$50)*('Arbonia Original'!$B$2:$B$117=$B53),'Arbonia Original'!$M$2:$M$117,"")</f>
        <v>33</v>
      </c>
      <c r="S53" s="2" cm="1">
        <f t="array" ref="S53">_xlfn.XLOOKUP(1,('Arbonia Original'!$A$2:$A$117=S$50)*('Arbonia Original'!$B$2:$B$117=$B53),'Arbonia Original'!$M$2:$M$117,"")</f>
        <v>33</v>
      </c>
      <c r="T53" s="2" cm="1">
        <f t="array" ref="T53">_xlfn.XLOOKUP(1,('Arbonia Original'!$A$2:$A$117=T$50)*('Arbonia Original'!$B$2:$B$117=$B53),'Arbonia Original'!$M$2:$M$117,"")</f>
        <v>33</v>
      </c>
      <c r="U53" s="2" cm="1">
        <f t="array" ref="U53">_xlfn.XLOOKUP(1,('Arbonia Original'!$A$2:$A$117=U$50)*('Arbonia Original'!$B$2:$B$117=$B53),'Arbonia Original'!$M$2:$M$117,"")</f>
        <v>33</v>
      </c>
      <c r="V53" s="2" cm="1">
        <f t="array" ref="V53">_xlfn.XLOOKUP(1,('Arbonia Original'!$A$2:$A$117=V$50)*('Arbonia Original'!$B$2:$B$117=$B53),'Arbonia Original'!$M$2:$M$117,"")</f>
        <v>33</v>
      </c>
      <c r="W53" s="2" cm="1">
        <f t="array" ref="W53">_xlfn.XLOOKUP(1,('Arbonia Original'!$A$2:$A$117=W$50)*('Arbonia Original'!$B$2:$B$117=$B53),'Arbonia Original'!$M$2:$M$117,"")</f>
        <v>33</v>
      </c>
      <c r="X53" s="2" cm="1">
        <f t="array" ref="X53">_xlfn.XLOOKUP(1,('Arbonia Original'!$A$2:$A$117=X$50)*('Arbonia Original'!$B$2:$B$117=$B53),'Arbonia Original'!$M$2:$M$117,"")</f>
        <v>33</v>
      </c>
    </row>
    <row r="54" spans="1:24" x14ac:dyDescent="0.2">
      <c r="B54" s="2">
        <f>B6</f>
        <v>185</v>
      </c>
      <c r="C54" s="2" cm="1">
        <f t="array" ref="C54">_xlfn.XLOOKUP(1,('Arbonia Original'!$A$2:$A$117=C$50)*('Arbonia Original'!$B$2:$B$117=$B54),'Arbonia Original'!$M$2:$M$117,"")</f>
        <v>30</v>
      </c>
      <c r="D54" s="2" t="str" cm="1">
        <f t="array" ref="D54">_xlfn.XLOOKUP(1,('Arbonia Original'!$A$2:$A$117=D$50)*('Arbonia Original'!$B$2:$B$117=$B54),'Arbonia Original'!$M$2:$M$117,"")</f>
        <v/>
      </c>
      <c r="E54" s="2" cm="1">
        <f t="array" ref="E54">_xlfn.XLOOKUP(1,('Arbonia Original'!$A$2:$A$117=E$50)*('Arbonia Original'!$B$2:$B$117=$B54),'Arbonia Original'!$M$2:$M$117,"")</f>
        <v>30</v>
      </c>
      <c r="F54" s="2" cm="1">
        <f t="array" ref="F54">_xlfn.XLOOKUP(1,('Arbonia Original'!$A$2:$A$117=F$50)*('Arbonia Original'!$B$2:$B$117=$B54),'Arbonia Original'!$M$2:$M$117,"")</f>
        <v>30</v>
      </c>
      <c r="G54" s="2" cm="1">
        <f t="array" ref="G54">_xlfn.XLOOKUP(1,('Arbonia Original'!$A$2:$A$117=G$50)*('Arbonia Original'!$B$2:$B$117=$B54),'Arbonia Original'!$M$2:$M$117,"")</f>
        <v>30</v>
      </c>
      <c r="H54" s="2" cm="1">
        <f t="array" ref="H54">_xlfn.XLOOKUP(1,('Arbonia Original'!$A$2:$A$117=H$50)*('Arbonia Original'!$B$2:$B$117=$B54),'Arbonia Original'!$M$2:$M$117,"")</f>
        <v>30</v>
      </c>
      <c r="I54" s="2" cm="1">
        <f t="array" ref="I54">_xlfn.XLOOKUP(1,('Arbonia Original'!$A$2:$A$117=I$50)*('Arbonia Original'!$B$2:$B$117=$B54),'Arbonia Original'!$M$2:$M$117,"")</f>
        <v>30</v>
      </c>
      <c r="J54" s="2" cm="1">
        <f t="array" ref="J54">_xlfn.XLOOKUP(1,('Arbonia Original'!$A$2:$A$117=J$50)*('Arbonia Original'!$B$2:$B$117=$B54),'Arbonia Original'!$M$2:$M$117,"")</f>
        <v>30</v>
      </c>
      <c r="K54" s="2" cm="1">
        <f t="array" ref="K54">_xlfn.XLOOKUP(1,('Arbonia Original'!$A$2:$A$117=K$50)*('Arbonia Original'!$B$2:$B$117=$B54),'Arbonia Original'!$M$2:$M$117,"")</f>
        <v>30</v>
      </c>
      <c r="L54" s="2" cm="1">
        <f t="array" ref="L54">_xlfn.XLOOKUP(1,('Arbonia Original'!$A$2:$A$117=L$50)*('Arbonia Original'!$B$2:$B$117=$B54),'Arbonia Original'!$M$2:$M$117,"")</f>
        <v>30</v>
      </c>
      <c r="M54" s="2" cm="1">
        <f t="array" ref="M54">_xlfn.XLOOKUP(1,('Arbonia Original'!$A$2:$A$117=M$50)*('Arbonia Original'!$B$2:$B$117=$B54),'Arbonia Original'!$M$2:$M$117,"")</f>
        <v>30</v>
      </c>
      <c r="N54" s="2" cm="1">
        <f t="array" ref="N54">_xlfn.XLOOKUP(1,('Arbonia Original'!$A$2:$A$117=N$50)*('Arbonia Original'!$B$2:$B$117=$B54),'Arbonia Original'!$M$2:$M$117,"")</f>
        <v>30</v>
      </c>
      <c r="O54" s="2" cm="1">
        <f t="array" ref="O54">_xlfn.XLOOKUP(1,('Arbonia Original'!$A$2:$A$117=O$50)*('Arbonia Original'!$B$2:$B$117=$B54),'Arbonia Original'!$M$2:$M$117,"")</f>
        <v>30</v>
      </c>
      <c r="P54" s="2" cm="1">
        <f t="array" ref="P54">_xlfn.XLOOKUP(1,('Arbonia Original'!$A$2:$A$117=P$50)*('Arbonia Original'!$B$2:$B$117=$B54),'Arbonia Original'!$M$2:$M$117,"")</f>
        <v>30</v>
      </c>
      <c r="Q54" s="2" cm="1">
        <f t="array" ref="Q54">_xlfn.XLOOKUP(1,('Arbonia Original'!$A$2:$A$117=Q$50)*('Arbonia Original'!$B$2:$B$117=$B54),'Arbonia Original'!$M$2:$M$117,"")</f>
        <v>30</v>
      </c>
      <c r="R54" s="2" cm="1">
        <f t="array" ref="R54">_xlfn.XLOOKUP(1,('Arbonia Original'!$A$2:$A$117=R$50)*('Arbonia Original'!$B$2:$B$117=$B54),'Arbonia Original'!$M$2:$M$117,"")</f>
        <v>30</v>
      </c>
      <c r="S54" s="2" cm="1">
        <f t="array" ref="S54">_xlfn.XLOOKUP(1,('Arbonia Original'!$A$2:$A$117=S$50)*('Arbonia Original'!$B$2:$B$117=$B54),'Arbonia Original'!$M$2:$M$117,"")</f>
        <v>30</v>
      </c>
      <c r="T54" s="2" cm="1">
        <f t="array" ref="T54">_xlfn.XLOOKUP(1,('Arbonia Original'!$A$2:$A$117=T$50)*('Arbonia Original'!$B$2:$B$117=$B54),'Arbonia Original'!$M$2:$M$117,"")</f>
        <v>30</v>
      </c>
      <c r="U54" s="2" cm="1">
        <f t="array" ref="U54">_xlfn.XLOOKUP(1,('Arbonia Original'!$A$2:$A$117=U$50)*('Arbonia Original'!$B$2:$B$117=$B54),'Arbonia Original'!$M$2:$M$117,"")</f>
        <v>30</v>
      </c>
      <c r="V54" s="2" cm="1">
        <f t="array" ref="V54">_xlfn.XLOOKUP(1,('Arbonia Original'!$A$2:$A$117=V$50)*('Arbonia Original'!$B$2:$B$117=$B54),'Arbonia Original'!$M$2:$M$117,"")</f>
        <v>30</v>
      </c>
      <c r="W54" s="2" cm="1">
        <f t="array" ref="W54">_xlfn.XLOOKUP(1,('Arbonia Original'!$A$2:$A$117=W$50)*('Arbonia Original'!$B$2:$B$117=$B54),'Arbonia Original'!$M$2:$M$117,"")</f>
        <v>30</v>
      </c>
      <c r="X54" s="2" cm="1">
        <f t="array" ref="X54">_xlfn.XLOOKUP(1,('Arbonia Original'!$A$2:$A$117=X$50)*('Arbonia Original'!$B$2:$B$117=$B54),'Arbonia Original'!$M$2:$M$117,"")</f>
        <v>30</v>
      </c>
    </row>
    <row r="55" spans="1:24" x14ac:dyDescent="0.2">
      <c r="B55" s="2">
        <f>B7</f>
        <v>225</v>
      </c>
      <c r="C55" s="2" cm="1">
        <f t="array" ref="C55">_xlfn.XLOOKUP(1,('Arbonia Original'!$A$2:$A$117=C$50)*('Arbonia Original'!$B$2:$B$117=$B55),'Arbonia Original'!$M$2:$M$117,"")</f>
        <v>27</v>
      </c>
      <c r="D55" s="2" t="str" cm="1">
        <f t="array" ref="D55">_xlfn.XLOOKUP(1,('Arbonia Original'!$A$2:$A$117=D$50)*('Arbonia Original'!$B$2:$B$117=$B55),'Arbonia Original'!$M$2:$M$117,"")</f>
        <v/>
      </c>
      <c r="E55" s="2" cm="1">
        <f t="array" ref="E55">_xlfn.XLOOKUP(1,('Arbonia Original'!$A$2:$A$117=E$50)*('Arbonia Original'!$B$2:$B$117=$B55),'Arbonia Original'!$M$2:$M$117,"")</f>
        <v>27</v>
      </c>
      <c r="F55" s="2" cm="1">
        <f t="array" ref="F55">_xlfn.XLOOKUP(1,('Arbonia Original'!$A$2:$A$117=F$50)*('Arbonia Original'!$B$2:$B$117=$B55),'Arbonia Original'!$M$2:$M$117,"")</f>
        <v>27</v>
      </c>
      <c r="G55" s="2" cm="1">
        <f t="array" ref="G55">_xlfn.XLOOKUP(1,('Arbonia Original'!$A$2:$A$117=G$50)*('Arbonia Original'!$B$2:$B$117=$B55),'Arbonia Original'!$M$2:$M$117,"")</f>
        <v>27</v>
      </c>
      <c r="H55" s="2" cm="1">
        <f t="array" ref="H55">_xlfn.XLOOKUP(1,('Arbonia Original'!$A$2:$A$117=H$50)*('Arbonia Original'!$B$2:$B$117=$B55),'Arbonia Original'!$M$2:$M$117,"")</f>
        <v>27</v>
      </c>
      <c r="I55" s="2" cm="1">
        <f t="array" ref="I55">_xlfn.XLOOKUP(1,('Arbonia Original'!$A$2:$A$117=I$50)*('Arbonia Original'!$B$2:$B$117=$B55),'Arbonia Original'!$M$2:$M$117,"")</f>
        <v>27</v>
      </c>
      <c r="J55" s="2" cm="1">
        <f t="array" ref="J55">_xlfn.XLOOKUP(1,('Arbonia Original'!$A$2:$A$117=J$50)*('Arbonia Original'!$B$2:$B$117=$B55),'Arbonia Original'!$M$2:$M$117,"")</f>
        <v>27</v>
      </c>
      <c r="K55" s="2" cm="1">
        <f t="array" ref="K55">_xlfn.XLOOKUP(1,('Arbonia Original'!$A$2:$A$117=K$50)*('Arbonia Original'!$B$2:$B$117=$B55),'Arbonia Original'!$M$2:$M$117,"")</f>
        <v>27</v>
      </c>
      <c r="L55" s="2" cm="1">
        <f t="array" ref="L55">_xlfn.XLOOKUP(1,('Arbonia Original'!$A$2:$A$117=L$50)*('Arbonia Original'!$B$2:$B$117=$B55),'Arbonia Original'!$M$2:$M$117,"")</f>
        <v>27</v>
      </c>
      <c r="M55" s="2" cm="1">
        <f t="array" ref="M55">_xlfn.XLOOKUP(1,('Arbonia Original'!$A$2:$A$117=M$50)*('Arbonia Original'!$B$2:$B$117=$B55),'Arbonia Original'!$M$2:$M$117,"")</f>
        <v>27</v>
      </c>
      <c r="N55" s="2" cm="1">
        <f t="array" ref="N55">_xlfn.XLOOKUP(1,('Arbonia Original'!$A$2:$A$117=N$50)*('Arbonia Original'!$B$2:$B$117=$B55),'Arbonia Original'!$M$2:$M$117,"")</f>
        <v>27</v>
      </c>
      <c r="O55" s="2" cm="1">
        <f t="array" ref="O55">_xlfn.XLOOKUP(1,('Arbonia Original'!$A$2:$A$117=O$50)*('Arbonia Original'!$B$2:$B$117=$B55),'Arbonia Original'!$M$2:$M$117,"")</f>
        <v>27</v>
      </c>
      <c r="P55" s="2" cm="1">
        <f t="array" ref="P55">_xlfn.XLOOKUP(1,('Arbonia Original'!$A$2:$A$117=P$50)*('Arbonia Original'!$B$2:$B$117=$B55),'Arbonia Original'!$M$2:$M$117,"")</f>
        <v>27</v>
      </c>
      <c r="Q55" s="2" cm="1">
        <f t="array" ref="Q55">_xlfn.XLOOKUP(1,('Arbonia Original'!$A$2:$A$117=Q$50)*('Arbonia Original'!$B$2:$B$117=$B55),'Arbonia Original'!$M$2:$M$117,"")</f>
        <v>27</v>
      </c>
      <c r="R55" s="2" cm="1">
        <f t="array" ref="R55">_xlfn.XLOOKUP(1,('Arbonia Original'!$A$2:$A$117=R$50)*('Arbonia Original'!$B$2:$B$117=$B55),'Arbonia Original'!$M$2:$M$117,"")</f>
        <v>27</v>
      </c>
      <c r="S55" s="2" cm="1">
        <f t="array" ref="S55">_xlfn.XLOOKUP(1,('Arbonia Original'!$A$2:$A$117=S$50)*('Arbonia Original'!$B$2:$B$117=$B55),'Arbonia Original'!$M$2:$M$117,"")</f>
        <v>27</v>
      </c>
      <c r="T55" s="2" cm="1">
        <f t="array" ref="T55">_xlfn.XLOOKUP(1,('Arbonia Original'!$A$2:$A$117=T$50)*('Arbonia Original'!$B$2:$B$117=$B55),'Arbonia Original'!$M$2:$M$117,"")</f>
        <v>27</v>
      </c>
      <c r="U55" s="2" cm="1">
        <f t="array" ref="U55">_xlfn.XLOOKUP(1,('Arbonia Original'!$A$2:$A$117=U$50)*('Arbonia Original'!$B$2:$B$117=$B55),'Arbonia Original'!$M$2:$M$117,"")</f>
        <v>27</v>
      </c>
      <c r="V55" s="2" cm="1">
        <f t="array" ref="V55">_xlfn.XLOOKUP(1,('Arbonia Original'!$A$2:$A$117=V$50)*('Arbonia Original'!$B$2:$B$117=$B55),'Arbonia Original'!$M$2:$M$117,"")</f>
        <v>27</v>
      </c>
      <c r="W55" s="2" cm="1">
        <f t="array" ref="W55">_xlfn.XLOOKUP(1,('Arbonia Original'!$A$2:$A$117=W$50)*('Arbonia Original'!$B$2:$B$117=$B55),'Arbonia Original'!$M$2:$M$117,"")</f>
        <v>27</v>
      </c>
      <c r="X55" s="2" cm="1">
        <f t="array" ref="X55">_xlfn.XLOOKUP(1,('Arbonia Original'!$A$2:$A$117=X$50)*('Arbonia Original'!$B$2:$B$117=$B55),'Arbonia Original'!$M$2:$M$117,"")</f>
        <v>27</v>
      </c>
    </row>
    <row r="56" spans="1:24" x14ac:dyDescent="0.2">
      <c r="P56"/>
      <c r="Q56"/>
      <c r="R56"/>
      <c r="S56"/>
      <c r="T56"/>
      <c r="U56"/>
      <c r="V56"/>
    </row>
    <row r="57" spans="1:24" ht="39" x14ac:dyDescent="0.25">
      <c r="A57" s="57" t="s">
        <v>161</v>
      </c>
      <c r="C57" s="4" t="s">
        <v>2</v>
      </c>
      <c r="P57"/>
      <c r="Q57"/>
      <c r="R57"/>
      <c r="S57"/>
      <c r="T57"/>
      <c r="U57"/>
      <c r="V57"/>
    </row>
    <row r="58" spans="1:24" x14ac:dyDescent="0.2">
      <c r="A58" s="57" t="s">
        <v>158</v>
      </c>
      <c r="C58" s="5">
        <f t="shared" ref="C58:X58" si="6">C$2</f>
        <v>180</v>
      </c>
      <c r="D58" s="5">
        <f t="shared" si="6"/>
        <v>190</v>
      </c>
      <c r="E58" s="5">
        <f t="shared" si="6"/>
        <v>260</v>
      </c>
      <c r="F58" s="5">
        <f t="shared" si="6"/>
        <v>300</v>
      </c>
      <c r="G58" s="5">
        <f t="shared" si="6"/>
        <v>350</v>
      </c>
      <c r="H58" s="5">
        <f t="shared" si="6"/>
        <v>400</v>
      </c>
      <c r="I58" s="5">
        <f t="shared" si="6"/>
        <v>450</v>
      </c>
      <c r="J58" s="5">
        <f t="shared" si="6"/>
        <v>500</v>
      </c>
      <c r="K58" s="5">
        <f t="shared" si="6"/>
        <v>550</v>
      </c>
      <c r="L58" s="5">
        <f t="shared" si="6"/>
        <v>600</v>
      </c>
      <c r="M58" s="5">
        <f t="shared" si="6"/>
        <v>750</v>
      </c>
      <c r="N58" s="5">
        <f t="shared" si="6"/>
        <v>900</v>
      </c>
      <c r="O58" s="5">
        <f t="shared" si="6"/>
        <v>1000</v>
      </c>
      <c r="P58" s="5">
        <f t="shared" si="6"/>
        <v>1100</v>
      </c>
      <c r="Q58" s="5">
        <f t="shared" si="6"/>
        <v>1200</v>
      </c>
      <c r="R58" s="5">
        <f t="shared" si="6"/>
        <v>1500</v>
      </c>
      <c r="S58" s="5">
        <f t="shared" si="6"/>
        <v>1800</v>
      </c>
      <c r="T58" s="5">
        <f t="shared" si="6"/>
        <v>2000</v>
      </c>
      <c r="U58" s="5">
        <f t="shared" si="6"/>
        <v>2200</v>
      </c>
      <c r="V58" s="5">
        <f t="shared" si="6"/>
        <v>2500</v>
      </c>
      <c r="W58" s="5">
        <f t="shared" si="6"/>
        <v>2800</v>
      </c>
      <c r="X58" s="5">
        <f t="shared" si="6"/>
        <v>3000</v>
      </c>
    </row>
    <row r="59" spans="1:24" ht="13.5" x14ac:dyDescent="0.25">
      <c r="A59" s="4" t="s">
        <v>3</v>
      </c>
      <c r="B59" s="2">
        <f>B3</f>
        <v>65</v>
      </c>
      <c r="C59" s="2" t="str" cm="1">
        <f t="array" ref="C59">_xlfn.XLOOKUP(1,('Arbonia Original'!$A$2:$A$117=C$58)*('Arbonia Original'!$B$2:$B$117=$B59),'Arbonia Original'!$N$2:$N$117,"")</f>
        <v/>
      </c>
      <c r="D59" s="2" cm="1">
        <f t="array" ref="D59">_xlfn.XLOOKUP(1,('Arbonia Original'!$A$2:$A$117=D$58)*('Arbonia Original'!$B$2:$B$117=$B59),'Arbonia Original'!$N$2:$N$117,"")</f>
        <v>44.16</v>
      </c>
      <c r="E59" s="2" cm="1">
        <f t="array" ref="E59">_xlfn.XLOOKUP(1,('Arbonia Original'!$A$2:$A$117=E$58)*('Arbonia Original'!$B$2:$B$117=$B59),'Arbonia Original'!$N$2:$N$117,"")</f>
        <v>46.44</v>
      </c>
      <c r="F59" s="2" cm="1">
        <f t="array" ref="F59">_xlfn.XLOOKUP(1,('Arbonia Original'!$A$2:$A$117=F$58)*('Arbonia Original'!$B$2:$B$117=$B59),'Arbonia Original'!$N$2:$N$117,"")</f>
        <v>43.52</v>
      </c>
      <c r="G59" s="2" cm="1">
        <f t="array" ref="G59">_xlfn.XLOOKUP(1,('Arbonia Original'!$A$2:$A$117=G$58)*('Arbonia Original'!$B$2:$B$117=$B59),'Arbonia Original'!$N$2:$N$117,"")</f>
        <v>45.33</v>
      </c>
      <c r="H59" s="2" cm="1">
        <f t="array" ref="H59">_xlfn.XLOOKUP(1,('Arbonia Original'!$A$2:$A$117=H$58)*('Arbonia Original'!$B$2:$B$117=$B59),'Arbonia Original'!$N$2:$N$117,"")</f>
        <v>46.44</v>
      </c>
      <c r="I59" s="2" cm="1">
        <f t="array" ref="I59">_xlfn.XLOOKUP(1,('Arbonia Original'!$A$2:$A$117=I$58)*('Arbonia Original'!$B$2:$B$117=$B59),'Arbonia Original'!$N$2:$N$117,"")</f>
        <v>47.14</v>
      </c>
      <c r="J59" s="2" cm="1">
        <f t="array" ref="J59">_xlfn.XLOOKUP(1,('Arbonia Original'!$A$2:$A$117=J$58)*('Arbonia Original'!$B$2:$B$117=$B59),'Arbonia Original'!$N$2:$N$117,"")</f>
        <v>48.18</v>
      </c>
      <c r="K59" s="2" cm="1">
        <f t="array" ref="K59">_xlfn.XLOOKUP(1,('Arbonia Original'!$A$2:$A$117=K$58)*('Arbonia Original'!$B$2:$B$117=$B59),'Arbonia Original'!$N$2:$N$117,"")</f>
        <v>48.51</v>
      </c>
      <c r="L59" s="2" cm="1">
        <f t="array" ref="L59">_xlfn.XLOOKUP(1,('Arbonia Original'!$A$2:$A$117=L$58)*('Arbonia Original'!$B$2:$B$117=$B59),'Arbonia Original'!$N$2:$N$117,"")</f>
        <v>49.95</v>
      </c>
      <c r="M59" s="2" cm="1">
        <f t="array" ref="M59">_xlfn.XLOOKUP(1,('Arbonia Original'!$A$2:$A$117=M$58)*('Arbonia Original'!$B$2:$B$117=$B59),'Arbonia Original'!$N$2:$N$117,"")</f>
        <v>50.86</v>
      </c>
      <c r="N59" s="2" cm="1">
        <f t="array" ref="N59">_xlfn.XLOOKUP(1,('Arbonia Original'!$A$2:$A$117=N$58)*('Arbonia Original'!$B$2:$B$117=$B59),'Arbonia Original'!$N$2:$N$117,"")</f>
        <v>52.04</v>
      </c>
      <c r="O59" s="2" cm="1">
        <f t="array" ref="O59">_xlfn.XLOOKUP(1,('Arbonia Original'!$A$2:$A$117=O$58)*('Arbonia Original'!$B$2:$B$117=$B59),'Arbonia Original'!$N$2:$N$117,"")</f>
        <v>54.44</v>
      </c>
      <c r="P59" s="2" cm="1">
        <f t="array" ref="P59">_xlfn.XLOOKUP(1,('Arbonia Original'!$A$2:$A$117=P$58)*('Arbonia Original'!$B$2:$B$117=$B59),'Arbonia Original'!$N$2:$N$117,"")</f>
        <v>56.66</v>
      </c>
      <c r="Q59" s="2" cm="1">
        <f t="array" ref="Q59">_xlfn.XLOOKUP(1,('Arbonia Original'!$A$2:$A$117=Q$58)*('Arbonia Original'!$B$2:$B$117=$B59),'Arbonia Original'!$N$2:$N$117,"")</f>
        <v>61.75</v>
      </c>
      <c r="R59" s="2" cm="1">
        <f t="array" ref="R59">_xlfn.XLOOKUP(1,('Arbonia Original'!$A$2:$A$117=R$58)*('Arbonia Original'!$B$2:$B$117=$B59),'Arbonia Original'!$N$2:$N$117,"")</f>
        <v>78.14</v>
      </c>
      <c r="S59" s="2" cm="1">
        <f t="array" ref="S59">_xlfn.XLOOKUP(1,('Arbonia Original'!$A$2:$A$117=S$58)*('Arbonia Original'!$B$2:$B$117=$B59),'Arbonia Original'!$N$2:$N$117,"")</f>
        <v>94.36</v>
      </c>
      <c r="T59" s="2" cm="1">
        <f t="array" ref="T59">_xlfn.XLOOKUP(1,('Arbonia Original'!$A$2:$A$117=T$58)*('Arbonia Original'!$B$2:$B$117=$B59),'Arbonia Original'!$N$2:$N$117,"")</f>
        <v>105.32</v>
      </c>
      <c r="U59" s="2" cm="1">
        <f t="array" ref="U59">_xlfn.XLOOKUP(1,('Arbonia Original'!$A$2:$A$117=U$58)*('Arbonia Original'!$B$2:$B$117=$B59),'Arbonia Original'!$N$2:$N$117,"")</f>
        <v>118.82</v>
      </c>
      <c r="V59" s="2" cm="1">
        <f t="array" ref="V59">_xlfn.XLOOKUP(1,('Arbonia Original'!$A$2:$A$117=V$58)*('Arbonia Original'!$B$2:$B$117=$B59),'Arbonia Original'!$N$2:$N$117,"")</f>
        <v>132.47</v>
      </c>
      <c r="W59" s="2" cm="1">
        <f t="array" ref="W59">_xlfn.XLOOKUP(1,('Arbonia Original'!$A$2:$A$117=W$58)*('Arbonia Original'!$B$2:$B$117=$B59),'Arbonia Original'!$N$2:$N$117,"")</f>
        <v>146.77000000000001</v>
      </c>
      <c r="X59" s="2" cm="1">
        <f t="array" ref="X59">_xlfn.XLOOKUP(1,('Arbonia Original'!$A$2:$A$117=X$58)*('Arbonia Original'!$B$2:$B$117=$B59),'Arbonia Original'!$N$2:$N$117,"")</f>
        <v>157.79</v>
      </c>
    </row>
    <row r="60" spans="1:24" x14ac:dyDescent="0.2">
      <c r="B60" s="2">
        <f>B4</f>
        <v>105</v>
      </c>
      <c r="C60" s="2" t="str" cm="1">
        <f t="array" ref="C60">_xlfn.XLOOKUP(1,('Arbonia Original'!$A$2:$A$117=C$58)*('Arbonia Original'!$B$2:$B$117=$B60),'Arbonia Original'!$N$2:$N$117,"")</f>
        <v/>
      </c>
      <c r="D60" s="2" cm="1">
        <f t="array" ref="D60">_xlfn.XLOOKUP(1,('Arbonia Original'!$A$2:$A$117=D$58)*('Arbonia Original'!$B$2:$B$117=$B60),'Arbonia Original'!$N$2:$N$117,"")</f>
        <v>43.27</v>
      </c>
      <c r="E60" s="2" cm="1">
        <f t="array" ref="E60">_xlfn.XLOOKUP(1,('Arbonia Original'!$A$2:$A$117=E$58)*('Arbonia Original'!$B$2:$B$117=$B60),'Arbonia Original'!$N$2:$N$117,"")</f>
        <v>44.39</v>
      </c>
      <c r="F60" s="2" cm="1">
        <f t="array" ref="F60">_xlfn.XLOOKUP(1,('Arbonia Original'!$A$2:$A$117=F$58)*('Arbonia Original'!$B$2:$B$117=$B60),'Arbonia Original'!$N$2:$N$117,"")</f>
        <v>45.95</v>
      </c>
      <c r="G60" s="2" cm="1">
        <f t="array" ref="G60">_xlfn.XLOOKUP(1,('Arbonia Original'!$A$2:$A$117=G$58)*('Arbonia Original'!$B$2:$B$117=$B60),'Arbonia Original'!$N$2:$N$117,"")</f>
        <v>47.14</v>
      </c>
      <c r="H60" s="2" cm="1">
        <f t="array" ref="H60">_xlfn.XLOOKUP(1,('Arbonia Original'!$A$2:$A$117=H$58)*('Arbonia Original'!$B$2:$B$117=$B60),'Arbonia Original'!$N$2:$N$117,"")</f>
        <v>48.18</v>
      </c>
      <c r="I60" s="2" cm="1">
        <f t="array" ref="I60">_xlfn.XLOOKUP(1,('Arbonia Original'!$A$2:$A$117=I$58)*('Arbonia Original'!$B$2:$B$117=$B60),'Arbonia Original'!$N$2:$N$117,"")</f>
        <v>49.29</v>
      </c>
      <c r="J60" s="2" cm="1">
        <f t="array" ref="J60">_xlfn.XLOOKUP(1,('Arbonia Original'!$A$2:$A$117=J$58)*('Arbonia Original'!$B$2:$B$117=$B60),'Arbonia Original'!$N$2:$N$117,"")</f>
        <v>50.08</v>
      </c>
      <c r="K60" s="2" cm="1">
        <f t="array" ref="K60">_xlfn.XLOOKUP(1,('Arbonia Original'!$A$2:$A$117=K$58)*('Arbonia Original'!$B$2:$B$117=$B60),'Arbonia Original'!$N$2:$N$117,"")</f>
        <v>51.26</v>
      </c>
      <c r="L60" s="2" cm="1">
        <f t="array" ref="L60">_xlfn.XLOOKUP(1,('Arbonia Original'!$A$2:$A$117=L$58)*('Arbonia Original'!$B$2:$B$117=$B60),'Arbonia Original'!$N$2:$N$117,"")</f>
        <v>52.04</v>
      </c>
      <c r="M60" s="2" cm="1">
        <f t="array" ref="M60">_xlfn.XLOOKUP(1,('Arbonia Original'!$A$2:$A$117=M$58)*('Arbonia Original'!$B$2:$B$117=$B60),'Arbonia Original'!$N$2:$N$117,"")</f>
        <v>56.38</v>
      </c>
      <c r="N60" s="2" cm="1">
        <f t="array" ref="N60">_xlfn.XLOOKUP(1,('Arbonia Original'!$A$2:$A$117=N$58)*('Arbonia Original'!$B$2:$B$117=$B60),'Arbonia Original'!$N$2:$N$117,"")</f>
        <v>61.75</v>
      </c>
      <c r="O60" s="2" cm="1">
        <f t="array" ref="O60">_xlfn.XLOOKUP(1,('Arbonia Original'!$A$2:$A$117=O$58)*('Arbonia Original'!$B$2:$B$117=$B60),'Arbonia Original'!$N$2:$N$117,"")</f>
        <v>70.06</v>
      </c>
      <c r="P60" s="2" cm="1">
        <f t="array" ref="P60">_xlfn.XLOOKUP(1,('Arbonia Original'!$A$2:$A$117=P$58)*('Arbonia Original'!$B$2:$B$117=$B60),'Arbonia Original'!$N$2:$N$117,"")</f>
        <v>78.14</v>
      </c>
      <c r="Q60" s="2" cm="1">
        <f t="array" ref="Q60">_xlfn.XLOOKUP(1,('Arbonia Original'!$A$2:$A$117=Q$58)*('Arbonia Original'!$B$2:$B$117=$B60),'Arbonia Original'!$N$2:$N$117,"")</f>
        <v>86.36</v>
      </c>
      <c r="R60" s="2" cm="1">
        <f t="array" ref="R60">_xlfn.XLOOKUP(1,('Arbonia Original'!$A$2:$A$117=R$58)*('Arbonia Original'!$B$2:$B$117=$B60),'Arbonia Original'!$N$2:$N$117,"")</f>
        <v>111.2</v>
      </c>
      <c r="S60" s="2" cm="1">
        <f t="array" ref="S60">_xlfn.XLOOKUP(1,('Arbonia Original'!$A$2:$A$117=S$58)*('Arbonia Original'!$B$2:$B$117=$B60),'Arbonia Original'!$N$2:$N$117,"")</f>
        <v>135.93</v>
      </c>
      <c r="T60" s="2" cm="1">
        <f t="array" ref="T60">_xlfn.XLOOKUP(1,('Arbonia Original'!$A$2:$A$117=T$58)*('Arbonia Original'!$B$2:$B$117=$B60),'Arbonia Original'!$N$2:$N$117,"")</f>
        <v>152.52000000000001</v>
      </c>
      <c r="U60" s="2" cm="1">
        <f t="array" ref="U60">_xlfn.XLOOKUP(1,('Arbonia Original'!$A$2:$A$117=U$58)*('Arbonia Original'!$B$2:$B$117=$B60),'Arbonia Original'!$N$2:$N$117,"")</f>
        <v>173.31</v>
      </c>
      <c r="V60" s="2" cm="1">
        <f t="array" ref="V60">_xlfn.XLOOKUP(1,('Arbonia Original'!$A$2:$A$117=V$58)*('Arbonia Original'!$B$2:$B$117=$B60),'Arbonia Original'!$N$2:$N$117,"")</f>
        <v>194.11</v>
      </c>
      <c r="W60" s="2" cm="1">
        <f t="array" ref="W60">_xlfn.XLOOKUP(1,('Arbonia Original'!$A$2:$A$117=W$58)*('Arbonia Original'!$B$2:$B$117=$B60),'Arbonia Original'!$N$2:$N$117,"")</f>
        <v>218.85</v>
      </c>
      <c r="X60" s="2" cm="1">
        <f t="array" ref="X60">_xlfn.XLOOKUP(1,('Arbonia Original'!$A$2:$A$117=X$58)*('Arbonia Original'!$B$2:$B$117=$B60),'Arbonia Original'!$N$2:$N$117,"")</f>
        <v>235.7</v>
      </c>
    </row>
    <row r="61" spans="1:24" x14ac:dyDescent="0.2">
      <c r="B61" s="2">
        <f>B5</f>
        <v>145</v>
      </c>
      <c r="C61" s="2" t="str" cm="1">
        <f t="array" ref="C61">_xlfn.XLOOKUP(1,('Arbonia Original'!$A$2:$A$117=C$58)*('Arbonia Original'!$B$2:$B$117=$B61),'Arbonia Original'!$N$2:$N$117,"")</f>
        <v/>
      </c>
      <c r="D61" s="2" cm="1">
        <f t="array" ref="D61">_xlfn.XLOOKUP(1,('Arbonia Original'!$A$2:$A$117=D$58)*('Arbonia Original'!$B$2:$B$117=$B61),'Arbonia Original'!$N$2:$N$117,"")</f>
        <v>48.51</v>
      </c>
      <c r="E61" s="2" cm="1">
        <f t="array" ref="E61">_xlfn.XLOOKUP(1,('Arbonia Original'!$A$2:$A$117=E$58)*('Arbonia Original'!$B$2:$B$117=$B61),'Arbonia Original'!$N$2:$N$117,"")</f>
        <v>50.75</v>
      </c>
      <c r="F61" s="2" cm="1">
        <f t="array" ref="F61">_xlfn.XLOOKUP(1,('Arbonia Original'!$A$2:$A$117=F$58)*('Arbonia Original'!$B$2:$B$117=$B61),'Arbonia Original'!$N$2:$N$117,"")</f>
        <v>51.53</v>
      </c>
      <c r="G61" s="2" cm="1">
        <f t="array" ref="G61">_xlfn.XLOOKUP(1,('Arbonia Original'!$A$2:$A$117=G$58)*('Arbonia Original'!$B$2:$B$117=$B61),'Arbonia Original'!$N$2:$N$117,"")</f>
        <v>53.42</v>
      </c>
      <c r="H61" s="2" cm="1">
        <f t="array" ref="H61">_xlfn.XLOOKUP(1,('Arbonia Original'!$A$2:$A$117=H$58)*('Arbonia Original'!$B$2:$B$117=$B61),'Arbonia Original'!$N$2:$N$117,"")</f>
        <v>55.87</v>
      </c>
      <c r="I61" s="2" cm="1">
        <f t="array" ref="I61">_xlfn.XLOOKUP(1,('Arbonia Original'!$A$2:$A$117=I$58)*('Arbonia Original'!$B$2:$B$117=$B61),'Arbonia Original'!$N$2:$N$117,"")</f>
        <v>60</v>
      </c>
      <c r="J61" s="2" cm="1">
        <f t="array" ref="J61">_xlfn.XLOOKUP(1,('Arbonia Original'!$A$2:$A$117=J$58)*('Arbonia Original'!$B$2:$B$117=$B61),'Arbonia Original'!$N$2:$N$117,"")</f>
        <v>61.36</v>
      </c>
      <c r="K61" s="2" cm="1">
        <f t="array" ref="K61">_xlfn.XLOOKUP(1,('Arbonia Original'!$A$2:$A$117=K$58)*('Arbonia Original'!$B$2:$B$117=$B61),'Arbonia Original'!$N$2:$N$117,"")</f>
        <v>63.08</v>
      </c>
      <c r="L61" s="2" cm="1">
        <f t="array" ref="L61">_xlfn.XLOOKUP(1,('Arbonia Original'!$A$2:$A$117=L$58)*('Arbonia Original'!$B$2:$B$117=$B61),'Arbonia Original'!$N$2:$N$117,"")</f>
        <v>65.52</v>
      </c>
      <c r="M61" s="2" cm="1">
        <f t="array" ref="M61">_xlfn.XLOOKUP(1,('Arbonia Original'!$A$2:$A$117=M$58)*('Arbonia Original'!$B$2:$B$117=$B61),'Arbonia Original'!$N$2:$N$117,"")</f>
        <v>71.2</v>
      </c>
      <c r="N61" s="2" cm="1">
        <f t="array" ref="N61">_xlfn.XLOOKUP(1,('Arbonia Original'!$A$2:$A$117=N$58)*('Arbonia Original'!$B$2:$B$117=$B61),'Arbonia Original'!$N$2:$N$117,"")</f>
        <v>85.88</v>
      </c>
      <c r="O61" s="2" cm="1">
        <f t="array" ref="O61">_xlfn.XLOOKUP(1,('Arbonia Original'!$A$2:$A$117=O$58)*('Arbonia Original'!$B$2:$B$117=$B61),'Arbonia Original'!$N$2:$N$117,"")</f>
        <v>95.89</v>
      </c>
      <c r="P61" s="2" cm="1">
        <f t="array" ref="P61">_xlfn.XLOOKUP(1,('Arbonia Original'!$A$2:$A$117=P$58)*('Arbonia Original'!$B$2:$B$117=$B61),'Arbonia Original'!$N$2:$N$117,"")</f>
        <v>105.68</v>
      </c>
      <c r="Q61" s="2" cm="1">
        <f t="array" ref="Q61">_xlfn.XLOOKUP(1,('Arbonia Original'!$A$2:$A$117=Q$58)*('Arbonia Original'!$B$2:$B$117=$B61),'Arbonia Original'!$N$2:$N$117,"")</f>
        <v>115.62</v>
      </c>
      <c r="R61" s="2" cm="1">
        <f t="array" ref="R61">_xlfn.XLOOKUP(1,('Arbonia Original'!$A$2:$A$117=R$58)*('Arbonia Original'!$B$2:$B$117=$B61),'Arbonia Original'!$N$2:$N$117,"")</f>
        <v>145.19999999999999</v>
      </c>
      <c r="S61" s="2" cm="1">
        <f t="array" ref="S61">_xlfn.XLOOKUP(1,('Arbonia Original'!$A$2:$A$117=S$58)*('Arbonia Original'!$B$2:$B$117=$B61),'Arbonia Original'!$N$2:$N$117,"")</f>
        <v>174.68</v>
      </c>
      <c r="T61" s="2" cm="1">
        <f t="array" ref="T61">_xlfn.XLOOKUP(1,('Arbonia Original'!$A$2:$A$117=T$58)*('Arbonia Original'!$B$2:$B$117=$B61),'Arbonia Original'!$N$2:$N$117,"")</f>
        <v>194.73</v>
      </c>
      <c r="U61" s="2" cm="1">
        <f t="array" ref="U61">_xlfn.XLOOKUP(1,('Arbonia Original'!$A$2:$A$117=U$58)*('Arbonia Original'!$B$2:$B$117=$B61),'Arbonia Original'!$N$2:$N$117,"")</f>
        <v>219.63</v>
      </c>
      <c r="V61" s="2" cm="1">
        <f t="array" ref="V61">_xlfn.XLOOKUP(1,('Arbonia Original'!$A$2:$A$117=V$58)*('Arbonia Original'!$B$2:$B$117=$B61),'Arbonia Original'!$N$2:$N$117,"")</f>
        <v>244.6</v>
      </c>
      <c r="W61" s="2" cm="1">
        <f t="array" ref="W61">_xlfn.XLOOKUP(1,('Arbonia Original'!$A$2:$A$117=W$58)*('Arbonia Original'!$B$2:$B$117=$B61),'Arbonia Original'!$N$2:$N$117,"")</f>
        <v>274.70999999999998</v>
      </c>
      <c r="X61" s="2" cm="1">
        <f t="array" ref="X61">_xlfn.XLOOKUP(1,('Arbonia Original'!$A$2:$A$117=X$58)*('Arbonia Original'!$B$2:$B$117=$B61),'Arbonia Original'!$N$2:$N$117,"")</f>
        <v>294.52999999999997</v>
      </c>
    </row>
    <row r="62" spans="1:24" x14ac:dyDescent="0.2">
      <c r="B62" s="2">
        <f>B6</f>
        <v>185</v>
      </c>
      <c r="C62" s="2" cm="1">
        <f t="array" ref="C62">_xlfn.XLOOKUP(1,('Arbonia Original'!$A$2:$A$117=C$58)*('Arbonia Original'!$B$2:$B$117=$B62),'Arbonia Original'!$N$2:$N$117,"")</f>
        <v>56.78</v>
      </c>
      <c r="D62" s="2" t="str" cm="1">
        <f t="array" ref="D62">_xlfn.XLOOKUP(1,('Arbonia Original'!$A$2:$A$117=D$58)*('Arbonia Original'!$B$2:$B$117=$B62),'Arbonia Original'!$N$2:$N$117,"")</f>
        <v/>
      </c>
      <c r="E62" s="2" cm="1">
        <f t="array" ref="E62">_xlfn.XLOOKUP(1,('Arbonia Original'!$A$2:$A$117=E$58)*('Arbonia Original'!$B$2:$B$117=$B62),'Arbonia Original'!$N$2:$N$117,"")</f>
        <v>60.26</v>
      </c>
      <c r="F62" s="2" cm="1">
        <f t="array" ref="F62">_xlfn.XLOOKUP(1,('Arbonia Original'!$A$2:$A$117=F$58)*('Arbonia Original'!$B$2:$B$117=$B62),'Arbonia Original'!$N$2:$N$117,"")</f>
        <v>61.92</v>
      </c>
      <c r="G62" s="2" cm="1">
        <f t="array" ref="G62">_xlfn.XLOOKUP(1,('Arbonia Original'!$A$2:$A$117=G$58)*('Arbonia Original'!$B$2:$B$117=$B62),'Arbonia Original'!$N$2:$N$117,"")</f>
        <v>64.33</v>
      </c>
      <c r="H62" s="2" cm="1">
        <f t="array" ref="H62">_xlfn.XLOOKUP(1,('Arbonia Original'!$A$2:$A$117=H$58)*('Arbonia Original'!$B$2:$B$117=$B62),'Arbonia Original'!$N$2:$N$117,"")</f>
        <v>64.89</v>
      </c>
      <c r="I62" s="2" cm="1">
        <f t="array" ref="I62">_xlfn.XLOOKUP(1,('Arbonia Original'!$A$2:$A$117=I$58)*('Arbonia Original'!$B$2:$B$117=$B62),'Arbonia Original'!$N$2:$N$117,"")</f>
        <v>81.59</v>
      </c>
      <c r="J62" s="2" cm="1">
        <f t="array" ref="J62">_xlfn.XLOOKUP(1,('Arbonia Original'!$A$2:$A$117=J$58)*('Arbonia Original'!$B$2:$B$117=$B62),'Arbonia Original'!$N$2:$N$117,"")</f>
        <v>83.81</v>
      </c>
      <c r="K62" s="2" cm="1">
        <f t="array" ref="K62">_xlfn.XLOOKUP(1,('Arbonia Original'!$A$2:$A$117=K$58)*('Arbonia Original'!$B$2:$B$117=$B62),'Arbonia Original'!$N$2:$N$117,"")</f>
        <v>86.27</v>
      </c>
      <c r="L62" s="2" cm="1">
        <f t="array" ref="L62">_xlfn.XLOOKUP(1,('Arbonia Original'!$A$2:$A$117=L$58)*('Arbonia Original'!$B$2:$B$117=$B62),'Arbonia Original'!$N$2:$N$117,"")</f>
        <v>88.72</v>
      </c>
      <c r="M62" s="2" cm="1">
        <f t="array" ref="M62">_xlfn.XLOOKUP(1,('Arbonia Original'!$A$2:$A$117=M$58)*('Arbonia Original'!$B$2:$B$117=$B62),'Arbonia Original'!$N$2:$N$117,"")</f>
        <v>90.91</v>
      </c>
      <c r="N62" s="2" cm="1">
        <f t="array" ref="N62">_xlfn.XLOOKUP(1,('Arbonia Original'!$A$2:$A$117=N$58)*('Arbonia Original'!$B$2:$B$117=$B62),'Arbonia Original'!$N$2:$N$117,"")</f>
        <v>99.5</v>
      </c>
      <c r="O62" s="2" cm="1">
        <f t="array" ref="O62">_xlfn.XLOOKUP(1,('Arbonia Original'!$A$2:$A$117=O$58)*('Arbonia Original'!$B$2:$B$117=$B62),'Arbonia Original'!$N$2:$N$117,"")</f>
        <v>110.32</v>
      </c>
      <c r="P62" s="2" cm="1">
        <f t="array" ref="P62">_xlfn.XLOOKUP(1,('Arbonia Original'!$A$2:$A$117=P$58)*('Arbonia Original'!$B$2:$B$117=$B62),'Arbonia Original'!$N$2:$N$117,"")</f>
        <v>118.96</v>
      </c>
      <c r="Q62" s="2" cm="1">
        <f t="array" ref="Q62">_xlfn.XLOOKUP(1,('Arbonia Original'!$A$2:$A$117=Q$58)*('Arbonia Original'!$B$2:$B$117=$B62),'Arbonia Original'!$N$2:$N$117,"")</f>
        <v>131.41999999999999</v>
      </c>
      <c r="R62" s="2" cm="1">
        <f t="array" ref="R62">_xlfn.XLOOKUP(1,('Arbonia Original'!$A$2:$A$117=R$58)*('Arbonia Original'!$B$2:$B$117=$B62),'Arbonia Original'!$N$2:$N$117,"")</f>
        <v>169.67</v>
      </c>
      <c r="S62" s="2" cm="1">
        <f t="array" ref="S62">_xlfn.XLOOKUP(1,('Arbonia Original'!$A$2:$A$117=S$58)*('Arbonia Original'!$B$2:$B$117=$B62),'Arbonia Original'!$N$2:$N$117,"")</f>
        <v>207.86</v>
      </c>
      <c r="T62" s="2" cm="1">
        <f t="array" ref="T62">_xlfn.XLOOKUP(1,('Arbonia Original'!$A$2:$A$117=T$58)*('Arbonia Original'!$B$2:$B$117=$B62),'Arbonia Original'!$N$2:$N$117,"")</f>
        <v>233.53</v>
      </c>
      <c r="U62" s="2" cm="1">
        <f t="array" ref="U62">_xlfn.XLOOKUP(1,('Arbonia Original'!$A$2:$A$117=U$58)*('Arbonia Original'!$B$2:$B$117=$B62),'Arbonia Original'!$N$2:$N$117,"")</f>
        <v>265.27</v>
      </c>
      <c r="V62" s="2" cm="1">
        <f t="array" ref="V62">_xlfn.XLOOKUP(1,('Arbonia Original'!$A$2:$A$117=V$58)*('Arbonia Original'!$B$2:$B$117=$B62),'Arbonia Original'!$N$2:$N$117,"")</f>
        <v>297.23</v>
      </c>
      <c r="W62" s="2" cm="1">
        <f t="array" ref="W62">_xlfn.XLOOKUP(1,('Arbonia Original'!$A$2:$A$117=W$58)*('Arbonia Original'!$B$2:$B$117=$B62),'Arbonia Original'!$N$2:$N$117,"")</f>
        <v>335.97</v>
      </c>
      <c r="X62" s="2" cm="1">
        <f t="array" ref="X62">_xlfn.XLOOKUP(1,('Arbonia Original'!$A$2:$A$117=X$58)*('Arbonia Original'!$B$2:$B$117=$B62),'Arbonia Original'!$N$2:$N$117,"")</f>
        <v>362.08</v>
      </c>
    </row>
    <row r="63" spans="1:24" x14ac:dyDescent="0.2">
      <c r="B63" s="2">
        <f>B7</f>
        <v>225</v>
      </c>
      <c r="C63" s="2" cm="1">
        <f t="array" ref="C63">_xlfn.XLOOKUP(1,('Arbonia Original'!$A$2:$A$117=C$58)*('Arbonia Original'!$B$2:$B$117=$B63),'Arbonia Original'!$N$2:$N$117,"")</f>
        <v>68.459999999999994</v>
      </c>
      <c r="D63" s="2" t="str" cm="1">
        <f t="array" ref="D63">_xlfn.XLOOKUP(1,('Arbonia Original'!$A$2:$A$117=D$58)*('Arbonia Original'!$B$2:$B$117=$B63),'Arbonia Original'!$N$2:$N$117,"")</f>
        <v/>
      </c>
      <c r="E63" s="2" cm="1">
        <f t="array" ref="E63">_xlfn.XLOOKUP(1,('Arbonia Original'!$A$2:$A$117=E$58)*('Arbonia Original'!$B$2:$B$117=$B63),'Arbonia Original'!$N$2:$N$117,"")</f>
        <v>69.650000000000006</v>
      </c>
      <c r="F63" s="2" cm="1">
        <f t="array" ref="F63">_xlfn.XLOOKUP(1,('Arbonia Original'!$A$2:$A$117=F$58)*('Arbonia Original'!$B$2:$B$117=$B63),'Arbonia Original'!$N$2:$N$117,"")</f>
        <v>71.44</v>
      </c>
      <c r="G63" s="2" cm="1">
        <f t="array" ref="G63">_xlfn.XLOOKUP(1,('Arbonia Original'!$A$2:$A$117=G$58)*('Arbonia Original'!$B$2:$B$117=$B63),'Arbonia Original'!$N$2:$N$117,"")</f>
        <v>73.73</v>
      </c>
      <c r="H63" s="2" cm="1">
        <f t="array" ref="H63">_xlfn.XLOOKUP(1,('Arbonia Original'!$A$2:$A$117=H$58)*('Arbonia Original'!$B$2:$B$117=$B63),'Arbonia Original'!$N$2:$N$117,"")</f>
        <v>76.63</v>
      </c>
      <c r="I63" s="2" cm="1">
        <f t="array" ref="I63">_xlfn.XLOOKUP(1,('Arbonia Original'!$A$2:$A$117=I$58)*('Arbonia Original'!$B$2:$B$117=$B63),'Arbonia Original'!$N$2:$N$117,"")</f>
        <v>87.81</v>
      </c>
      <c r="J63" s="2" cm="1">
        <f t="array" ref="J63">_xlfn.XLOOKUP(1,('Arbonia Original'!$A$2:$A$117=J$58)*('Arbonia Original'!$B$2:$B$117=$B63),'Arbonia Original'!$N$2:$N$117,"")</f>
        <v>90.21</v>
      </c>
      <c r="K63" s="2" cm="1">
        <f t="array" ref="K63">_xlfn.XLOOKUP(1,('Arbonia Original'!$A$2:$A$117=K$58)*('Arbonia Original'!$B$2:$B$117=$B63),'Arbonia Original'!$N$2:$N$117,"")</f>
        <v>93.1</v>
      </c>
      <c r="L63" s="2" cm="1">
        <f t="array" ref="L63">_xlfn.XLOOKUP(1,('Arbonia Original'!$A$2:$A$117=L$58)*('Arbonia Original'!$B$2:$B$117=$B63),'Arbonia Original'!$N$2:$N$117,"")</f>
        <v>95.02</v>
      </c>
      <c r="M63" s="2" cm="1">
        <f t="array" ref="M63">_xlfn.XLOOKUP(1,('Arbonia Original'!$A$2:$A$117=M$58)*('Arbonia Original'!$B$2:$B$117=$B63),'Arbonia Original'!$N$2:$N$117,"")</f>
        <v>107.62</v>
      </c>
      <c r="N63" s="2" cm="1">
        <f t="array" ref="N63">_xlfn.XLOOKUP(1,('Arbonia Original'!$A$2:$A$117=N$58)*('Arbonia Original'!$B$2:$B$117=$B63),'Arbonia Original'!$N$2:$N$117,"")</f>
        <v>110.48</v>
      </c>
      <c r="O63" s="2" cm="1">
        <f t="array" ref="O63">_xlfn.XLOOKUP(1,('Arbonia Original'!$A$2:$A$117=O$58)*('Arbonia Original'!$B$2:$B$117=$B63),'Arbonia Original'!$N$2:$N$117,"")</f>
        <v>125.37</v>
      </c>
      <c r="P63" s="2" cm="1">
        <f t="array" ref="P63">_xlfn.XLOOKUP(1,('Arbonia Original'!$A$2:$A$117=P$58)*('Arbonia Original'!$B$2:$B$117=$B63),'Arbonia Original'!$N$2:$N$117,"")</f>
        <v>140.69</v>
      </c>
      <c r="Q63" s="2" cm="1">
        <f t="array" ref="Q63">_xlfn.XLOOKUP(1,('Arbonia Original'!$A$2:$A$117=Q$58)*('Arbonia Original'!$B$2:$B$117=$B63),'Arbonia Original'!$N$2:$N$117,"")</f>
        <v>156.03</v>
      </c>
      <c r="R63" s="2" cm="1">
        <f t="array" ref="R63">_xlfn.XLOOKUP(1,('Arbonia Original'!$A$2:$A$117=R$58)*('Arbonia Original'!$B$2:$B$117=$B63),'Arbonia Original'!$N$2:$N$117,"")</f>
        <v>201.71</v>
      </c>
      <c r="S63" s="2" cm="1">
        <f t="array" ref="S63">_xlfn.XLOOKUP(1,('Arbonia Original'!$A$2:$A$117=S$58)*('Arbonia Original'!$B$2:$B$117=$B63),'Arbonia Original'!$N$2:$N$117,"")</f>
        <v>247.57</v>
      </c>
      <c r="T63" s="2" cm="1">
        <f t="array" ref="T63">_xlfn.XLOOKUP(1,('Arbonia Original'!$A$2:$A$117=T$58)*('Arbonia Original'!$B$2:$B$117=$B63),'Arbonia Original'!$N$2:$N$117,"")</f>
        <v>278.45</v>
      </c>
      <c r="U63" s="2" cm="1">
        <f t="array" ref="U63">_xlfn.XLOOKUP(1,('Arbonia Original'!$A$2:$A$117=U$58)*('Arbonia Original'!$B$2:$B$117=$B63),'Arbonia Original'!$N$2:$N$117,"")</f>
        <v>317.04000000000002</v>
      </c>
      <c r="V63" s="2" cm="1">
        <f t="array" ref="V63">_xlfn.XLOOKUP(1,('Arbonia Original'!$A$2:$A$117=V$58)*('Arbonia Original'!$B$2:$B$117=$B63),'Arbonia Original'!$N$2:$N$117,"")</f>
        <v>355.56</v>
      </c>
      <c r="W63" s="2" cm="1">
        <f t="array" ref="W63">_xlfn.XLOOKUP(1,('Arbonia Original'!$A$2:$A$117=W$58)*('Arbonia Original'!$B$2:$B$117=$B63),'Arbonia Original'!$N$2:$N$117,"")</f>
        <v>401.87</v>
      </c>
      <c r="X63" s="2" cm="1">
        <f t="array" ref="X63">_xlfn.XLOOKUP(1,('Arbonia Original'!$A$2:$A$117=X$58)*('Arbonia Original'!$B$2:$B$117=$B63),'Arbonia Original'!$N$2:$N$117,"")</f>
        <v>432.94</v>
      </c>
    </row>
    <row r="64" spans="1:24" x14ac:dyDescent="0.2">
      <c r="C64" s="8"/>
      <c r="D64" s="8"/>
      <c r="E64" s="8"/>
      <c r="F64" s="8"/>
      <c r="G64" s="8"/>
      <c r="H64" s="8"/>
      <c r="I64" s="8"/>
      <c r="J64" s="8"/>
      <c r="K64" s="8"/>
      <c r="L64" s="8"/>
      <c r="M64" s="8"/>
      <c r="N64" s="8"/>
      <c r="O64" s="8"/>
      <c r="P64"/>
      <c r="Q64"/>
      <c r="R64"/>
      <c r="S64"/>
      <c r="T64"/>
      <c r="U64"/>
      <c r="V64"/>
    </row>
    <row r="65" spans="1:24" ht="13.5" x14ac:dyDescent="0.25">
      <c r="A65" s="57" t="s">
        <v>162</v>
      </c>
      <c r="C65" s="4" t="s">
        <v>2</v>
      </c>
      <c r="P65"/>
      <c r="Q65"/>
      <c r="R65"/>
      <c r="S65"/>
      <c r="T65"/>
      <c r="U65"/>
      <c r="V65"/>
    </row>
    <row r="66" spans="1:24" x14ac:dyDescent="0.2">
      <c r="A66" s="57"/>
      <c r="C66" s="5">
        <f t="shared" ref="C66:X66" si="7">C$2</f>
        <v>180</v>
      </c>
      <c r="D66" s="5">
        <f t="shared" si="7"/>
        <v>190</v>
      </c>
      <c r="E66" s="5">
        <f t="shared" si="7"/>
        <v>260</v>
      </c>
      <c r="F66" s="5">
        <f t="shared" si="7"/>
        <v>300</v>
      </c>
      <c r="G66" s="5">
        <f t="shared" si="7"/>
        <v>350</v>
      </c>
      <c r="H66" s="5">
        <f t="shared" si="7"/>
        <v>400</v>
      </c>
      <c r="I66" s="5">
        <f t="shared" si="7"/>
        <v>450</v>
      </c>
      <c r="J66" s="5">
        <f t="shared" si="7"/>
        <v>500</v>
      </c>
      <c r="K66" s="5">
        <f t="shared" si="7"/>
        <v>550</v>
      </c>
      <c r="L66" s="5">
        <f t="shared" si="7"/>
        <v>600</v>
      </c>
      <c r="M66" s="5">
        <f t="shared" si="7"/>
        <v>750</v>
      </c>
      <c r="N66" s="5">
        <f t="shared" si="7"/>
        <v>900</v>
      </c>
      <c r="O66" s="5">
        <f t="shared" si="7"/>
        <v>1000</v>
      </c>
      <c r="P66" s="5">
        <f t="shared" si="7"/>
        <v>1100</v>
      </c>
      <c r="Q66" s="5">
        <f t="shared" si="7"/>
        <v>1200</v>
      </c>
      <c r="R66" s="5">
        <f t="shared" si="7"/>
        <v>1500</v>
      </c>
      <c r="S66" s="5">
        <f t="shared" si="7"/>
        <v>1800</v>
      </c>
      <c r="T66" s="5">
        <f t="shared" si="7"/>
        <v>2000</v>
      </c>
      <c r="U66" s="5">
        <f t="shared" si="7"/>
        <v>2200</v>
      </c>
      <c r="V66" s="5">
        <f t="shared" si="7"/>
        <v>2500</v>
      </c>
      <c r="W66" s="5">
        <f t="shared" si="7"/>
        <v>2800</v>
      </c>
      <c r="X66" s="5">
        <f t="shared" si="7"/>
        <v>3000</v>
      </c>
    </row>
    <row r="67" spans="1:24" ht="13.5" x14ac:dyDescent="0.25">
      <c r="A67" s="4" t="s">
        <v>3</v>
      </c>
      <c r="B67" s="2">
        <f>B3</f>
        <v>65</v>
      </c>
      <c r="C67" s="2" t="str" cm="1">
        <f t="array" ref="C67">_xlfn.XLOOKUP(1,('Arbonia Original'!$A$2:$A$117=C$66)*('Arbonia Original'!$B$2:$B$117=$B67),'Arbonia Original'!$C$2:$C$117,"")</f>
        <v/>
      </c>
      <c r="D67" s="2" cm="1">
        <f t="array" ref="D67">_xlfn.XLOOKUP(1,('Arbonia Original'!$A$2:$A$117=D$66)*('Arbonia Original'!$B$2:$B$117=$B67),'Arbonia Original'!$C$2:$C$117,"")</f>
        <v>2019</v>
      </c>
      <c r="E67" s="2" cm="1">
        <f t="array" ref="E67">_xlfn.XLOOKUP(1,('Arbonia Original'!$A$2:$A$117=E$66)*('Arbonia Original'!$B$2:$B$117=$B67),'Arbonia Original'!$C$2:$C$117,"")</f>
        <v>2026</v>
      </c>
      <c r="F67" s="2" cm="1">
        <f t="array" ref="F67">_xlfn.XLOOKUP(1,('Arbonia Original'!$A$2:$A$117=F$66)*('Arbonia Original'!$B$2:$B$117=$B67),'Arbonia Original'!$C$2:$C$117,"")</f>
        <v>2030</v>
      </c>
      <c r="G67" s="2" cm="1">
        <f t="array" ref="G67">_xlfn.XLOOKUP(1,('Arbonia Original'!$A$2:$A$117=G$66)*('Arbonia Original'!$B$2:$B$117=$B67),'Arbonia Original'!$C$2:$C$117,"")</f>
        <v>2035</v>
      </c>
      <c r="H67" s="2" cm="1">
        <f t="array" ref="H67">_xlfn.XLOOKUP(1,('Arbonia Original'!$A$2:$A$117=H$66)*('Arbonia Original'!$B$2:$B$117=$B67),'Arbonia Original'!$C$2:$C$117,"")</f>
        <v>2040</v>
      </c>
      <c r="I67" s="2" cm="1">
        <f t="array" ref="I67">_xlfn.XLOOKUP(1,('Arbonia Original'!$A$2:$A$117=I$66)*('Arbonia Original'!$B$2:$B$117=$B67),'Arbonia Original'!$C$2:$C$117,"")</f>
        <v>2045</v>
      </c>
      <c r="J67" s="2" cm="1">
        <f t="array" ref="J67">_xlfn.XLOOKUP(1,('Arbonia Original'!$A$2:$A$117=J$66)*('Arbonia Original'!$B$2:$B$117=$B67),'Arbonia Original'!$C$2:$C$117,"")</f>
        <v>2050</v>
      </c>
      <c r="K67" s="2" cm="1">
        <f t="array" ref="K67">_xlfn.XLOOKUP(1,('Arbonia Original'!$A$2:$A$117=K$66)*('Arbonia Original'!$B$2:$B$117=$B67),'Arbonia Original'!$C$2:$C$117,"")</f>
        <v>2055</v>
      </c>
      <c r="L67" s="2" cm="1">
        <f t="array" ref="L67">_xlfn.XLOOKUP(1,('Arbonia Original'!$A$2:$A$117=L$66)*('Arbonia Original'!$B$2:$B$117=$B67),'Arbonia Original'!$C$2:$C$117,"")</f>
        <v>2060</v>
      </c>
      <c r="M67" s="2" cm="1">
        <f t="array" ref="M67">_xlfn.XLOOKUP(1,('Arbonia Original'!$A$2:$A$117=M$66)*('Arbonia Original'!$B$2:$B$117=$B67),'Arbonia Original'!$C$2:$C$117,"")</f>
        <v>2075</v>
      </c>
      <c r="N67" s="2" cm="1">
        <f t="array" ref="N67">_xlfn.XLOOKUP(1,('Arbonia Original'!$A$2:$A$117=N$66)*('Arbonia Original'!$B$2:$B$117=$B67),'Arbonia Original'!$C$2:$C$117,"")</f>
        <v>2090</v>
      </c>
      <c r="O67" s="2" cm="1">
        <f t="array" ref="O67">_xlfn.XLOOKUP(1,('Arbonia Original'!$A$2:$A$117=O$66)*('Arbonia Original'!$B$2:$B$117=$B67),'Arbonia Original'!$C$2:$C$117,"")</f>
        <v>2100</v>
      </c>
      <c r="P67" s="2" cm="1">
        <f t="array" ref="P67">_xlfn.XLOOKUP(1,('Arbonia Original'!$A$2:$A$117=P$66)*('Arbonia Original'!$B$2:$B$117=$B67),'Arbonia Original'!$C$2:$C$117,"")</f>
        <v>2110</v>
      </c>
      <c r="Q67" s="2" cm="1">
        <f t="array" ref="Q67">_xlfn.XLOOKUP(1,('Arbonia Original'!$A$2:$A$117=Q$66)*('Arbonia Original'!$B$2:$B$117=$B67),'Arbonia Original'!$C$2:$C$117,"")</f>
        <v>2120</v>
      </c>
      <c r="R67" s="2" cm="1">
        <f t="array" ref="R67">_xlfn.XLOOKUP(1,('Arbonia Original'!$A$2:$A$117=R$66)*('Arbonia Original'!$B$2:$B$117=$B67),'Arbonia Original'!$C$2:$C$117,"")</f>
        <v>2150</v>
      </c>
      <c r="S67" s="2" cm="1">
        <f t="array" ref="S67">_xlfn.XLOOKUP(1,('Arbonia Original'!$A$2:$A$117=S$66)*('Arbonia Original'!$B$2:$B$117=$B67),'Arbonia Original'!$C$2:$C$117,"")</f>
        <v>2180</v>
      </c>
      <c r="T67" s="2" cm="1">
        <f t="array" ref="T67">_xlfn.XLOOKUP(1,('Arbonia Original'!$A$2:$A$117=T$66)*('Arbonia Original'!$B$2:$B$117=$B67),'Arbonia Original'!$C$2:$C$117,"")</f>
        <v>2200</v>
      </c>
      <c r="U67" s="2" cm="1">
        <f t="array" ref="U67">_xlfn.XLOOKUP(1,('Arbonia Original'!$A$2:$A$117=U$66)*('Arbonia Original'!$B$2:$B$117=$B67),'Arbonia Original'!$C$2:$C$117,"")</f>
        <v>2220</v>
      </c>
      <c r="V67" s="2" cm="1">
        <f t="array" ref="V67">_xlfn.XLOOKUP(1,('Arbonia Original'!$A$2:$A$117=V$66)*('Arbonia Original'!$B$2:$B$117=$B67),'Arbonia Original'!$C$2:$C$117,"")</f>
        <v>2250</v>
      </c>
      <c r="W67" s="2" cm="1">
        <f t="array" ref="W67">_xlfn.XLOOKUP(1,('Arbonia Original'!$A$2:$A$117=W$66)*('Arbonia Original'!$B$2:$B$117=$B67),'Arbonia Original'!$C$2:$C$117,"")</f>
        <v>2280</v>
      </c>
      <c r="X67" s="2" cm="1">
        <f t="array" ref="X67">_xlfn.XLOOKUP(1,('Arbonia Original'!$A$2:$A$117=X$66)*('Arbonia Original'!$B$2:$B$117=$B67),'Arbonia Original'!$C$2:$C$117,"")</f>
        <v>2300</v>
      </c>
    </row>
    <row r="68" spans="1:24" x14ac:dyDescent="0.2">
      <c r="B68" s="2">
        <f>B4</f>
        <v>105</v>
      </c>
      <c r="C68" s="2" t="str" cm="1">
        <f t="array" ref="C68">_xlfn.XLOOKUP(1,('Arbonia Original'!$A$2:$A$117=C$66)*('Arbonia Original'!$B$2:$B$117=$B68),'Arbonia Original'!$C$2:$C$117,"")</f>
        <v/>
      </c>
      <c r="D68" s="2" cm="1">
        <f t="array" ref="D68">_xlfn.XLOOKUP(1,('Arbonia Original'!$A$2:$A$117=D$66)*('Arbonia Original'!$B$2:$B$117=$B68),'Arbonia Original'!$C$2:$C$117,"")</f>
        <v>3019</v>
      </c>
      <c r="E68" s="2" cm="1">
        <f t="array" ref="E68">_xlfn.XLOOKUP(1,('Arbonia Original'!$A$2:$A$117=E$66)*('Arbonia Original'!$B$2:$B$117=$B68),'Arbonia Original'!$C$2:$C$117,"")</f>
        <v>3026</v>
      </c>
      <c r="F68" s="2" cm="1">
        <f t="array" ref="F68">_xlfn.XLOOKUP(1,('Arbonia Original'!$A$2:$A$117=F$66)*('Arbonia Original'!$B$2:$B$117=$B68),'Arbonia Original'!$C$2:$C$117,"")</f>
        <v>3030</v>
      </c>
      <c r="G68" s="2" cm="1">
        <f t="array" ref="G68">_xlfn.XLOOKUP(1,('Arbonia Original'!$A$2:$A$117=G$66)*('Arbonia Original'!$B$2:$B$117=$B68),'Arbonia Original'!$C$2:$C$117,"")</f>
        <v>3035</v>
      </c>
      <c r="H68" s="2" cm="1">
        <f t="array" ref="H68">_xlfn.XLOOKUP(1,('Arbonia Original'!$A$2:$A$117=H$66)*('Arbonia Original'!$B$2:$B$117=$B68),'Arbonia Original'!$C$2:$C$117,"")</f>
        <v>3040</v>
      </c>
      <c r="I68" s="2" cm="1">
        <f t="array" ref="I68">_xlfn.XLOOKUP(1,('Arbonia Original'!$A$2:$A$117=I$66)*('Arbonia Original'!$B$2:$B$117=$B68),'Arbonia Original'!$C$2:$C$117,"")</f>
        <v>3045</v>
      </c>
      <c r="J68" s="2" cm="1">
        <f t="array" ref="J68">_xlfn.XLOOKUP(1,('Arbonia Original'!$A$2:$A$117=J$66)*('Arbonia Original'!$B$2:$B$117=$B68),'Arbonia Original'!$C$2:$C$117,"")</f>
        <v>3050</v>
      </c>
      <c r="K68" s="2" cm="1">
        <f t="array" ref="K68">_xlfn.XLOOKUP(1,('Arbonia Original'!$A$2:$A$117=K$66)*('Arbonia Original'!$B$2:$B$117=$B68),'Arbonia Original'!$C$2:$C$117,"")</f>
        <v>3055</v>
      </c>
      <c r="L68" s="2" cm="1">
        <f t="array" ref="L68">_xlfn.XLOOKUP(1,('Arbonia Original'!$A$2:$A$117=L$66)*('Arbonia Original'!$B$2:$B$117=$B68),'Arbonia Original'!$C$2:$C$117,"")</f>
        <v>3060</v>
      </c>
      <c r="M68" s="2" cm="1">
        <f t="array" ref="M68">_xlfn.XLOOKUP(1,('Arbonia Original'!$A$2:$A$117=M$66)*('Arbonia Original'!$B$2:$B$117=$B68),'Arbonia Original'!$C$2:$C$117,"")</f>
        <v>3075</v>
      </c>
      <c r="N68" s="2" cm="1">
        <f t="array" ref="N68">_xlfn.XLOOKUP(1,('Arbonia Original'!$A$2:$A$117=N$66)*('Arbonia Original'!$B$2:$B$117=$B68),'Arbonia Original'!$C$2:$C$117,"")</f>
        <v>3090</v>
      </c>
      <c r="O68" s="2" cm="1">
        <f t="array" ref="O68">_xlfn.XLOOKUP(1,('Arbonia Original'!$A$2:$A$117=O$66)*('Arbonia Original'!$B$2:$B$117=$B68),'Arbonia Original'!$C$2:$C$117,"")</f>
        <v>3100</v>
      </c>
      <c r="P68" s="2" cm="1">
        <f t="array" ref="P68">_xlfn.XLOOKUP(1,('Arbonia Original'!$A$2:$A$117=P$66)*('Arbonia Original'!$B$2:$B$117=$B68),'Arbonia Original'!$C$2:$C$117,"")</f>
        <v>3110</v>
      </c>
      <c r="Q68" s="2" cm="1">
        <f t="array" ref="Q68">_xlfn.XLOOKUP(1,('Arbonia Original'!$A$2:$A$117=Q$66)*('Arbonia Original'!$B$2:$B$117=$B68),'Arbonia Original'!$C$2:$C$117,"")</f>
        <v>3120</v>
      </c>
      <c r="R68" s="2" cm="1">
        <f t="array" ref="R68">_xlfn.XLOOKUP(1,('Arbonia Original'!$A$2:$A$117=R$66)*('Arbonia Original'!$B$2:$B$117=$B68),'Arbonia Original'!$C$2:$C$117,"")</f>
        <v>3150</v>
      </c>
      <c r="S68" s="2" cm="1">
        <f t="array" ref="S68">_xlfn.XLOOKUP(1,('Arbonia Original'!$A$2:$A$117=S$66)*('Arbonia Original'!$B$2:$B$117=$B68),'Arbonia Original'!$C$2:$C$117,"")</f>
        <v>3180</v>
      </c>
      <c r="T68" s="2" cm="1">
        <f t="array" ref="T68">_xlfn.XLOOKUP(1,('Arbonia Original'!$A$2:$A$117=T$66)*('Arbonia Original'!$B$2:$B$117=$B68),'Arbonia Original'!$C$2:$C$117,"")</f>
        <v>3200</v>
      </c>
      <c r="U68" s="2" cm="1">
        <f t="array" ref="U68">_xlfn.XLOOKUP(1,('Arbonia Original'!$A$2:$A$117=U$66)*('Arbonia Original'!$B$2:$B$117=$B68),'Arbonia Original'!$C$2:$C$117,"")</f>
        <v>3220</v>
      </c>
      <c r="V68" s="2" cm="1">
        <f t="array" ref="V68">_xlfn.XLOOKUP(1,('Arbonia Original'!$A$2:$A$117=V$66)*('Arbonia Original'!$B$2:$B$117=$B68),'Arbonia Original'!$C$2:$C$117,"")</f>
        <v>3250</v>
      </c>
      <c r="W68" s="2" cm="1">
        <f t="array" ref="W68">_xlfn.XLOOKUP(1,('Arbonia Original'!$A$2:$A$117=W$66)*('Arbonia Original'!$B$2:$B$117=$B68),'Arbonia Original'!$C$2:$C$117,"")</f>
        <v>3280</v>
      </c>
      <c r="X68" s="2" cm="1">
        <f t="array" ref="X68">_xlfn.XLOOKUP(1,('Arbonia Original'!$A$2:$A$117=X$66)*('Arbonia Original'!$B$2:$B$117=$B68),'Arbonia Original'!$C$2:$C$117,"")</f>
        <v>3300</v>
      </c>
    </row>
    <row r="69" spans="1:24" x14ac:dyDescent="0.2">
      <c r="B69" s="2">
        <f>B5</f>
        <v>145</v>
      </c>
      <c r="C69" s="2" t="str" cm="1">
        <f t="array" ref="C69">_xlfn.XLOOKUP(1,('Arbonia Original'!$A$2:$A$117=C$66)*('Arbonia Original'!$B$2:$B$117=$B69),'Arbonia Original'!$C$2:$C$117,"")</f>
        <v/>
      </c>
      <c r="D69" s="2" cm="1">
        <f t="array" ref="D69">_xlfn.XLOOKUP(1,('Arbonia Original'!$A$2:$A$117=D$66)*('Arbonia Original'!$B$2:$B$117=$B69),'Arbonia Original'!$C$2:$C$117,"")</f>
        <v>4019</v>
      </c>
      <c r="E69" s="2" cm="1">
        <f t="array" ref="E69">_xlfn.XLOOKUP(1,('Arbonia Original'!$A$2:$A$117=E$66)*('Arbonia Original'!$B$2:$B$117=$B69),'Arbonia Original'!$C$2:$C$117,"")</f>
        <v>4026</v>
      </c>
      <c r="F69" s="2" cm="1">
        <f t="array" ref="F69">_xlfn.XLOOKUP(1,('Arbonia Original'!$A$2:$A$117=F$66)*('Arbonia Original'!$B$2:$B$117=$B69),'Arbonia Original'!$C$2:$C$117,"")</f>
        <v>4030</v>
      </c>
      <c r="G69" s="2" cm="1">
        <f t="array" ref="G69">_xlfn.XLOOKUP(1,('Arbonia Original'!$A$2:$A$117=G$66)*('Arbonia Original'!$B$2:$B$117=$B69),'Arbonia Original'!$C$2:$C$117,"")</f>
        <v>4035</v>
      </c>
      <c r="H69" s="2" cm="1">
        <f t="array" ref="H69">_xlfn.XLOOKUP(1,('Arbonia Original'!$A$2:$A$117=H$66)*('Arbonia Original'!$B$2:$B$117=$B69),'Arbonia Original'!$C$2:$C$117,"")</f>
        <v>4040</v>
      </c>
      <c r="I69" s="2" cm="1">
        <f t="array" ref="I69">_xlfn.XLOOKUP(1,('Arbonia Original'!$A$2:$A$117=I$66)*('Arbonia Original'!$B$2:$B$117=$B69),'Arbonia Original'!$C$2:$C$117,"")</f>
        <v>4045</v>
      </c>
      <c r="J69" s="2" cm="1">
        <f t="array" ref="J69">_xlfn.XLOOKUP(1,('Arbonia Original'!$A$2:$A$117=J$66)*('Arbonia Original'!$B$2:$B$117=$B69),'Arbonia Original'!$C$2:$C$117,"")</f>
        <v>4050</v>
      </c>
      <c r="K69" s="2" cm="1">
        <f t="array" ref="K69">_xlfn.XLOOKUP(1,('Arbonia Original'!$A$2:$A$117=K$66)*('Arbonia Original'!$B$2:$B$117=$B69),'Arbonia Original'!$C$2:$C$117,"")</f>
        <v>4055</v>
      </c>
      <c r="L69" s="2" cm="1">
        <f t="array" ref="L69">_xlfn.XLOOKUP(1,('Arbonia Original'!$A$2:$A$117=L$66)*('Arbonia Original'!$B$2:$B$117=$B69),'Arbonia Original'!$C$2:$C$117,"")</f>
        <v>4060</v>
      </c>
      <c r="M69" s="2" cm="1">
        <f t="array" ref="M69">_xlfn.XLOOKUP(1,('Arbonia Original'!$A$2:$A$117=M$66)*('Arbonia Original'!$B$2:$B$117=$B69),'Arbonia Original'!$C$2:$C$117,"")</f>
        <v>4075</v>
      </c>
      <c r="N69" s="2" cm="1">
        <f t="array" ref="N69">_xlfn.XLOOKUP(1,('Arbonia Original'!$A$2:$A$117=N$66)*('Arbonia Original'!$B$2:$B$117=$B69),'Arbonia Original'!$C$2:$C$117,"")</f>
        <v>4090</v>
      </c>
      <c r="O69" s="2" cm="1">
        <f t="array" ref="O69">_xlfn.XLOOKUP(1,('Arbonia Original'!$A$2:$A$117=O$66)*('Arbonia Original'!$B$2:$B$117=$B69),'Arbonia Original'!$C$2:$C$117,"")</f>
        <v>4100</v>
      </c>
      <c r="P69" s="2" cm="1">
        <f t="array" ref="P69">_xlfn.XLOOKUP(1,('Arbonia Original'!$A$2:$A$117=P$66)*('Arbonia Original'!$B$2:$B$117=$B69),'Arbonia Original'!$C$2:$C$117,"")</f>
        <v>4110</v>
      </c>
      <c r="Q69" s="2" cm="1">
        <f t="array" ref="Q69">_xlfn.XLOOKUP(1,('Arbonia Original'!$A$2:$A$117=Q$66)*('Arbonia Original'!$B$2:$B$117=$B69),'Arbonia Original'!$C$2:$C$117,"")</f>
        <v>4120</v>
      </c>
      <c r="R69" s="2" cm="1">
        <f t="array" ref="R69">_xlfn.XLOOKUP(1,('Arbonia Original'!$A$2:$A$117=R$66)*('Arbonia Original'!$B$2:$B$117=$B69),'Arbonia Original'!$C$2:$C$117,"")</f>
        <v>4150</v>
      </c>
      <c r="S69" s="2" cm="1">
        <f t="array" ref="S69">_xlfn.XLOOKUP(1,('Arbonia Original'!$A$2:$A$117=S$66)*('Arbonia Original'!$B$2:$B$117=$B69),'Arbonia Original'!$C$2:$C$117,"")</f>
        <v>4180</v>
      </c>
      <c r="T69" s="2" cm="1">
        <f t="array" ref="T69">_xlfn.XLOOKUP(1,('Arbonia Original'!$A$2:$A$117=T$66)*('Arbonia Original'!$B$2:$B$117=$B69),'Arbonia Original'!$C$2:$C$117,"")</f>
        <v>4200</v>
      </c>
      <c r="U69" s="2" cm="1">
        <f t="array" ref="U69">_xlfn.XLOOKUP(1,('Arbonia Original'!$A$2:$A$117=U$66)*('Arbonia Original'!$B$2:$B$117=$B69),'Arbonia Original'!$C$2:$C$117,"")</f>
        <v>4220</v>
      </c>
      <c r="V69" s="2" cm="1">
        <f t="array" ref="V69">_xlfn.XLOOKUP(1,('Arbonia Original'!$A$2:$A$117=V$66)*('Arbonia Original'!$B$2:$B$117=$B69),'Arbonia Original'!$C$2:$C$117,"")</f>
        <v>4250</v>
      </c>
      <c r="W69" s="2" cm="1">
        <f t="array" ref="W69">_xlfn.XLOOKUP(1,('Arbonia Original'!$A$2:$A$117=W$66)*('Arbonia Original'!$B$2:$B$117=$B69),'Arbonia Original'!$C$2:$C$117,"")</f>
        <v>4280</v>
      </c>
      <c r="X69" s="2" cm="1">
        <f t="array" ref="X69">_xlfn.XLOOKUP(1,('Arbonia Original'!$A$2:$A$117=X$66)*('Arbonia Original'!$B$2:$B$117=$B69),'Arbonia Original'!$C$2:$C$117,"")</f>
        <v>4300</v>
      </c>
    </row>
    <row r="70" spans="1:24" x14ac:dyDescent="0.2">
      <c r="B70" s="2">
        <f>B6</f>
        <v>185</v>
      </c>
      <c r="C70" s="2" cm="1">
        <f t="array" ref="C70">_xlfn.XLOOKUP(1,('Arbonia Original'!$A$2:$A$117=C$66)*('Arbonia Original'!$B$2:$B$117=$B70),'Arbonia Original'!$C$2:$C$117,"")</f>
        <v>5018</v>
      </c>
      <c r="D70" s="2" t="str" cm="1">
        <f t="array" ref="D70">_xlfn.XLOOKUP(1,('Arbonia Original'!$A$2:$A$117=D$66)*('Arbonia Original'!$B$2:$B$117=$B70),'Arbonia Original'!$C$2:$C$117,"")</f>
        <v/>
      </c>
      <c r="E70" s="2" cm="1">
        <f t="array" ref="E70">_xlfn.XLOOKUP(1,('Arbonia Original'!$A$2:$A$117=E$66)*('Arbonia Original'!$B$2:$B$117=$B70),'Arbonia Original'!$C$2:$C$117,"")</f>
        <v>5026</v>
      </c>
      <c r="F70" s="2" cm="1">
        <f t="array" ref="F70">_xlfn.XLOOKUP(1,('Arbonia Original'!$A$2:$A$117=F$66)*('Arbonia Original'!$B$2:$B$117=$B70),'Arbonia Original'!$C$2:$C$117,"")</f>
        <v>5030</v>
      </c>
      <c r="G70" s="2" cm="1">
        <f t="array" ref="G70">_xlfn.XLOOKUP(1,('Arbonia Original'!$A$2:$A$117=G$66)*('Arbonia Original'!$B$2:$B$117=$B70),'Arbonia Original'!$C$2:$C$117,"")</f>
        <v>5035</v>
      </c>
      <c r="H70" s="2" cm="1">
        <f t="array" ref="H70">_xlfn.XLOOKUP(1,('Arbonia Original'!$A$2:$A$117=H$66)*('Arbonia Original'!$B$2:$B$117=$B70),'Arbonia Original'!$C$2:$C$117,"")</f>
        <v>5040</v>
      </c>
      <c r="I70" s="2" cm="1">
        <f t="array" ref="I70">_xlfn.XLOOKUP(1,('Arbonia Original'!$A$2:$A$117=I$66)*('Arbonia Original'!$B$2:$B$117=$B70),'Arbonia Original'!$C$2:$C$117,"")</f>
        <v>5045</v>
      </c>
      <c r="J70" s="2" cm="1">
        <f t="array" ref="J70">_xlfn.XLOOKUP(1,('Arbonia Original'!$A$2:$A$117=J$66)*('Arbonia Original'!$B$2:$B$117=$B70),'Arbonia Original'!$C$2:$C$117,"")</f>
        <v>5050</v>
      </c>
      <c r="K70" s="2" cm="1">
        <f t="array" ref="K70">_xlfn.XLOOKUP(1,('Arbonia Original'!$A$2:$A$117=K$66)*('Arbonia Original'!$B$2:$B$117=$B70),'Arbonia Original'!$C$2:$C$117,"")</f>
        <v>5055</v>
      </c>
      <c r="L70" s="2" cm="1">
        <f t="array" ref="L70">_xlfn.XLOOKUP(1,('Arbonia Original'!$A$2:$A$117=L$66)*('Arbonia Original'!$B$2:$B$117=$B70),'Arbonia Original'!$C$2:$C$117,"")</f>
        <v>5060</v>
      </c>
      <c r="M70" s="2" cm="1">
        <f t="array" ref="M70">_xlfn.XLOOKUP(1,('Arbonia Original'!$A$2:$A$117=M$66)*('Arbonia Original'!$B$2:$B$117=$B70),'Arbonia Original'!$C$2:$C$117,"")</f>
        <v>5075</v>
      </c>
      <c r="N70" s="2" cm="1">
        <f t="array" ref="N70">_xlfn.XLOOKUP(1,('Arbonia Original'!$A$2:$A$117=N$66)*('Arbonia Original'!$B$2:$B$117=$B70),'Arbonia Original'!$C$2:$C$117,"")</f>
        <v>5090</v>
      </c>
      <c r="O70" s="2" cm="1">
        <f t="array" ref="O70">_xlfn.XLOOKUP(1,('Arbonia Original'!$A$2:$A$117=O$66)*('Arbonia Original'!$B$2:$B$117=$B70),'Arbonia Original'!$C$2:$C$117,"")</f>
        <v>5100</v>
      </c>
      <c r="P70" s="2" cm="1">
        <f t="array" ref="P70">_xlfn.XLOOKUP(1,('Arbonia Original'!$A$2:$A$117=P$66)*('Arbonia Original'!$B$2:$B$117=$B70),'Arbonia Original'!$C$2:$C$117,"")</f>
        <v>5110</v>
      </c>
      <c r="Q70" s="2" cm="1">
        <f t="array" ref="Q70">_xlfn.XLOOKUP(1,('Arbonia Original'!$A$2:$A$117=Q$66)*('Arbonia Original'!$B$2:$B$117=$B70),'Arbonia Original'!$C$2:$C$117,"")</f>
        <v>5120</v>
      </c>
      <c r="R70" s="2" cm="1">
        <f t="array" ref="R70">_xlfn.XLOOKUP(1,('Arbonia Original'!$A$2:$A$117=R$66)*('Arbonia Original'!$B$2:$B$117=$B70),'Arbonia Original'!$C$2:$C$117,"")</f>
        <v>5150</v>
      </c>
      <c r="S70" s="2" cm="1">
        <f t="array" ref="S70">_xlfn.XLOOKUP(1,('Arbonia Original'!$A$2:$A$117=S$66)*('Arbonia Original'!$B$2:$B$117=$B70),'Arbonia Original'!$C$2:$C$117,"")</f>
        <v>5180</v>
      </c>
      <c r="T70" s="2" cm="1">
        <f t="array" ref="T70">_xlfn.XLOOKUP(1,('Arbonia Original'!$A$2:$A$117=T$66)*('Arbonia Original'!$B$2:$B$117=$B70),'Arbonia Original'!$C$2:$C$117,"")</f>
        <v>5200</v>
      </c>
      <c r="U70" s="2" cm="1">
        <f t="array" ref="U70">_xlfn.XLOOKUP(1,('Arbonia Original'!$A$2:$A$117=U$66)*('Arbonia Original'!$B$2:$B$117=$B70),'Arbonia Original'!$C$2:$C$117,"")</f>
        <v>5220</v>
      </c>
      <c r="V70" s="2" cm="1">
        <f t="array" ref="V70">_xlfn.XLOOKUP(1,('Arbonia Original'!$A$2:$A$117=V$66)*('Arbonia Original'!$B$2:$B$117=$B70),'Arbonia Original'!$C$2:$C$117,"")</f>
        <v>5250</v>
      </c>
      <c r="W70" s="2" cm="1">
        <f t="array" ref="W70">_xlfn.XLOOKUP(1,('Arbonia Original'!$A$2:$A$117=W$66)*('Arbonia Original'!$B$2:$B$117=$B70),'Arbonia Original'!$C$2:$C$117,"")</f>
        <v>5280</v>
      </c>
      <c r="X70" s="2" cm="1">
        <f t="array" ref="X70">_xlfn.XLOOKUP(1,('Arbonia Original'!$A$2:$A$117=X$66)*('Arbonia Original'!$B$2:$B$117=$B70),'Arbonia Original'!$C$2:$C$117,"")</f>
        <v>5300</v>
      </c>
    </row>
    <row r="71" spans="1:24" x14ac:dyDescent="0.2">
      <c r="B71" s="2">
        <f>B7</f>
        <v>225</v>
      </c>
      <c r="C71" s="2" cm="1">
        <f t="array" ref="C71">_xlfn.XLOOKUP(1,('Arbonia Original'!$A$2:$A$117=C$66)*('Arbonia Original'!$B$2:$B$117=$B71),'Arbonia Original'!$C$2:$C$117,"")</f>
        <v>6018</v>
      </c>
      <c r="D71" s="2" t="str" cm="1">
        <f t="array" ref="D71">_xlfn.XLOOKUP(1,('Arbonia Original'!$A$2:$A$117=D$66)*('Arbonia Original'!$B$2:$B$117=$B71),'Arbonia Original'!$C$2:$C$117,"")</f>
        <v/>
      </c>
      <c r="E71" s="2" cm="1">
        <f t="array" ref="E71">_xlfn.XLOOKUP(1,('Arbonia Original'!$A$2:$A$117=E$66)*('Arbonia Original'!$B$2:$B$117=$B71),'Arbonia Original'!$C$2:$C$117,"")</f>
        <v>6026</v>
      </c>
      <c r="F71" s="2" cm="1">
        <f t="array" ref="F71">_xlfn.XLOOKUP(1,('Arbonia Original'!$A$2:$A$117=F$66)*('Arbonia Original'!$B$2:$B$117=$B71),'Arbonia Original'!$C$2:$C$117,"")</f>
        <v>6030</v>
      </c>
      <c r="G71" s="2" cm="1">
        <f t="array" ref="G71">_xlfn.XLOOKUP(1,('Arbonia Original'!$A$2:$A$117=G$66)*('Arbonia Original'!$B$2:$B$117=$B71),'Arbonia Original'!$C$2:$C$117,"")</f>
        <v>6035</v>
      </c>
      <c r="H71" s="2" cm="1">
        <f t="array" ref="H71">_xlfn.XLOOKUP(1,('Arbonia Original'!$A$2:$A$117=H$66)*('Arbonia Original'!$B$2:$B$117=$B71),'Arbonia Original'!$C$2:$C$117,"")</f>
        <v>6040</v>
      </c>
      <c r="I71" s="2" cm="1">
        <f t="array" ref="I71">_xlfn.XLOOKUP(1,('Arbonia Original'!$A$2:$A$117=I$66)*('Arbonia Original'!$B$2:$B$117=$B71),'Arbonia Original'!$C$2:$C$117,"")</f>
        <v>6045</v>
      </c>
      <c r="J71" s="2" cm="1">
        <f t="array" ref="J71">_xlfn.XLOOKUP(1,('Arbonia Original'!$A$2:$A$117=J$66)*('Arbonia Original'!$B$2:$B$117=$B71),'Arbonia Original'!$C$2:$C$117,"")</f>
        <v>6050</v>
      </c>
      <c r="K71" s="2" cm="1">
        <f t="array" ref="K71">_xlfn.XLOOKUP(1,('Arbonia Original'!$A$2:$A$117=K$66)*('Arbonia Original'!$B$2:$B$117=$B71),'Arbonia Original'!$C$2:$C$117,"")</f>
        <v>6055</v>
      </c>
      <c r="L71" s="2" cm="1">
        <f t="array" ref="L71">_xlfn.XLOOKUP(1,('Arbonia Original'!$A$2:$A$117=L$66)*('Arbonia Original'!$B$2:$B$117=$B71),'Arbonia Original'!$C$2:$C$117,"")</f>
        <v>6060</v>
      </c>
      <c r="M71" s="2" cm="1">
        <f t="array" ref="M71">_xlfn.XLOOKUP(1,('Arbonia Original'!$A$2:$A$117=M$66)*('Arbonia Original'!$B$2:$B$117=$B71),'Arbonia Original'!$C$2:$C$117,"")</f>
        <v>6075</v>
      </c>
      <c r="N71" s="2" cm="1">
        <f t="array" ref="N71">_xlfn.XLOOKUP(1,('Arbonia Original'!$A$2:$A$117=N$66)*('Arbonia Original'!$B$2:$B$117=$B71),'Arbonia Original'!$C$2:$C$117,"")</f>
        <v>6090</v>
      </c>
      <c r="O71" s="2" cm="1">
        <f t="array" ref="O71">_xlfn.XLOOKUP(1,('Arbonia Original'!$A$2:$A$117=O$66)*('Arbonia Original'!$B$2:$B$117=$B71),'Arbonia Original'!$C$2:$C$117,"")</f>
        <v>6100</v>
      </c>
      <c r="P71" s="2" cm="1">
        <f t="array" ref="P71">_xlfn.XLOOKUP(1,('Arbonia Original'!$A$2:$A$117=P$66)*('Arbonia Original'!$B$2:$B$117=$B71),'Arbonia Original'!$C$2:$C$117,"")</f>
        <v>6110</v>
      </c>
      <c r="Q71" s="2" cm="1">
        <f t="array" ref="Q71">_xlfn.XLOOKUP(1,('Arbonia Original'!$A$2:$A$117=Q$66)*('Arbonia Original'!$B$2:$B$117=$B71),'Arbonia Original'!$C$2:$C$117,"")</f>
        <v>6120</v>
      </c>
      <c r="R71" s="2" cm="1">
        <f t="array" ref="R71">_xlfn.XLOOKUP(1,('Arbonia Original'!$A$2:$A$117=R$66)*('Arbonia Original'!$B$2:$B$117=$B71),'Arbonia Original'!$C$2:$C$117,"")</f>
        <v>6150</v>
      </c>
      <c r="S71" s="2" cm="1">
        <f t="array" ref="S71">_xlfn.XLOOKUP(1,('Arbonia Original'!$A$2:$A$117=S$66)*('Arbonia Original'!$B$2:$B$117=$B71),'Arbonia Original'!$C$2:$C$117,"")</f>
        <v>6180</v>
      </c>
      <c r="T71" s="2" cm="1">
        <f t="array" ref="T71">_xlfn.XLOOKUP(1,('Arbonia Original'!$A$2:$A$117=T$66)*('Arbonia Original'!$B$2:$B$117=$B71),'Arbonia Original'!$C$2:$C$117,"")</f>
        <v>6200</v>
      </c>
      <c r="U71" s="2" cm="1">
        <f t="array" ref="U71">_xlfn.XLOOKUP(1,('Arbonia Original'!$A$2:$A$117=U$66)*('Arbonia Original'!$B$2:$B$117=$B71),'Arbonia Original'!$C$2:$C$117,"")</f>
        <v>6220</v>
      </c>
      <c r="V71" s="2" cm="1">
        <f t="array" ref="V71">_xlfn.XLOOKUP(1,('Arbonia Original'!$A$2:$A$117=V$66)*('Arbonia Original'!$B$2:$B$117=$B71),'Arbonia Original'!$C$2:$C$117,"")</f>
        <v>6250</v>
      </c>
      <c r="W71" s="2" cm="1">
        <f t="array" ref="W71">_xlfn.XLOOKUP(1,('Arbonia Original'!$A$2:$A$117=W$66)*('Arbonia Original'!$B$2:$B$117=$B71),'Arbonia Original'!$C$2:$C$117,"")</f>
        <v>6280</v>
      </c>
      <c r="X71" s="2" cm="1">
        <f t="array" ref="X71">_xlfn.XLOOKUP(1,('Arbonia Original'!$A$2:$A$117=X$66)*('Arbonia Original'!$B$2:$B$117=$B71),'Arbonia Original'!$C$2:$C$117,"")</f>
        <v>6300</v>
      </c>
    </row>
    <row r="72" spans="1:24" x14ac:dyDescent="0.2">
      <c r="C72" s="8"/>
      <c r="D72" s="8"/>
      <c r="E72" s="8"/>
      <c r="F72" s="8"/>
      <c r="G72" s="8"/>
      <c r="H72" s="8"/>
      <c r="I72" s="8"/>
      <c r="J72" s="8"/>
      <c r="K72" s="8"/>
      <c r="L72" s="8"/>
      <c r="M72" s="8"/>
      <c r="N72" s="8"/>
      <c r="O72" s="8"/>
      <c r="P72"/>
      <c r="Q72"/>
      <c r="R72"/>
      <c r="S72"/>
      <c r="T72"/>
      <c r="U72"/>
      <c r="V72"/>
    </row>
    <row r="73" spans="1:24" ht="13.5" x14ac:dyDescent="0.25">
      <c r="A73" s="1" t="s">
        <v>190</v>
      </c>
      <c r="C73" s="4" t="s">
        <v>2</v>
      </c>
      <c r="P73"/>
      <c r="Q73"/>
      <c r="R73"/>
      <c r="S73"/>
      <c r="T73"/>
      <c r="U73"/>
      <c r="V73"/>
    </row>
    <row r="74" spans="1:24" x14ac:dyDescent="0.2">
      <c r="C74" s="5">
        <f t="shared" ref="C74:X74" si="8">C$2</f>
        <v>180</v>
      </c>
      <c r="D74" s="5">
        <f t="shared" si="8"/>
        <v>190</v>
      </c>
      <c r="E74" s="5">
        <f t="shared" si="8"/>
        <v>260</v>
      </c>
      <c r="F74" s="5">
        <f t="shared" si="8"/>
        <v>300</v>
      </c>
      <c r="G74" s="5">
        <f t="shared" si="8"/>
        <v>350</v>
      </c>
      <c r="H74" s="5">
        <f t="shared" si="8"/>
        <v>400</v>
      </c>
      <c r="I74" s="5">
        <f t="shared" si="8"/>
        <v>450</v>
      </c>
      <c r="J74" s="5">
        <f t="shared" si="8"/>
        <v>500</v>
      </c>
      <c r="K74" s="5">
        <f t="shared" si="8"/>
        <v>550</v>
      </c>
      <c r="L74" s="5">
        <f t="shared" si="8"/>
        <v>600</v>
      </c>
      <c r="M74" s="5">
        <f t="shared" si="8"/>
        <v>750</v>
      </c>
      <c r="N74" s="5">
        <f t="shared" si="8"/>
        <v>900</v>
      </c>
      <c r="O74" s="5">
        <f t="shared" si="8"/>
        <v>1000</v>
      </c>
      <c r="P74" s="5">
        <f t="shared" si="8"/>
        <v>1100</v>
      </c>
      <c r="Q74" s="5">
        <f t="shared" si="8"/>
        <v>1200</v>
      </c>
      <c r="R74" s="5">
        <f t="shared" si="8"/>
        <v>1500</v>
      </c>
      <c r="S74" s="5">
        <f t="shared" si="8"/>
        <v>1800</v>
      </c>
      <c r="T74" s="5">
        <f t="shared" si="8"/>
        <v>2000</v>
      </c>
      <c r="U74" s="5">
        <f t="shared" si="8"/>
        <v>2200</v>
      </c>
      <c r="V74" s="5">
        <f t="shared" si="8"/>
        <v>2500</v>
      </c>
      <c r="W74" s="5">
        <f t="shared" si="8"/>
        <v>2800</v>
      </c>
      <c r="X74" s="5">
        <f t="shared" si="8"/>
        <v>3000</v>
      </c>
    </row>
    <row r="75" spans="1:24" ht="13.5" x14ac:dyDescent="0.25">
      <c r="A75" s="4" t="s">
        <v>3</v>
      </c>
      <c r="B75" s="2">
        <f>B3</f>
        <v>65</v>
      </c>
      <c r="C75" s="9" t="str">
        <f t="shared" ref="C75:X75" si="9">IF(C27="","",(C19-C27*$C$98/1000)*$B$97+C27*$B$98)</f>
        <v/>
      </c>
      <c r="D75" s="9">
        <f t="shared" si="9"/>
        <v>0.369672</v>
      </c>
      <c r="E75" s="9">
        <f t="shared" si="9"/>
        <v>0.47829599999999994</v>
      </c>
      <c r="F75" s="9">
        <f t="shared" si="9"/>
        <v>0.55771999999999999</v>
      </c>
      <c r="G75" s="9">
        <f t="shared" si="9"/>
        <v>0.64444400000000002</v>
      </c>
      <c r="H75" s="9">
        <f t="shared" si="9"/>
        <v>0.73116800000000004</v>
      </c>
      <c r="I75" s="9">
        <f t="shared" si="9"/>
        <v>0.7749680000000001</v>
      </c>
      <c r="J75" s="9">
        <f t="shared" si="9"/>
        <v>0.8616919999999999</v>
      </c>
      <c r="K75" s="9">
        <f t="shared" si="9"/>
        <v>0.94841599999999993</v>
      </c>
      <c r="L75" s="9">
        <f t="shared" si="9"/>
        <v>1.0351399999999999</v>
      </c>
      <c r="M75" s="9">
        <f t="shared" si="9"/>
        <v>1.2596879999999999</v>
      </c>
      <c r="N75" s="9">
        <f t="shared" si="9"/>
        <v>1.51986</v>
      </c>
      <c r="O75" s="9">
        <f t="shared" si="9"/>
        <v>1.6503839999999999</v>
      </c>
      <c r="P75" s="9">
        <f t="shared" si="9"/>
        <v>1.8238319999999999</v>
      </c>
      <c r="Q75" s="9">
        <f t="shared" si="9"/>
        <v>1.9543560000000002</v>
      </c>
      <c r="R75" s="9">
        <f t="shared" si="9"/>
        <v>2.439076</v>
      </c>
      <c r="S75" s="9">
        <f t="shared" si="9"/>
        <v>2.9164959999999995</v>
      </c>
      <c r="T75" s="9">
        <f t="shared" si="9"/>
        <v>3.2204679999999994</v>
      </c>
      <c r="U75" s="9">
        <f t="shared" si="9"/>
        <v>3.5317400000000001</v>
      </c>
      <c r="V75" s="9">
        <f t="shared" si="9"/>
        <v>4.0091599999999996</v>
      </c>
      <c r="W75" s="9">
        <f t="shared" si="9"/>
        <v>4.4436559999999998</v>
      </c>
      <c r="X75" s="9">
        <f t="shared" si="9"/>
        <v>4.7978519999999998</v>
      </c>
    </row>
    <row r="76" spans="1:24" x14ac:dyDescent="0.2">
      <c r="B76" s="2">
        <f>B4</f>
        <v>105</v>
      </c>
      <c r="C76" s="9" t="str">
        <f t="shared" ref="C76:X76" si="10">IF(C28="","",(C20-C28*$C$98/1000)*$B$97+C28*$B$98)</f>
        <v/>
      </c>
      <c r="D76" s="9">
        <f t="shared" si="10"/>
        <v>0.57962000000000002</v>
      </c>
      <c r="E76" s="9">
        <f t="shared" si="10"/>
        <v>0.76036800000000004</v>
      </c>
      <c r="F76" s="9">
        <f t="shared" si="10"/>
        <v>0.85439199999999982</v>
      </c>
      <c r="G76" s="9">
        <f t="shared" si="10"/>
        <v>0.96301599999999998</v>
      </c>
      <c r="H76" s="9">
        <f t="shared" si="10"/>
        <v>1.0716399999999999</v>
      </c>
      <c r="I76" s="9">
        <f t="shared" si="10"/>
        <v>1.180264</v>
      </c>
      <c r="J76" s="9">
        <f t="shared" si="10"/>
        <v>1.288888</v>
      </c>
      <c r="K76" s="9">
        <f t="shared" si="10"/>
        <v>1.4477359999999999</v>
      </c>
      <c r="L76" s="9">
        <f t="shared" si="10"/>
        <v>1.5563599999999997</v>
      </c>
      <c r="M76" s="9">
        <f t="shared" si="10"/>
        <v>1.8822319999999999</v>
      </c>
      <c r="N76" s="9">
        <f t="shared" si="10"/>
        <v>2.2510279999999998</v>
      </c>
      <c r="O76" s="9">
        <f t="shared" si="10"/>
        <v>2.4755760000000002</v>
      </c>
      <c r="P76" s="9">
        <f t="shared" si="10"/>
        <v>2.7357480000000001</v>
      </c>
      <c r="Q76" s="9">
        <f t="shared" si="10"/>
        <v>2.9529959999999997</v>
      </c>
      <c r="R76" s="9">
        <f t="shared" si="10"/>
        <v>3.6549640000000001</v>
      </c>
      <c r="S76" s="9">
        <f t="shared" si="10"/>
        <v>4.3496319999999997</v>
      </c>
      <c r="T76" s="9">
        <f t="shared" si="10"/>
        <v>4.8343519999999991</v>
      </c>
      <c r="U76" s="9">
        <f t="shared" si="10"/>
        <v>5.2688480000000002</v>
      </c>
      <c r="V76" s="9">
        <f t="shared" si="10"/>
        <v>5.9708159999999992</v>
      </c>
      <c r="W76" s="9">
        <f t="shared" si="10"/>
        <v>6.7084080000000004</v>
      </c>
      <c r="X76" s="9">
        <f t="shared" si="10"/>
        <v>7.1502039999999996</v>
      </c>
    </row>
    <row r="77" spans="1:24" x14ac:dyDescent="0.2">
      <c r="B77" s="2">
        <f>B5</f>
        <v>145</v>
      </c>
      <c r="C77" s="9" t="str">
        <f t="shared" ref="C77:X77" si="11">IF(C29="","",(C21-C29*$C$98/1000)*$B$97+C29*$B$98)</f>
        <v/>
      </c>
      <c r="D77" s="9">
        <f t="shared" si="11"/>
        <v>0.78226800000000007</v>
      </c>
      <c r="E77" s="9">
        <f t="shared" si="11"/>
        <v>0.99951599999999996</v>
      </c>
      <c r="F77" s="9">
        <f t="shared" si="11"/>
        <v>1.1081399999999999</v>
      </c>
      <c r="G77" s="9">
        <f t="shared" si="11"/>
        <v>1.288888</v>
      </c>
      <c r="H77" s="9">
        <f t="shared" si="11"/>
        <v>1.4194119999999999</v>
      </c>
      <c r="I77" s="9">
        <f t="shared" si="11"/>
        <v>1.5928599999999999</v>
      </c>
      <c r="J77" s="9">
        <f t="shared" si="11"/>
        <v>1.766308</v>
      </c>
      <c r="K77" s="9">
        <f t="shared" si="11"/>
        <v>1.8968319999999999</v>
      </c>
      <c r="L77" s="9">
        <f t="shared" si="11"/>
        <v>2.0702799999999999</v>
      </c>
      <c r="M77" s="9">
        <f t="shared" si="11"/>
        <v>2.5120759999999995</v>
      </c>
      <c r="N77" s="9">
        <f t="shared" si="11"/>
        <v>2.9894959999999999</v>
      </c>
      <c r="O77" s="9">
        <f t="shared" si="11"/>
        <v>3.2934679999999998</v>
      </c>
      <c r="P77" s="9">
        <f t="shared" si="11"/>
        <v>3.6047400000000001</v>
      </c>
      <c r="Q77" s="9">
        <f t="shared" si="11"/>
        <v>3.9087120000000004</v>
      </c>
      <c r="R77" s="9">
        <f t="shared" si="11"/>
        <v>4.8708519999999993</v>
      </c>
      <c r="S77" s="9">
        <f t="shared" si="11"/>
        <v>5.7900679999999998</v>
      </c>
      <c r="T77" s="9">
        <f t="shared" si="11"/>
        <v>6.4409359999999989</v>
      </c>
      <c r="U77" s="9">
        <f t="shared" si="11"/>
        <v>7.0561799999999995</v>
      </c>
      <c r="V77" s="9">
        <f t="shared" si="11"/>
        <v>7.9680959999999992</v>
      </c>
      <c r="W77" s="9">
        <f t="shared" si="11"/>
        <v>8.9302360000000007</v>
      </c>
      <c r="X77" s="9">
        <f t="shared" si="11"/>
        <v>9.5454799999999995</v>
      </c>
    </row>
    <row r="78" spans="1:24" x14ac:dyDescent="0.2">
      <c r="B78" s="2">
        <f>B6</f>
        <v>185</v>
      </c>
      <c r="C78" s="9">
        <f t="shared" ref="C78:X78" si="12">IF(C30="","",(C22-C30*$C$98/1000)*$B$97+C30*$B$98)</f>
        <v>0.99309199999999986</v>
      </c>
      <c r="D78" s="9" t="str">
        <f t="shared" si="12"/>
        <v/>
      </c>
      <c r="E78" s="9">
        <f t="shared" si="12"/>
        <v>1.282464</v>
      </c>
      <c r="F78" s="9">
        <f t="shared" si="12"/>
        <v>1.4559120000000001</v>
      </c>
      <c r="G78" s="9">
        <f t="shared" si="12"/>
        <v>1.6512599999999997</v>
      </c>
      <c r="H78" s="9">
        <f t="shared" si="12"/>
        <v>1.8466080000000002</v>
      </c>
      <c r="I78" s="9">
        <f t="shared" si="12"/>
        <v>2.0419559999999999</v>
      </c>
      <c r="J78" s="9">
        <f t="shared" si="12"/>
        <v>2.237304</v>
      </c>
      <c r="K78" s="9">
        <f t="shared" si="12"/>
        <v>2.4399519999999999</v>
      </c>
      <c r="L78" s="9">
        <f t="shared" si="12"/>
        <v>2.6353</v>
      </c>
      <c r="M78" s="9">
        <f t="shared" si="12"/>
        <v>3.1784199999999996</v>
      </c>
      <c r="N78" s="9">
        <f t="shared" si="12"/>
        <v>3.7717639999999997</v>
      </c>
      <c r="O78" s="9">
        <f t="shared" si="12"/>
        <v>4.1624600000000003</v>
      </c>
      <c r="P78" s="9">
        <f t="shared" si="12"/>
        <v>4.5531559999999995</v>
      </c>
      <c r="Q78" s="9">
        <f t="shared" si="12"/>
        <v>4.9511520000000004</v>
      </c>
      <c r="R78" s="9">
        <f t="shared" si="12"/>
        <v>6.1305399999999999</v>
      </c>
      <c r="S78" s="9">
        <f t="shared" si="12"/>
        <v>7.3099280000000002</v>
      </c>
      <c r="T78" s="9">
        <f t="shared" si="12"/>
        <v>8.0913199999999996</v>
      </c>
      <c r="U78" s="9">
        <f t="shared" si="12"/>
        <v>8.8370879999999996</v>
      </c>
      <c r="V78" s="9">
        <f t="shared" si="12"/>
        <v>10.016476000000001</v>
      </c>
      <c r="W78" s="9">
        <f t="shared" si="12"/>
        <v>11.195864</v>
      </c>
      <c r="X78" s="9">
        <f t="shared" si="12"/>
        <v>11.984556</v>
      </c>
    </row>
    <row r="79" spans="1:24" x14ac:dyDescent="0.2">
      <c r="B79" s="2">
        <f>B7</f>
        <v>225</v>
      </c>
      <c r="C79" s="9">
        <f t="shared" ref="C79:X79" si="13">IF(C31="","",(C23-C31*$C$98/1000)*$B$97+C31*$B$98)</f>
        <v>1.2176400000000001</v>
      </c>
      <c r="D79" s="9" t="str">
        <f t="shared" si="13"/>
        <v/>
      </c>
      <c r="E79" s="9">
        <f t="shared" si="13"/>
        <v>1.5362119999999999</v>
      </c>
      <c r="F79" s="9">
        <f t="shared" si="13"/>
        <v>1.73156</v>
      </c>
      <c r="G79" s="9">
        <f t="shared" si="13"/>
        <v>1.9917319999999998</v>
      </c>
      <c r="H79" s="9">
        <f t="shared" si="13"/>
        <v>2.2089799999999999</v>
      </c>
      <c r="I79" s="9">
        <f t="shared" si="13"/>
        <v>2.4262279999999996</v>
      </c>
      <c r="J79" s="9">
        <f t="shared" si="13"/>
        <v>2.6863999999999999</v>
      </c>
      <c r="K79" s="9">
        <f t="shared" si="13"/>
        <v>2.9109480000000003</v>
      </c>
      <c r="L79" s="9">
        <f t="shared" si="13"/>
        <v>3.128196</v>
      </c>
      <c r="M79" s="9">
        <f t="shared" si="13"/>
        <v>3.8657880000000002</v>
      </c>
      <c r="N79" s="9">
        <f t="shared" si="13"/>
        <v>4.5677560000000001</v>
      </c>
      <c r="O79" s="9">
        <f t="shared" si="13"/>
        <v>5.0022520000000004</v>
      </c>
      <c r="P79" s="9">
        <f t="shared" si="13"/>
        <v>5.4869719999999997</v>
      </c>
      <c r="Q79" s="9">
        <f t="shared" si="13"/>
        <v>5.9643919999999992</v>
      </c>
      <c r="R79" s="9">
        <f t="shared" si="13"/>
        <v>7.3610279999999992</v>
      </c>
      <c r="S79" s="9">
        <f t="shared" si="13"/>
        <v>8.7649639999999991</v>
      </c>
      <c r="T79" s="9">
        <f t="shared" si="13"/>
        <v>9.6768800000000006</v>
      </c>
      <c r="U79" s="9">
        <f t="shared" si="13"/>
        <v>10.63902</v>
      </c>
      <c r="V79" s="9">
        <f t="shared" si="13"/>
        <v>12.035655999999999</v>
      </c>
      <c r="W79" s="9">
        <f t="shared" si="13"/>
        <v>13.439592000000001</v>
      </c>
      <c r="X79" s="9">
        <f t="shared" si="13"/>
        <v>14.394432000000002</v>
      </c>
    </row>
    <row r="80" spans="1:24" x14ac:dyDescent="0.2">
      <c r="C80" s="8"/>
      <c r="D80" s="8"/>
      <c r="E80" s="8"/>
      <c r="F80" s="8"/>
      <c r="G80" s="8"/>
      <c r="H80" s="8"/>
      <c r="I80" s="8"/>
      <c r="J80" s="8"/>
    </row>
    <row r="82" spans="1:49" x14ac:dyDescent="0.2">
      <c r="A82" s="2">
        <f>Gliederradiator!$B$2</f>
        <v>500</v>
      </c>
      <c r="B82" s="2" t="str">
        <f>IFERROR(ADDRESS(ROW(C2), COLUMN(C2)-1 + _xlfn.XMATCH(A82, C2:X2, 1), 4), "Kein grösserer Wert")</f>
        <v>J2</v>
      </c>
      <c r="C82" s="2" cm="1">
        <f t="array" aca="1" ref="C82" ca="1">INDEX(A:V, ROW(INDIRECT(B82)), COLUMN(INDIRECT(B82))-1)</f>
        <v>450</v>
      </c>
      <c r="D82" s="2" cm="1">
        <f t="array" aca="1" ref="D82" ca="1">INDIRECT(B82)</f>
        <v>500</v>
      </c>
      <c r="F82" s="2" t="str">
        <f>IFERROR(ADDRESS(ROW(C10), COLUMN(C10)-1 + _xlfn.XMATCH(A82, C10:X10, 1), 4), "Kein grösserer Wert")</f>
        <v>J10</v>
      </c>
      <c r="G82" s="2" cm="1">
        <f t="array" aca="1" ref="G82" ca="1">INDEX(A:V, ROW(INDIRECT(F82)), COLUMN(INDIRECT(F82))-1)</f>
        <v>450</v>
      </c>
      <c r="H82" s="2" cm="1">
        <f t="array" aca="1" ref="H82" ca="1">INDIRECT(F82)</f>
        <v>500</v>
      </c>
      <c r="I82" s="2" t="str">
        <f>IFERROR(ADDRESS(ROW(C74), COLUMN(C74)-1 + _xlfn.XMATCH(A82, C74:X74, 1), 4), "Kein grösserer Wert")</f>
        <v>J74</v>
      </c>
      <c r="J82" s="2" cm="1">
        <f t="array" aca="1" ref="J82" ca="1">INDEX(A:V, ROW(INDIRECT(I82)), COLUMN(INDIRECT(I82))-1)</f>
        <v>450</v>
      </c>
      <c r="K82" s="2" cm="1">
        <f t="array" aca="1" ref="K82" ca="1">INDIRECT(I82)</f>
        <v>500</v>
      </c>
      <c r="AW82" s="173"/>
    </row>
    <row r="83" spans="1:49" x14ac:dyDescent="0.2">
      <c r="A83" s="2">
        <f>Gliederradiator!$B$3</f>
        <v>136</v>
      </c>
      <c r="B83" s="2" t="str">
        <f>IFERROR(ADDRESS(ROW(B3)-1 + _xlfn.XMATCH(A83,B3:B7,1),COLUMN(B3),4),"Kein grösserer Wert")</f>
        <v>B5</v>
      </c>
      <c r="C83" s="2" cm="1">
        <f t="array" aca="1" ref="C83" ca="1">INDEX(A:V, ROW(INDIRECT(B83)), COLUMN(INDIRECT(B82)))</f>
        <v>69</v>
      </c>
      <c r="D83" s="2" cm="1">
        <f t="array" aca="1" ref="D83" ca="1">INDIRECT(B83)</f>
        <v>145</v>
      </c>
      <c r="F83" s="2" t="str">
        <f>IFERROR(ADDRESS(ROW(B11)-1 + _xlfn.XMATCH(A83,B11:B15,1),COLUMN(B11),4),"Kein grösserer Wert")</f>
        <v>B13</v>
      </c>
      <c r="G83" s="2" cm="1">
        <f t="array" aca="1" ref="G83" ca="1">INDEX(A:V, ROW(INDIRECT(F83))-1, COLUMN(INDIRECT(F83)))</f>
        <v>105</v>
      </c>
      <c r="H83" s="2" cm="1">
        <f t="array" aca="1" ref="H83" ca="1">INDIRECT(F83)</f>
        <v>145</v>
      </c>
      <c r="I83" s="2" t="str">
        <f>IFERROR(ADDRESS(ROW(B75)-1 + _xlfn.XMATCH(A83,B75:B79,1),COLUMN(B75),4),"Kein grösserer Wert")</f>
        <v>B77</v>
      </c>
      <c r="J83" s="2" cm="1">
        <f t="array" aca="1" ref="J83" ca="1">INDEX(A:V, ROW(INDIRECT(I83))-1, COLUMN(INDIRECT(I83)))</f>
        <v>105</v>
      </c>
      <c r="K83" s="2" cm="1">
        <f t="array" aca="1" ref="K83" ca="1">INDIRECT(I83)</f>
        <v>145</v>
      </c>
    </row>
    <row r="84" spans="1:49" x14ac:dyDescent="0.2">
      <c r="A84" s="3">
        <f ca="1">C84 + (A82-C82)/(D82-C82)*(D84-C84)*0.5 + (A83-C83)/(D83-C83)*(D84-C84)*0.5</f>
        <v>67.756578947368425</v>
      </c>
      <c r="C84" s="2" cm="1">
        <f t="array" aca="1" ref="C84" ca="1">INDEX(A:V, ROW(INDIRECT(B83))-1, COLUMN(INDIRECT(B82))-1)</f>
        <v>48</v>
      </c>
      <c r="D84" s="2" cm="1">
        <f t="array" aca="1" ref="D84" ca="1">INDEX(A:V, ROW(INDIRECT(B83)), COLUMN(INDIRECT(B82)))</f>
        <v>69</v>
      </c>
      <c r="G84" s="2" cm="1">
        <f t="array" aca="1" ref="G84" ca="1">INDEX(A:V, ROW(INDIRECT(F83))-1, COLUMN(INDIRECT(F82))-1)</f>
        <v>1.36</v>
      </c>
      <c r="H84" s="2" cm="1">
        <f t="array" aca="1" ref="H84" ca="1">INDEX(A:V, ROW(INDIRECT(F83)), COLUMN(INDIRECT(F82)))</f>
        <v>1.35</v>
      </c>
      <c r="J84" s="2" cm="1">
        <f t="array" aca="1" ref="J84" ca="1">INDEX(A:V, ROW(INDIRECT(I83))-1, COLUMN(INDIRECT(I82))-1)</f>
        <v>1.180264</v>
      </c>
      <c r="K84" s="2" cm="1">
        <f t="array" aca="1" ref="K84" ca="1">INDEX(A:V, ROW(INDIRECT(I83)), COLUMN(INDIRECT(I82)))</f>
        <v>1.766308</v>
      </c>
    </row>
    <row r="85" spans="1:49" x14ac:dyDescent="0.2">
      <c r="A85" s="3">
        <f ca="1">C85 + (A82-C82)/(D82-C82)*(D85-C85)*0.5 + (A83-C83)/(D83-C83)*(D85-C85)*0.5</f>
        <v>1.350592105263158</v>
      </c>
      <c r="C85" s="2" cm="1">
        <f t="array" aca="1" ref="C85" ca="1">INDEX(A:V, ROW(INDIRECT(F83))-1, COLUMN(INDIRECT(F82))-1)</f>
        <v>1.36</v>
      </c>
      <c r="D85" s="2" cm="1">
        <f t="array" aca="1" ref="D85" ca="1">INDEX(A:Z, ROW(INDIRECT(F83)), COLUMN(INDIRECT(F82)))</f>
        <v>1.35</v>
      </c>
    </row>
    <row r="86" spans="1:49" x14ac:dyDescent="0.2">
      <c r="A86" s="10">
        <f ca="1">C86 + (A82-C82)/(D82-C82)*(D86-C86)*0.5 + (A83-C83)/(D83-C83)*(D86-C86)*0.5</f>
        <v>1.7316080263157894</v>
      </c>
      <c r="C86" s="9">
        <f ca="1">J84</f>
        <v>1.180264</v>
      </c>
      <c r="D86" s="9">
        <f ca="1">K84</f>
        <v>1.766308</v>
      </c>
    </row>
    <row r="87" spans="1:49" x14ac:dyDescent="0.2">
      <c r="A87" s="3"/>
    </row>
    <row r="89" spans="1:49" ht="12.75" customHeight="1" x14ac:dyDescent="0.2">
      <c r="A89" s="1" t="s">
        <v>1</v>
      </c>
    </row>
    <row r="90" spans="1:49" ht="15.75" customHeight="1" x14ac:dyDescent="0.3">
      <c r="A90" s="1" t="s">
        <v>8</v>
      </c>
      <c r="G90" s="2">
        <f>'Basis Radiator'!F10*((Gliederradiator!B8-Gliederradiator!B9)/'Basis Radiator'!B62)^Gliederradiator!B15</f>
        <v>24.135841372146224</v>
      </c>
    </row>
    <row r="91" spans="1:49" x14ac:dyDescent="0.2">
      <c r="E91" s="2">
        <v>75</v>
      </c>
      <c r="F91" s="2">
        <v>90</v>
      </c>
    </row>
    <row r="92" spans="1:49" ht="15.75" x14ac:dyDescent="0.3">
      <c r="A92" s="1" t="s">
        <v>9</v>
      </c>
      <c r="E92" s="2">
        <v>65</v>
      </c>
      <c r="F92" s="2">
        <v>70</v>
      </c>
    </row>
    <row r="93" spans="1:49" x14ac:dyDescent="0.2">
      <c r="E93" s="2">
        <v>20</v>
      </c>
      <c r="F93" s="2">
        <v>20</v>
      </c>
    </row>
    <row r="94" spans="1:49" ht="15.75" x14ac:dyDescent="0.3">
      <c r="A94" s="1" t="s">
        <v>10</v>
      </c>
      <c r="B94" s="2">
        <f>(E91-E92)/(LN((E91-E93)/(E92-E93)))</f>
        <v>49.83288654563971</v>
      </c>
      <c r="E94" s="11">
        <f>(E91-E92)/(LN((E91-E93)/(E92-E93)))</f>
        <v>49.83288654563971</v>
      </c>
      <c r="F94" s="11">
        <f>(F91-F92)/(LN((F91-F93)/(F92-F93)))</f>
        <v>59.440268239769239</v>
      </c>
    </row>
    <row r="96" spans="1:49" x14ac:dyDescent="0.2">
      <c r="A96" s="2" t="s">
        <v>5</v>
      </c>
    </row>
    <row r="97" spans="1:4" x14ac:dyDescent="0.2">
      <c r="A97" s="2" t="s">
        <v>7</v>
      </c>
      <c r="B97" s="2">
        <v>0.73</v>
      </c>
    </row>
    <row r="98" spans="1:4" x14ac:dyDescent="0.2">
      <c r="A98" s="2" t="s">
        <v>6</v>
      </c>
      <c r="B98" s="2">
        <v>4.38</v>
      </c>
      <c r="C98" s="2">
        <v>120</v>
      </c>
      <c r="D98" s="2" t="s">
        <v>12</v>
      </c>
    </row>
  </sheetData>
  <pageMargins left="0.7" right="0.7" top="0.78740157499999996" bottom="0.78740157499999996" header="0.3" footer="0.3"/>
  <extLst>
    <ext xmlns:x14="http://schemas.microsoft.com/office/spreadsheetml/2009/9/main" uri="{78C0D931-6437-407d-A8EE-F0AAD7539E65}">
      <x14:conditionalFormattings>
        <x14:conditionalFormatting xmlns:xm="http://schemas.microsoft.com/office/excel/2006/main">
          <x14:cfRule type="cellIs" priority="10" operator="greaterThan" id="{FE270A7D-1330-41DD-A528-FA1DE23C96BB}">
            <xm:f>'Leistung alle'!$A$55</xm:f>
            <x14:dxf>
              <font>
                <color rgb="FFFF0000"/>
              </font>
            </x14:dxf>
          </x14:cfRule>
          <xm:sqref>AW82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EBA7-A38E-476B-88FD-C7EAB3712D94}">
  <dimension ref="A1:V117"/>
  <sheetViews>
    <sheetView zoomScale="115" zoomScaleNormal="115" workbookViewId="0">
      <selection activeCell="O2" sqref="O2"/>
    </sheetView>
  </sheetViews>
  <sheetFormatPr baseColWidth="10" defaultColWidth="11.42578125" defaultRowHeight="12.75" x14ac:dyDescent="0.2"/>
  <cols>
    <col min="1" max="2" width="4.7109375" style="2" customWidth="1"/>
    <col min="3" max="3" width="5.7109375" style="2" customWidth="1"/>
    <col min="4" max="7" width="9.28515625" style="2" customWidth="1"/>
    <col min="8" max="9" width="7.28515625" style="2" customWidth="1"/>
    <col min="10" max="10" width="5.7109375" style="2" bestFit="1" customWidth="1"/>
    <col min="11" max="12" width="7.28515625" style="2" customWidth="1"/>
    <col min="13" max="13" width="8.28515625" style="2" customWidth="1"/>
    <col min="14" max="15" width="7.28515625" style="2" customWidth="1"/>
    <col min="16" max="21" width="1.140625" style="2" customWidth="1"/>
    <col min="22" max="16384" width="11.42578125" style="2"/>
  </cols>
  <sheetData>
    <row r="1" spans="1:22" ht="12.75" customHeight="1" x14ac:dyDescent="0.2">
      <c r="A1" s="296" t="s">
        <v>163</v>
      </c>
      <c r="B1" s="296"/>
      <c r="C1" s="296"/>
      <c r="D1" s="296"/>
      <c r="E1" s="296"/>
      <c r="F1" s="296"/>
      <c r="G1" s="296"/>
      <c r="H1" s="296"/>
      <c r="I1" s="296"/>
      <c r="J1" s="296"/>
      <c r="K1" s="296"/>
      <c r="L1" s="296"/>
      <c r="M1" s="296"/>
      <c r="N1" s="296"/>
      <c r="O1" s="296"/>
      <c r="P1" s="296"/>
      <c r="Q1" s="296"/>
      <c r="R1" s="296"/>
      <c r="S1" s="296"/>
      <c r="T1" s="296"/>
      <c r="U1" s="296"/>
      <c r="V1" s="101"/>
    </row>
    <row r="2" spans="1:22" s="109" customFormat="1" ht="33.75" x14ac:dyDescent="0.2">
      <c r="A2" s="99" t="s">
        <v>170</v>
      </c>
      <c r="B2" s="99" t="s">
        <v>171</v>
      </c>
      <c r="C2" s="99" t="s">
        <v>162</v>
      </c>
      <c r="D2" s="299" t="s">
        <v>166</v>
      </c>
      <c r="E2" s="299"/>
      <c r="F2" s="299"/>
      <c r="G2" s="299"/>
      <c r="H2" s="99" t="s">
        <v>150</v>
      </c>
      <c r="I2" s="99" t="s">
        <v>188</v>
      </c>
      <c r="J2" s="99" t="s">
        <v>185</v>
      </c>
      <c r="K2" s="99" t="s">
        <v>186</v>
      </c>
      <c r="L2" s="99" t="s">
        <v>182</v>
      </c>
      <c r="M2" s="99" t="s">
        <v>183</v>
      </c>
      <c r="N2" s="104" t="s">
        <v>191</v>
      </c>
      <c r="O2" s="104" t="s">
        <v>193</v>
      </c>
      <c r="P2" s="298"/>
      <c r="Q2" s="298"/>
      <c r="R2" s="298"/>
      <c r="S2" s="298"/>
      <c r="T2" s="298"/>
      <c r="U2" s="298"/>
      <c r="V2" s="108"/>
    </row>
    <row r="3" spans="1:22" s="109" customFormat="1" ht="22.5" x14ac:dyDescent="0.2">
      <c r="A3" s="105" t="s">
        <v>167</v>
      </c>
      <c r="B3" s="105" t="s">
        <v>168</v>
      </c>
      <c r="C3" s="100"/>
      <c r="D3" s="103" t="s">
        <v>173</v>
      </c>
      <c r="E3" s="104" t="s">
        <v>174</v>
      </c>
      <c r="F3" s="104" t="s">
        <v>175</v>
      </c>
      <c r="G3" s="104" t="s">
        <v>176</v>
      </c>
      <c r="H3" s="105" t="s">
        <v>0</v>
      </c>
      <c r="I3" s="105" t="s">
        <v>152</v>
      </c>
      <c r="J3" s="105" t="s">
        <v>154</v>
      </c>
      <c r="K3" s="105" t="s">
        <v>156</v>
      </c>
      <c r="L3" s="105" t="s">
        <v>177</v>
      </c>
      <c r="M3" s="105" t="s">
        <v>160</v>
      </c>
      <c r="N3" s="106"/>
      <c r="O3" s="106"/>
      <c r="P3" s="107"/>
      <c r="Q3" s="107"/>
      <c r="R3" s="107"/>
      <c r="S3" s="107"/>
      <c r="T3" s="107"/>
      <c r="U3" s="107"/>
      <c r="V3" s="108"/>
    </row>
    <row r="4" spans="1:22" s="109" customFormat="1" ht="12" customHeight="1" x14ac:dyDescent="0.2">
      <c r="A4" s="105" t="s">
        <v>172</v>
      </c>
      <c r="B4" s="105" t="s">
        <v>172</v>
      </c>
      <c r="C4" s="100"/>
      <c r="D4" s="103" t="s">
        <v>169</v>
      </c>
      <c r="E4" s="104" t="s">
        <v>169</v>
      </c>
      <c r="F4" s="104" t="s">
        <v>169</v>
      </c>
      <c r="G4" s="104" t="s">
        <v>169</v>
      </c>
      <c r="H4" s="105" t="s">
        <v>189</v>
      </c>
      <c r="I4" s="105" t="s">
        <v>187</v>
      </c>
      <c r="J4" s="105" t="s">
        <v>184</v>
      </c>
      <c r="K4" s="105" t="s">
        <v>181</v>
      </c>
      <c r="L4" s="105" t="s">
        <v>180</v>
      </c>
      <c r="M4" s="105" t="s">
        <v>178</v>
      </c>
      <c r="N4" s="106" t="s">
        <v>179</v>
      </c>
      <c r="O4" s="106" t="s">
        <v>192</v>
      </c>
      <c r="P4" s="107"/>
      <c r="Q4" s="107"/>
      <c r="R4" s="107"/>
      <c r="S4" s="107"/>
      <c r="T4" s="107"/>
      <c r="U4" s="107"/>
      <c r="V4" s="108"/>
    </row>
    <row r="5" spans="1:22" s="109" customFormat="1" ht="11.25" x14ac:dyDescent="0.2">
      <c r="A5" s="81">
        <v>180</v>
      </c>
      <c r="B5" s="79">
        <v>185</v>
      </c>
      <c r="C5" s="79">
        <v>5018</v>
      </c>
      <c r="D5" s="82">
        <v>32</v>
      </c>
      <c r="E5" s="79">
        <v>26</v>
      </c>
      <c r="F5" s="79">
        <v>13</v>
      </c>
      <c r="G5" s="79">
        <v>7</v>
      </c>
      <c r="H5" s="80">
        <v>1.29</v>
      </c>
      <c r="I5" s="80">
        <v>0.89</v>
      </c>
      <c r="J5" s="80">
        <v>0.08</v>
      </c>
      <c r="K5" s="80">
        <v>0.62</v>
      </c>
      <c r="L5" s="80">
        <v>2.5</v>
      </c>
      <c r="M5" s="79">
        <v>30</v>
      </c>
      <c r="N5" s="110">
        <v>56.78</v>
      </c>
      <c r="O5" s="110">
        <v>64.73</v>
      </c>
      <c r="P5" s="297"/>
      <c r="Q5" s="297"/>
      <c r="R5" s="297"/>
      <c r="S5" s="297"/>
      <c r="T5" s="297"/>
      <c r="U5" s="297"/>
      <c r="V5" s="108"/>
    </row>
    <row r="6" spans="1:22" s="109" customFormat="1" ht="11.25" x14ac:dyDescent="0.2">
      <c r="A6" s="66">
        <v>180</v>
      </c>
      <c r="B6" s="62">
        <v>225</v>
      </c>
      <c r="C6" s="62">
        <v>6018</v>
      </c>
      <c r="D6" s="63">
        <v>39</v>
      </c>
      <c r="E6" s="62">
        <v>31</v>
      </c>
      <c r="F6" s="62">
        <v>15</v>
      </c>
      <c r="G6" s="62">
        <v>8</v>
      </c>
      <c r="H6" s="61">
        <v>1.31</v>
      </c>
      <c r="I6" s="61">
        <v>1.08</v>
      </c>
      <c r="J6" s="61">
        <v>0.1</v>
      </c>
      <c r="K6" s="61">
        <v>0.74</v>
      </c>
      <c r="L6" s="61">
        <v>2.8</v>
      </c>
      <c r="M6" s="62">
        <v>27</v>
      </c>
      <c r="N6" s="111">
        <v>68.459999999999994</v>
      </c>
      <c r="O6" s="111">
        <v>74.209999999999994</v>
      </c>
      <c r="P6" s="297"/>
      <c r="Q6" s="297"/>
      <c r="R6" s="297"/>
      <c r="S6" s="297"/>
      <c r="T6" s="297"/>
      <c r="U6" s="297"/>
      <c r="V6" s="108"/>
    </row>
    <row r="7" spans="1:22" s="109" customFormat="1" ht="11.25" x14ac:dyDescent="0.2">
      <c r="A7" s="70">
        <v>190</v>
      </c>
      <c r="B7" s="68">
        <v>65</v>
      </c>
      <c r="C7" s="68">
        <v>2019</v>
      </c>
      <c r="D7" s="69">
        <v>15</v>
      </c>
      <c r="E7" s="68">
        <v>12</v>
      </c>
      <c r="F7" s="68">
        <v>6</v>
      </c>
      <c r="G7" s="68">
        <v>3</v>
      </c>
      <c r="H7" s="67">
        <v>1.23</v>
      </c>
      <c r="I7" s="67">
        <v>0.33</v>
      </c>
      <c r="J7" s="67">
        <v>0.03</v>
      </c>
      <c r="K7" s="67">
        <v>0.28000000000000003</v>
      </c>
      <c r="L7" s="67">
        <v>1.2</v>
      </c>
      <c r="M7" s="68">
        <v>49</v>
      </c>
      <c r="N7" s="111">
        <v>44.16</v>
      </c>
      <c r="O7" s="111">
        <v>39.89</v>
      </c>
      <c r="P7" s="297"/>
      <c r="Q7" s="297"/>
      <c r="R7" s="297"/>
      <c r="S7" s="297"/>
      <c r="T7" s="297"/>
      <c r="U7" s="297"/>
      <c r="V7" s="108"/>
    </row>
    <row r="8" spans="1:22" s="109" customFormat="1" ht="11.25" x14ac:dyDescent="0.2">
      <c r="A8" s="71">
        <v>190</v>
      </c>
      <c r="B8" s="68">
        <v>105</v>
      </c>
      <c r="C8" s="68">
        <v>3019</v>
      </c>
      <c r="D8" s="69">
        <v>20</v>
      </c>
      <c r="E8" s="68">
        <v>16</v>
      </c>
      <c r="F8" s="68">
        <v>8</v>
      </c>
      <c r="G8" s="68">
        <v>5</v>
      </c>
      <c r="H8" s="67">
        <v>1.27</v>
      </c>
      <c r="I8" s="67">
        <v>0.5</v>
      </c>
      <c r="J8" s="67">
        <v>0.05</v>
      </c>
      <c r="K8" s="67">
        <v>0.4</v>
      </c>
      <c r="L8" s="67">
        <v>1.7</v>
      </c>
      <c r="M8" s="68">
        <v>38</v>
      </c>
      <c r="N8" s="111">
        <v>43.27</v>
      </c>
      <c r="O8" s="111">
        <v>40.840000000000003</v>
      </c>
      <c r="P8" s="297"/>
      <c r="Q8" s="297"/>
      <c r="R8" s="297"/>
      <c r="S8" s="297"/>
      <c r="T8" s="297"/>
      <c r="U8" s="297"/>
      <c r="V8" s="108"/>
    </row>
    <row r="9" spans="1:22" s="109" customFormat="1" ht="11.25" x14ac:dyDescent="0.2">
      <c r="A9" s="72">
        <v>190</v>
      </c>
      <c r="B9" s="68">
        <v>145</v>
      </c>
      <c r="C9" s="68">
        <v>4019</v>
      </c>
      <c r="D9" s="69">
        <v>27</v>
      </c>
      <c r="E9" s="68">
        <v>22</v>
      </c>
      <c r="F9" s="68">
        <v>11</v>
      </c>
      <c r="G9" s="68">
        <v>6</v>
      </c>
      <c r="H9" s="67">
        <v>1.25</v>
      </c>
      <c r="I9" s="67">
        <v>0.66</v>
      </c>
      <c r="J9" s="67">
        <v>7.0000000000000007E-2</v>
      </c>
      <c r="K9" s="67">
        <v>0.52</v>
      </c>
      <c r="L9" s="67">
        <v>2.2000000000000002</v>
      </c>
      <c r="M9" s="68">
        <v>33</v>
      </c>
      <c r="N9" s="111">
        <v>48.51</v>
      </c>
      <c r="O9" s="111">
        <v>43.65</v>
      </c>
      <c r="P9" s="297"/>
      <c r="Q9" s="297"/>
      <c r="R9" s="297"/>
      <c r="S9" s="297"/>
      <c r="T9" s="297"/>
      <c r="U9" s="297"/>
      <c r="V9" s="108"/>
    </row>
    <row r="10" spans="1:22" s="109" customFormat="1" ht="11.25" x14ac:dyDescent="0.2">
      <c r="A10" s="64">
        <v>260</v>
      </c>
      <c r="B10" s="62">
        <v>65</v>
      </c>
      <c r="C10" s="62">
        <v>2026</v>
      </c>
      <c r="D10" s="63">
        <v>20</v>
      </c>
      <c r="E10" s="62">
        <v>16</v>
      </c>
      <c r="F10" s="62">
        <v>8</v>
      </c>
      <c r="G10" s="62">
        <v>5</v>
      </c>
      <c r="H10" s="61">
        <v>1.25</v>
      </c>
      <c r="I10" s="61">
        <v>0.42</v>
      </c>
      <c r="J10" s="61">
        <v>0.04</v>
      </c>
      <c r="K10" s="61">
        <v>0.34</v>
      </c>
      <c r="L10" s="61">
        <v>1.6</v>
      </c>
      <c r="M10" s="62">
        <v>49</v>
      </c>
      <c r="N10" s="111">
        <v>46.44</v>
      </c>
      <c r="O10" s="111">
        <v>55.19</v>
      </c>
      <c r="P10" s="297"/>
      <c r="Q10" s="297"/>
      <c r="R10" s="297"/>
      <c r="S10" s="297"/>
      <c r="T10" s="297"/>
      <c r="U10" s="297"/>
      <c r="V10" s="108"/>
    </row>
    <row r="11" spans="1:22" s="109" customFormat="1" ht="11.25" x14ac:dyDescent="0.2">
      <c r="A11" s="65">
        <v>260</v>
      </c>
      <c r="B11" s="62">
        <v>105</v>
      </c>
      <c r="C11" s="62">
        <v>3026</v>
      </c>
      <c r="D11" s="63">
        <v>28</v>
      </c>
      <c r="E11" s="62">
        <v>22</v>
      </c>
      <c r="F11" s="62">
        <v>11</v>
      </c>
      <c r="G11" s="62">
        <v>6</v>
      </c>
      <c r="H11" s="61">
        <v>1.31</v>
      </c>
      <c r="I11" s="61">
        <v>0.63</v>
      </c>
      <c r="J11" s="61">
        <v>7.0000000000000007E-2</v>
      </c>
      <c r="K11" s="61">
        <v>0.48</v>
      </c>
      <c r="L11" s="61">
        <v>2.2000000000000002</v>
      </c>
      <c r="M11" s="62">
        <v>38</v>
      </c>
      <c r="N11" s="111">
        <v>44.39</v>
      </c>
      <c r="O11" s="111">
        <v>56.74</v>
      </c>
      <c r="P11" s="297"/>
      <c r="Q11" s="297"/>
      <c r="R11" s="297"/>
      <c r="S11" s="297"/>
      <c r="T11" s="297"/>
      <c r="U11" s="297"/>
      <c r="V11" s="108"/>
    </row>
    <row r="12" spans="1:22" s="109" customFormat="1" ht="11.25" x14ac:dyDescent="0.2">
      <c r="A12" s="65">
        <v>260</v>
      </c>
      <c r="B12" s="62">
        <v>145</v>
      </c>
      <c r="C12" s="62">
        <v>4026</v>
      </c>
      <c r="D12" s="63">
        <v>36</v>
      </c>
      <c r="E12" s="62">
        <v>29</v>
      </c>
      <c r="F12" s="62">
        <v>15</v>
      </c>
      <c r="G12" s="62">
        <v>8</v>
      </c>
      <c r="H12" s="61">
        <v>1.3</v>
      </c>
      <c r="I12" s="61">
        <v>0.84</v>
      </c>
      <c r="J12" s="61">
        <v>0.09</v>
      </c>
      <c r="K12" s="61">
        <v>0.63</v>
      </c>
      <c r="L12" s="61">
        <v>2.8</v>
      </c>
      <c r="M12" s="62">
        <v>33</v>
      </c>
      <c r="N12" s="111">
        <v>50.75</v>
      </c>
      <c r="O12" s="111">
        <v>63.09</v>
      </c>
      <c r="P12" s="297"/>
      <c r="Q12" s="297"/>
      <c r="R12" s="297"/>
      <c r="S12" s="297"/>
      <c r="T12" s="297"/>
      <c r="U12" s="297"/>
      <c r="V12" s="108"/>
    </row>
    <row r="13" spans="1:22" s="109" customFormat="1" ht="11.25" x14ac:dyDescent="0.2">
      <c r="A13" s="65">
        <v>260</v>
      </c>
      <c r="B13" s="74">
        <v>185</v>
      </c>
      <c r="C13" s="74">
        <v>5026</v>
      </c>
      <c r="D13" s="75">
        <v>45</v>
      </c>
      <c r="E13" s="74">
        <v>36</v>
      </c>
      <c r="F13" s="74">
        <v>17</v>
      </c>
      <c r="G13" s="74">
        <v>10</v>
      </c>
      <c r="H13" s="73">
        <v>1.33</v>
      </c>
      <c r="I13" s="73">
        <v>1.1100000000000001</v>
      </c>
      <c r="J13" s="73">
        <v>0.11</v>
      </c>
      <c r="K13" s="73">
        <v>0.78</v>
      </c>
      <c r="L13" s="73">
        <v>3.6</v>
      </c>
      <c r="M13" s="74">
        <v>30</v>
      </c>
      <c r="N13" s="112">
        <v>60.26</v>
      </c>
      <c r="O13" s="112">
        <v>74.56</v>
      </c>
      <c r="P13" s="297"/>
      <c r="Q13" s="297"/>
      <c r="R13" s="297"/>
      <c r="S13" s="297"/>
      <c r="T13" s="297"/>
      <c r="U13" s="297"/>
      <c r="V13" s="108"/>
    </row>
    <row r="14" spans="1:22" s="109" customFormat="1" ht="11.25" x14ac:dyDescent="0.2">
      <c r="A14" s="65">
        <v>260</v>
      </c>
      <c r="B14" s="74">
        <v>225</v>
      </c>
      <c r="C14" s="74">
        <v>6026</v>
      </c>
      <c r="D14" s="75">
        <v>53</v>
      </c>
      <c r="E14" s="74">
        <v>42</v>
      </c>
      <c r="F14" s="74">
        <v>20</v>
      </c>
      <c r="G14" s="74">
        <v>11</v>
      </c>
      <c r="H14" s="73">
        <v>1.36</v>
      </c>
      <c r="I14" s="73">
        <v>1.34</v>
      </c>
      <c r="J14" s="73">
        <v>0.13</v>
      </c>
      <c r="K14" s="73">
        <v>0.93</v>
      </c>
      <c r="L14" s="73">
        <v>4</v>
      </c>
      <c r="M14" s="74">
        <v>27</v>
      </c>
      <c r="N14" s="112">
        <v>69.650000000000006</v>
      </c>
      <c r="O14" s="112">
        <v>84.54</v>
      </c>
      <c r="P14" s="297"/>
      <c r="Q14" s="297"/>
      <c r="R14" s="297"/>
      <c r="S14" s="297"/>
      <c r="T14" s="297"/>
      <c r="U14" s="297"/>
      <c r="V14" s="108"/>
    </row>
    <row r="15" spans="1:22" s="109" customFormat="1" ht="12.75" customHeight="1" x14ac:dyDescent="0.2">
      <c r="A15" s="70">
        <v>300</v>
      </c>
      <c r="B15" s="68">
        <v>65</v>
      </c>
      <c r="C15" s="68">
        <v>2030</v>
      </c>
      <c r="D15" s="69">
        <v>24</v>
      </c>
      <c r="E15" s="68">
        <v>19</v>
      </c>
      <c r="F15" s="68">
        <v>10</v>
      </c>
      <c r="G15" s="68">
        <v>6</v>
      </c>
      <c r="H15" s="67">
        <v>1.26</v>
      </c>
      <c r="I15" s="67">
        <v>0.47</v>
      </c>
      <c r="J15" s="67">
        <v>0.05</v>
      </c>
      <c r="K15" s="67">
        <v>0.37</v>
      </c>
      <c r="L15" s="67">
        <v>1.9</v>
      </c>
      <c r="M15" s="68">
        <v>49</v>
      </c>
      <c r="N15" s="111">
        <v>43.52</v>
      </c>
      <c r="O15" s="111">
        <v>51.73</v>
      </c>
      <c r="P15" s="297"/>
      <c r="Q15" s="297"/>
      <c r="R15" s="297"/>
      <c r="S15" s="300"/>
      <c r="T15" s="300"/>
      <c r="U15" s="300"/>
      <c r="V15" s="108"/>
    </row>
    <row r="16" spans="1:22" s="109" customFormat="1" ht="12.75" customHeight="1" x14ac:dyDescent="0.2">
      <c r="A16" s="71">
        <v>300</v>
      </c>
      <c r="B16" s="68">
        <v>105</v>
      </c>
      <c r="C16" s="68">
        <v>3030</v>
      </c>
      <c r="D16" s="69">
        <v>33</v>
      </c>
      <c r="E16" s="68">
        <v>26</v>
      </c>
      <c r="F16" s="68">
        <v>13</v>
      </c>
      <c r="G16" s="68">
        <v>7</v>
      </c>
      <c r="H16" s="67">
        <v>1.33</v>
      </c>
      <c r="I16" s="67">
        <v>0.7</v>
      </c>
      <c r="J16" s="67">
        <v>0.08</v>
      </c>
      <c r="K16" s="67">
        <v>0.53</v>
      </c>
      <c r="L16" s="67">
        <v>2.7</v>
      </c>
      <c r="M16" s="68">
        <v>38</v>
      </c>
      <c r="N16" s="111">
        <v>45.95</v>
      </c>
      <c r="O16" s="111">
        <v>54.45</v>
      </c>
      <c r="P16" s="297"/>
      <c r="Q16" s="297"/>
      <c r="R16" s="297"/>
      <c r="S16" s="300"/>
      <c r="T16" s="300"/>
      <c r="U16" s="300"/>
      <c r="V16" s="108"/>
    </row>
    <row r="17" spans="1:22" s="109" customFormat="1" ht="12.75" customHeight="1" x14ac:dyDescent="0.2">
      <c r="A17" s="71">
        <v>300</v>
      </c>
      <c r="B17" s="68">
        <v>145</v>
      </c>
      <c r="C17" s="68">
        <v>4030</v>
      </c>
      <c r="D17" s="69">
        <v>43</v>
      </c>
      <c r="E17" s="68">
        <v>34</v>
      </c>
      <c r="F17" s="68">
        <v>17</v>
      </c>
      <c r="G17" s="68">
        <v>9</v>
      </c>
      <c r="H17" s="67">
        <v>1.33</v>
      </c>
      <c r="I17" s="67">
        <v>0.93</v>
      </c>
      <c r="J17" s="67">
        <v>0.1</v>
      </c>
      <c r="K17" s="67">
        <v>0.69</v>
      </c>
      <c r="L17" s="67">
        <v>3.4</v>
      </c>
      <c r="M17" s="68">
        <v>33</v>
      </c>
      <c r="N17" s="111">
        <v>51.53</v>
      </c>
      <c r="O17" s="111">
        <v>61.86</v>
      </c>
      <c r="P17" s="297"/>
      <c r="Q17" s="297"/>
      <c r="R17" s="297"/>
      <c r="S17" s="300"/>
      <c r="T17" s="300"/>
      <c r="U17" s="300"/>
      <c r="V17" s="108"/>
    </row>
    <row r="18" spans="1:22" s="109" customFormat="1" ht="12.75" customHeight="1" x14ac:dyDescent="0.2">
      <c r="A18" s="71">
        <v>300</v>
      </c>
      <c r="B18" s="68">
        <v>185</v>
      </c>
      <c r="C18" s="68">
        <v>5030</v>
      </c>
      <c r="D18" s="69">
        <v>53</v>
      </c>
      <c r="E18" s="68">
        <v>42</v>
      </c>
      <c r="F18" s="68">
        <v>20</v>
      </c>
      <c r="G18" s="68">
        <v>11</v>
      </c>
      <c r="H18" s="67">
        <v>1.36</v>
      </c>
      <c r="I18" s="67">
        <v>1.23</v>
      </c>
      <c r="J18" s="67">
        <v>0.13</v>
      </c>
      <c r="K18" s="67">
        <v>0.86</v>
      </c>
      <c r="L18" s="67">
        <v>4.0999999999999996</v>
      </c>
      <c r="M18" s="68">
        <v>30</v>
      </c>
      <c r="N18" s="111">
        <v>61.92</v>
      </c>
      <c r="O18" s="111">
        <v>73.5</v>
      </c>
      <c r="P18" s="297"/>
      <c r="Q18" s="297"/>
      <c r="R18" s="297"/>
      <c r="S18" s="300"/>
      <c r="T18" s="300"/>
      <c r="U18" s="300"/>
      <c r="V18" s="108"/>
    </row>
    <row r="19" spans="1:22" s="109" customFormat="1" ht="12.75" customHeight="1" x14ac:dyDescent="0.2">
      <c r="A19" s="71">
        <v>300</v>
      </c>
      <c r="B19" s="77">
        <v>225</v>
      </c>
      <c r="C19" s="77">
        <v>6030</v>
      </c>
      <c r="D19" s="78">
        <v>62</v>
      </c>
      <c r="E19" s="77">
        <v>49</v>
      </c>
      <c r="F19" s="77">
        <v>23</v>
      </c>
      <c r="G19" s="77">
        <v>12</v>
      </c>
      <c r="H19" s="76">
        <v>1.39</v>
      </c>
      <c r="I19" s="76">
        <v>1.49</v>
      </c>
      <c r="J19" s="76">
        <v>0.15</v>
      </c>
      <c r="K19" s="76">
        <v>1.02</v>
      </c>
      <c r="L19" s="76">
        <v>4.9000000000000004</v>
      </c>
      <c r="M19" s="77">
        <v>27</v>
      </c>
      <c r="N19" s="112">
        <v>71.44</v>
      </c>
      <c r="O19" s="112">
        <v>84.38</v>
      </c>
      <c r="P19" s="297"/>
      <c r="Q19" s="297"/>
      <c r="R19" s="297"/>
      <c r="S19" s="300"/>
      <c r="T19" s="300"/>
      <c r="U19" s="300"/>
      <c r="V19" s="108"/>
    </row>
    <row r="20" spans="1:22" s="109" customFormat="1" ht="11.25" x14ac:dyDescent="0.2">
      <c r="A20" s="64">
        <v>350</v>
      </c>
      <c r="B20" s="62">
        <v>65</v>
      </c>
      <c r="C20" s="62">
        <v>2035</v>
      </c>
      <c r="D20" s="63">
        <v>28</v>
      </c>
      <c r="E20" s="62">
        <v>22</v>
      </c>
      <c r="F20" s="62">
        <v>11</v>
      </c>
      <c r="G20" s="62">
        <v>6</v>
      </c>
      <c r="H20" s="61">
        <v>1.31</v>
      </c>
      <c r="I20" s="61">
        <v>0.53</v>
      </c>
      <c r="J20" s="61">
        <v>0.06</v>
      </c>
      <c r="K20" s="61">
        <v>0.41</v>
      </c>
      <c r="L20" s="61">
        <v>2.2000000000000002</v>
      </c>
      <c r="M20" s="62">
        <v>49</v>
      </c>
      <c r="N20" s="111">
        <v>45.33</v>
      </c>
      <c r="O20" s="111">
        <v>51</v>
      </c>
      <c r="P20" s="297"/>
      <c r="Q20" s="297"/>
      <c r="R20" s="297"/>
      <c r="S20" s="297"/>
      <c r="T20" s="297"/>
      <c r="U20" s="297"/>
      <c r="V20" s="108"/>
    </row>
    <row r="21" spans="1:22" s="109" customFormat="1" ht="11.25" x14ac:dyDescent="0.2">
      <c r="A21" s="65">
        <v>350</v>
      </c>
      <c r="B21" s="62">
        <v>105</v>
      </c>
      <c r="C21" s="62">
        <v>3035</v>
      </c>
      <c r="D21" s="63">
        <v>38</v>
      </c>
      <c r="E21" s="62">
        <v>30</v>
      </c>
      <c r="F21" s="62">
        <v>15</v>
      </c>
      <c r="G21" s="62">
        <v>8</v>
      </c>
      <c r="H21" s="61">
        <v>1.36</v>
      </c>
      <c r="I21" s="61">
        <v>0.79</v>
      </c>
      <c r="J21" s="61">
        <v>0.09</v>
      </c>
      <c r="K21" s="61">
        <v>0.59</v>
      </c>
      <c r="L21" s="61">
        <v>3.1</v>
      </c>
      <c r="M21" s="62">
        <v>38</v>
      </c>
      <c r="N21" s="111">
        <v>47.14</v>
      </c>
      <c r="O21" s="111">
        <v>55.56</v>
      </c>
      <c r="P21" s="297"/>
      <c r="Q21" s="297"/>
      <c r="R21" s="297"/>
      <c r="S21" s="297"/>
      <c r="T21" s="297"/>
      <c r="U21" s="297"/>
      <c r="V21" s="108"/>
    </row>
    <row r="22" spans="1:22" s="109" customFormat="1" ht="11.25" x14ac:dyDescent="0.2">
      <c r="A22" s="65">
        <v>350</v>
      </c>
      <c r="B22" s="62">
        <v>145</v>
      </c>
      <c r="C22" s="62">
        <v>4035</v>
      </c>
      <c r="D22" s="63">
        <v>49</v>
      </c>
      <c r="E22" s="62">
        <v>39</v>
      </c>
      <c r="F22" s="62">
        <v>19</v>
      </c>
      <c r="G22" s="62">
        <v>10</v>
      </c>
      <c r="H22" s="61">
        <v>1.35</v>
      </c>
      <c r="I22" s="61">
        <v>1.06</v>
      </c>
      <c r="J22" s="61">
        <v>0.12</v>
      </c>
      <c r="K22" s="61">
        <v>0.77</v>
      </c>
      <c r="L22" s="61">
        <v>4</v>
      </c>
      <c r="M22" s="62">
        <v>33</v>
      </c>
      <c r="N22" s="111">
        <v>53.42</v>
      </c>
      <c r="O22" s="111">
        <v>63.44</v>
      </c>
      <c r="P22" s="297"/>
      <c r="Q22" s="297"/>
      <c r="R22" s="297"/>
      <c r="S22" s="297"/>
      <c r="T22" s="297"/>
      <c r="U22" s="297"/>
      <c r="V22" s="108"/>
    </row>
    <row r="23" spans="1:22" s="109" customFormat="1" ht="11.25" x14ac:dyDescent="0.2">
      <c r="A23" s="65">
        <v>350</v>
      </c>
      <c r="B23" s="62">
        <v>185</v>
      </c>
      <c r="C23" s="62">
        <v>5035</v>
      </c>
      <c r="D23" s="63">
        <v>61</v>
      </c>
      <c r="E23" s="62">
        <v>48</v>
      </c>
      <c r="F23" s="62">
        <v>23</v>
      </c>
      <c r="G23" s="62">
        <v>12</v>
      </c>
      <c r="H23" s="61">
        <v>1.39</v>
      </c>
      <c r="I23" s="61">
        <v>1.38</v>
      </c>
      <c r="J23" s="61">
        <v>0.15</v>
      </c>
      <c r="K23" s="61">
        <v>0.96</v>
      </c>
      <c r="L23" s="61">
        <v>4.8</v>
      </c>
      <c r="M23" s="62">
        <v>30</v>
      </c>
      <c r="N23" s="111">
        <v>64.33</v>
      </c>
      <c r="O23" s="111">
        <v>76.010000000000005</v>
      </c>
      <c r="P23" s="297"/>
      <c r="Q23" s="297"/>
      <c r="R23" s="297"/>
      <c r="S23" s="297"/>
      <c r="T23" s="297"/>
      <c r="U23" s="297"/>
      <c r="V23" s="108"/>
    </row>
    <row r="24" spans="1:22" s="109" customFormat="1" ht="11.25" x14ac:dyDescent="0.2">
      <c r="A24" s="66">
        <v>350</v>
      </c>
      <c r="B24" s="62">
        <v>225</v>
      </c>
      <c r="C24" s="62">
        <v>6035</v>
      </c>
      <c r="D24" s="63">
        <v>72</v>
      </c>
      <c r="E24" s="62">
        <v>56</v>
      </c>
      <c r="F24" s="62">
        <v>27</v>
      </c>
      <c r="G24" s="62">
        <v>14</v>
      </c>
      <c r="H24" s="61">
        <v>1.41</v>
      </c>
      <c r="I24" s="61">
        <v>1.67</v>
      </c>
      <c r="J24" s="61">
        <v>0.18</v>
      </c>
      <c r="K24" s="61">
        <v>1.1399999999999999</v>
      </c>
      <c r="L24" s="61">
        <v>5.7</v>
      </c>
      <c r="M24" s="62">
        <v>27</v>
      </c>
      <c r="N24" s="111">
        <v>73.73</v>
      </c>
      <c r="O24" s="111">
        <v>87.4</v>
      </c>
      <c r="P24" s="297"/>
      <c r="Q24" s="297"/>
      <c r="R24" s="297"/>
      <c r="S24" s="297"/>
      <c r="T24" s="297"/>
      <c r="U24" s="297"/>
      <c r="V24" s="108"/>
    </row>
    <row r="25" spans="1:22" s="109" customFormat="1" ht="11.25" x14ac:dyDescent="0.2">
      <c r="A25" s="70">
        <v>400</v>
      </c>
      <c r="B25" s="68">
        <v>65</v>
      </c>
      <c r="C25" s="68">
        <v>2040</v>
      </c>
      <c r="D25" s="69">
        <v>31</v>
      </c>
      <c r="E25" s="68">
        <v>25</v>
      </c>
      <c r="F25" s="68">
        <v>12</v>
      </c>
      <c r="G25" s="68">
        <v>7</v>
      </c>
      <c r="H25" s="67">
        <v>1.31</v>
      </c>
      <c r="I25" s="67">
        <v>0.59</v>
      </c>
      <c r="J25" s="67">
        <v>7.0000000000000007E-2</v>
      </c>
      <c r="K25" s="67">
        <v>0.45</v>
      </c>
      <c r="L25" s="67">
        <v>2.4</v>
      </c>
      <c r="M25" s="68">
        <v>49</v>
      </c>
      <c r="N25" s="111">
        <v>46.44</v>
      </c>
      <c r="O25" s="111">
        <v>53.74</v>
      </c>
      <c r="P25" s="297"/>
      <c r="Q25" s="297"/>
      <c r="R25" s="297"/>
      <c r="S25" s="297"/>
      <c r="T25" s="297"/>
      <c r="U25" s="297"/>
      <c r="V25" s="108"/>
    </row>
    <row r="26" spans="1:22" s="109" customFormat="1" ht="11.25" x14ac:dyDescent="0.2">
      <c r="A26" s="71">
        <v>400</v>
      </c>
      <c r="B26" s="68">
        <v>105</v>
      </c>
      <c r="C26" s="68">
        <v>3040</v>
      </c>
      <c r="D26" s="69">
        <v>43</v>
      </c>
      <c r="E26" s="68">
        <v>34</v>
      </c>
      <c r="F26" s="68">
        <v>17</v>
      </c>
      <c r="G26" s="68">
        <v>9</v>
      </c>
      <c r="H26" s="67">
        <v>1.36</v>
      </c>
      <c r="I26" s="67">
        <v>0.88</v>
      </c>
      <c r="J26" s="67">
        <v>0.1</v>
      </c>
      <c r="K26" s="67">
        <v>0.65</v>
      </c>
      <c r="L26" s="67">
        <v>3.5</v>
      </c>
      <c r="M26" s="68">
        <v>38</v>
      </c>
      <c r="N26" s="111">
        <v>48.18</v>
      </c>
      <c r="O26" s="111">
        <v>57.5</v>
      </c>
      <c r="P26" s="297"/>
      <c r="Q26" s="297"/>
      <c r="R26" s="297"/>
      <c r="S26" s="297"/>
      <c r="T26" s="297"/>
      <c r="U26" s="297"/>
      <c r="V26" s="108"/>
    </row>
    <row r="27" spans="1:22" s="109" customFormat="1" ht="11.25" x14ac:dyDescent="0.2">
      <c r="A27" s="71">
        <v>400</v>
      </c>
      <c r="B27" s="68">
        <v>145</v>
      </c>
      <c r="C27" s="68">
        <v>4040</v>
      </c>
      <c r="D27" s="69">
        <v>56</v>
      </c>
      <c r="E27" s="68">
        <v>44</v>
      </c>
      <c r="F27" s="68">
        <v>22</v>
      </c>
      <c r="G27" s="68">
        <v>12</v>
      </c>
      <c r="H27" s="67">
        <v>1.35</v>
      </c>
      <c r="I27" s="67">
        <v>1.18</v>
      </c>
      <c r="J27" s="67">
        <v>0.13</v>
      </c>
      <c r="K27" s="67">
        <v>0.85</v>
      </c>
      <c r="L27" s="67">
        <v>4.5</v>
      </c>
      <c r="M27" s="68">
        <v>33</v>
      </c>
      <c r="N27" s="111">
        <v>55.87</v>
      </c>
      <c r="O27" s="111">
        <v>65.959999999999994</v>
      </c>
      <c r="P27" s="297"/>
      <c r="Q27" s="297"/>
      <c r="R27" s="297"/>
      <c r="S27" s="297"/>
      <c r="T27" s="297"/>
      <c r="U27" s="297"/>
      <c r="V27" s="108"/>
    </row>
    <row r="28" spans="1:22" s="109" customFormat="1" ht="11.25" x14ac:dyDescent="0.2">
      <c r="A28" s="71">
        <v>400</v>
      </c>
      <c r="B28" s="68">
        <v>185</v>
      </c>
      <c r="C28" s="68">
        <v>5040</v>
      </c>
      <c r="D28" s="69">
        <v>69</v>
      </c>
      <c r="E28" s="68">
        <v>55</v>
      </c>
      <c r="F28" s="68">
        <v>26</v>
      </c>
      <c r="G28" s="68">
        <v>14</v>
      </c>
      <c r="H28" s="67">
        <v>1.39</v>
      </c>
      <c r="I28" s="67">
        <v>1.53</v>
      </c>
      <c r="J28" s="67">
        <v>0.17</v>
      </c>
      <c r="K28" s="67">
        <v>1.06</v>
      </c>
      <c r="L28" s="67">
        <v>5.5</v>
      </c>
      <c r="M28" s="68">
        <v>30</v>
      </c>
      <c r="N28" s="111">
        <v>64.89</v>
      </c>
      <c r="O28" s="111">
        <v>78.75</v>
      </c>
      <c r="P28" s="297"/>
      <c r="Q28" s="297"/>
      <c r="R28" s="297"/>
      <c r="S28" s="297"/>
      <c r="T28" s="297"/>
      <c r="U28" s="297"/>
      <c r="V28" s="108"/>
    </row>
    <row r="29" spans="1:22" s="109" customFormat="1" ht="11.25" x14ac:dyDescent="0.2">
      <c r="A29" s="72">
        <v>400</v>
      </c>
      <c r="B29" s="68">
        <v>225</v>
      </c>
      <c r="C29" s="68">
        <v>6040</v>
      </c>
      <c r="D29" s="69">
        <v>81</v>
      </c>
      <c r="E29" s="68">
        <v>64</v>
      </c>
      <c r="F29" s="68">
        <v>30</v>
      </c>
      <c r="G29" s="68">
        <v>16</v>
      </c>
      <c r="H29" s="67">
        <v>1.41</v>
      </c>
      <c r="I29" s="67">
        <v>1.85</v>
      </c>
      <c r="J29" s="67">
        <v>0.2</v>
      </c>
      <c r="K29" s="67">
        <v>1.26</v>
      </c>
      <c r="L29" s="67">
        <v>6.5</v>
      </c>
      <c r="M29" s="68">
        <v>27</v>
      </c>
      <c r="N29" s="111">
        <v>76.63</v>
      </c>
      <c r="O29" s="111">
        <v>90.85</v>
      </c>
      <c r="P29" s="297"/>
      <c r="Q29" s="297"/>
      <c r="R29" s="297"/>
      <c r="S29" s="297"/>
      <c r="T29" s="297"/>
      <c r="U29" s="297"/>
      <c r="V29" s="108"/>
    </row>
    <row r="30" spans="1:22" s="109" customFormat="1" ht="11.25" x14ac:dyDescent="0.2">
      <c r="A30" s="64">
        <v>450</v>
      </c>
      <c r="B30" s="62">
        <v>65</v>
      </c>
      <c r="C30" s="62">
        <v>2045</v>
      </c>
      <c r="D30" s="63">
        <v>35</v>
      </c>
      <c r="E30" s="62">
        <v>28</v>
      </c>
      <c r="F30" s="62">
        <v>14</v>
      </c>
      <c r="G30" s="62">
        <v>8</v>
      </c>
      <c r="H30" s="61">
        <v>1.31</v>
      </c>
      <c r="I30" s="61">
        <v>0.65</v>
      </c>
      <c r="J30" s="61">
        <v>7.0000000000000007E-2</v>
      </c>
      <c r="K30" s="61">
        <v>0.49</v>
      </c>
      <c r="L30" s="61">
        <v>2.8</v>
      </c>
      <c r="M30" s="62">
        <v>49</v>
      </c>
      <c r="N30" s="111">
        <v>47.14</v>
      </c>
      <c r="O30" s="111">
        <v>54.19</v>
      </c>
      <c r="P30" s="297"/>
      <c r="Q30" s="297"/>
      <c r="R30" s="297"/>
      <c r="S30" s="297"/>
      <c r="T30" s="297"/>
      <c r="U30" s="297"/>
      <c r="V30" s="108"/>
    </row>
    <row r="31" spans="1:22" s="109" customFormat="1" ht="11.25" x14ac:dyDescent="0.2">
      <c r="A31" s="65">
        <v>450</v>
      </c>
      <c r="B31" s="62">
        <v>105</v>
      </c>
      <c r="C31" s="62">
        <v>3045</v>
      </c>
      <c r="D31" s="63">
        <v>48</v>
      </c>
      <c r="E31" s="62">
        <v>38</v>
      </c>
      <c r="F31" s="62">
        <v>19</v>
      </c>
      <c r="G31" s="62">
        <v>10</v>
      </c>
      <c r="H31" s="61">
        <v>1.36</v>
      </c>
      <c r="I31" s="61">
        <v>0.97</v>
      </c>
      <c r="J31" s="61">
        <v>0.11</v>
      </c>
      <c r="K31" s="61">
        <v>0.71</v>
      </c>
      <c r="L31" s="61">
        <v>4</v>
      </c>
      <c r="M31" s="62">
        <v>38</v>
      </c>
      <c r="N31" s="111">
        <v>49.29</v>
      </c>
      <c r="O31" s="111">
        <v>59.43</v>
      </c>
      <c r="P31" s="297"/>
      <c r="Q31" s="297"/>
      <c r="R31" s="297"/>
      <c r="S31" s="297"/>
      <c r="T31" s="297"/>
      <c r="U31" s="297"/>
      <c r="V31" s="108"/>
    </row>
    <row r="32" spans="1:22" s="109" customFormat="1" ht="11.25" x14ac:dyDescent="0.2">
      <c r="A32" s="65">
        <v>450</v>
      </c>
      <c r="B32" s="62">
        <v>145</v>
      </c>
      <c r="C32" s="62">
        <v>4045</v>
      </c>
      <c r="D32" s="63">
        <v>62</v>
      </c>
      <c r="E32" s="62">
        <v>50</v>
      </c>
      <c r="F32" s="62">
        <v>24</v>
      </c>
      <c r="G32" s="62">
        <v>13</v>
      </c>
      <c r="H32" s="61">
        <v>1.35</v>
      </c>
      <c r="I32" s="61">
        <v>1.3</v>
      </c>
      <c r="J32" s="61">
        <v>0.15</v>
      </c>
      <c r="K32" s="61">
        <v>0.93</v>
      </c>
      <c r="L32" s="61">
        <v>5</v>
      </c>
      <c r="M32" s="62">
        <v>33</v>
      </c>
      <c r="N32" s="111">
        <v>60</v>
      </c>
      <c r="O32" s="111">
        <v>68.430000000000007</v>
      </c>
      <c r="P32" s="297"/>
      <c r="Q32" s="297"/>
      <c r="R32" s="297"/>
      <c r="S32" s="297"/>
      <c r="T32" s="297"/>
      <c r="U32" s="297"/>
      <c r="V32" s="108"/>
    </row>
    <row r="33" spans="1:22" s="109" customFormat="1" ht="11.25" x14ac:dyDescent="0.2">
      <c r="A33" s="65">
        <v>450</v>
      </c>
      <c r="B33" s="62">
        <v>185</v>
      </c>
      <c r="C33" s="62">
        <v>5045</v>
      </c>
      <c r="D33" s="63">
        <v>77</v>
      </c>
      <c r="E33" s="62">
        <v>61</v>
      </c>
      <c r="F33" s="62">
        <v>29</v>
      </c>
      <c r="G33" s="62">
        <v>15</v>
      </c>
      <c r="H33" s="61">
        <v>1.39</v>
      </c>
      <c r="I33" s="61">
        <v>1.68</v>
      </c>
      <c r="J33" s="61">
        <v>0.19</v>
      </c>
      <c r="K33" s="61">
        <v>1.1599999999999999</v>
      </c>
      <c r="L33" s="61">
        <v>6.2</v>
      </c>
      <c r="M33" s="62">
        <v>30</v>
      </c>
      <c r="N33" s="111">
        <v>81.59</v>
      </c>
      <c r="O33" s="111">
        <v>81.819999999999993</v>
      </c>
      <c r="P33" s="297"/>
      <c r="Q33" s="297"/>
      <c r="R33" s="297"/>
      <c r="S33" s="297"/>
      <c r="T33" s="297"/>
      <c r="U33" s="297"/>
      <c r="V33" s="108"/>
    </row>
    <row r="34" spans="1:22" s="109" customFormat="1" ht="11.25" x14ac:dyDescent="0.2">
      <c r="A34" s="66">
        <v>450</v>
      </c>
      <c r="B34" s="62">
        <v>225</v>
      </c>
      <c r="C34" s="62">
        <v>6045</v>
      </c>
      <c r="D34" s="63">
        <v>90</v>
      </c>
      <c r="E34" s="62">
        <v>71</v>
      </c>
      <c r="F34" s="62">
        <v>33</v>
      </c>
      <c r="G34" s="62">
        <v>18</v>
      </c>
      <c r="H34" s="61">
        <v>1.41</v>
      </c>
      <c r="I34" s="61">
        <v>2.0299999999999998</v>
      </c>
      <c r="J34" s="61">
        <v>0.22</v>
      </c>
      <c r="K34" s="61">
        <v>1.38</v>
      </c>
      <c r="L34" s="61">
        <v>7.2</v>
      </c>
      <c r="M34" s="62">
        <v>27</v>
      </c>
      <c r="N34" s="111">
        <v>87.81</v>
      </c>
      <c r="O34" s="111">
        <v>93.51</v>
      </c>
      <c r="P34" s="297"/>
      <c r="Q34" s="297"/>
      <c r="R34" s="297"/>
      <c r="S34" s="297"/>
      <c r="T34" s="297"/>
      <c r="U34" s="297"/>
      <c r="V34" s="108"/>
    </row>
    <row r="35" spans="1:22" s="109" customFormat="1" ht="11.25" x14ac:dyDescent="0.2">
      <c r="A35" s="70">
        <v>500</v>
      </c>
      <c r="B35" s="68">
        <v>65</v>
      </c>
      <c r="C35" s="68">
        <v>2050</v>
      </c>
      <c r="D35" s="69">
        <v>39</v>
      </c>
      <c r="E35" s="68">
        <v>31</v>
      </c>
      <c r="F35" s="68">
        <v>15</v>
      </c>
      <c r="G35" s="68">
        <v>8</v>
      </c>
      <c r="H35" s="67">
        <v>1.31</v>
      </c>
      <c r="I35" s="67">
        <v>0.71</v>
      </c>
      <c r="J35" s="67">
        <v>0.08</v>
      </c>
      <c r="K35" s="67">
        <v>0.53</v>
      </c>
      <c r="L35" s="67">
        <v>3.2</v>
      </c>
      <c r="M35" s="68">
        <v>49</v>
      </c>
      <c r="N35" s="111">
        <v>48.18</v>
      </c>
      <c r="O35" s="111">
        <v>56.11</v>
      </c>
      <c r="P35" s="297"/>
      <c r="Q35" s="297"/>
      <c r="R35" s="297"/>
      <c r="S35" s="297"/>
      <c r="T35" s="297"/>
      <c r="U35" s="297"/>
      <c r="V35" s="108"/>
    </row>
    <row r="36" spans="1:22" s="109" customFormat="1" ht="11.25" x14ac:dyDescent="0.2">
      <c r="A36" s="71">
        <v>500</v>
      </c>
      <c r="B36" s="68">
        <v>105</v>
      </c>
      <c r="C36" s="68">
        <v>3050</v>
      </c>
      <c r="D36" s="69">
        <v>53</v>
      </c>
      <c r="E36" s="68">
        <v>42</v>
      </c>
      <c r="F36" s="68">
        <v>20</v>
      </c>
      <c r="G36" s="68">
        <v>11</v>
      </c>
      <c r="H36" s="67">
        <v>1.36</v>
      </c>
      <c r="I36" s="67">
        <v>1.06</v>
      </c>
      <c r="J36" s="67">
        <v>0.12</v>
      </c>
      <c r="K36" s="67">
        <v>0.77</v>
      </c>
      <c r="L36" s="67">
        <v>4.4000000000000004</v>
      </c>
      <c r="M36" s="68">
        <v>38</v>
      </c>
      <c r="N36" s="111">
        <v>50.08</v>
      </c>
      <c r="O36" s="111">
        <v>61.45</v>
      </c>
      <c r="P36" s="297"/>
      <c r="Q36" s="297"/>
      <c r="R36" s="297"/>
      <c r="S36" s="297"/>
      <c r="T36" s="297"/>
      <c r="U36" s="297"/>
      <c r="V36" s="108"/>
    </row>
    <row r="37" spans="1:22" s="109" customFormat="1" ht="11.25" x14ac:dyDescent="0.2">
      <c r="A37" s="71">
        <v>500</v>
      </c>
      <c r="B37" s="68">
        <v>145</v>
      </c>
      <c r="C37" s="68">
        <v>4050</v>
      </c>
      <c r="D37" s="69">
        <v>69</v>
      </c>
      <c r="E37" s="68">
        <v>55</v>
      </c>
      <c r="F37" s="68">
        <v>27</v>
      </c>
      <c r="G37" s="68">
        <v>14</v>
      </c>
      <c r="H37" s="67">
        <v>1.35</v>
      </c>
      <c r="I37" s="67">
        <v>1.42</v>
      </c>
      <c r="J37" s="67">
        <v>0.17</v>
      </c>
      <c r="K37" s="67">
        <v>1.01</v>
      </c>
      <c r="L37" s="67">
        <v>5.6</v>
      </c>
      <c r="M37" s="68">
        <v>33</v>
      </c>
      <c r="N37" s="111">
        <v>61.36</v>
      </c>
      <c r="O37" s="111">
        <v>70.67</v>
      </c>
      <c r="P37" s="297"/>
      <c r="Q37" s="297"/>
      <c r="R37" s="297"/>
      <c r="S37" s="297"/>
      <c r="T37" s="297"/>
      <c r="U37" s="297"/>
      <c r="V37" s="108"/>
    </row>
    <row r="38" spans="1:22" s="109" customFormat="1" ht="11.25" x14ac:dyDescent="0.2">
      <c r="A38" s="71">
        <v>500</v>
      </c>
      <c r="B38" s="68">
        <v>185</v>
      </c>
      <c r="C38" s="68">
        <v>5050</v>
      </c>
      <c r="D38" s="69">
        <v>85</v>
      </c>
      <c r="E38" s="68">
        <v>67</v>
      </c>
      <c r="F38" s="68">
        <v>32</v>
      </c>
      <c r="G38" s="68">
        <v>17</v>
      </c>
      <c r="H38" s="67">
        <v>1.39</v>
      </c>
      <c r="I38" s="67">
        <v>1.83</v>
      </c>
      <c r="J38" s="67">
        <v>0.21</v>
      </c>
      <c r="K38" s="67">
        <v>1.26</v>
      </c>
      <c r="L38" s="67">
        <v>6.9</v>
      </c>
      <c r="M38" s="68">
        <v>30</v>
      </c>
      <c r="N38" s="111">
        <v>83.81</v>
      </c>
      <c r="O38" s="111">
        <v>84.63</v>
      </c>
      <c r="P38" s="297"/>
      <c r="Q38" s="297"/>
      <c r="R38" s="297"/>
      <c r="S38" s="297"/>
      <c r="T38" s="297"/>
      <c r="U38" s="297"/>
      <c r="V38" s="108"/>
    </row>
    <row r="39" spans="1:22" s="109" customFormat="1" ht="11.25" x14ac:dyDescent="0.2">
      <c r="A39" s="72">
        <v>500</v>
      </c>
      <c r="B39" s="68">
        <v>225</v>
      </c>
      <c r="C39" s="68">
        <v>6050</v>
      </c>
      <c r="D39" s="69">
        <v>99</v>
      </c>
      <c r="E39" s="68">
        <v>78</v>
      </c>
      <c r="F39" s="68">
        <v>37</v>
      </c>
      <c r="G39" s="68">
        <v>19</v>
      </c>
      <c r="H39" s="67">
        <v>1.41</v>
      </c>
      <c r="I39" s="67">
        <v>2.21</v>
      </c>
      <c r="J39" s="67">
        <v>0.25</v>
      </c>
      <c r="K39" s="67">
        <v>1.5</v>
      </c>
      <c r="L39" s="67">
        <v>8.1</v>
      </c>
      <c r="M39" s="68">
        <v>27</v>
      </c>
      <c r="N39" s="111">
        <v>90.21</v>
      </c>
      <c r="O39" s="111">
        <v>97.4</v>
      </c>
      <c r="P39" s="297"/>
      <c r="Q39" s="297"/>
      <c r="R39" s="297"/>
      <c r="S39" s="297"/>
      <c r="T39" s="297"/>
      <c r="U39" s="297"/>
      <c r="V39" s="108"/>
    </row>
    <row r="40" spans="1:22" ht="12.75" customHeight="1" x14ac:dyDescent="0.2">
      <c r="A40" s="296" t="s">
        <v>164</v>
      </c>
      <c r="B40" s="296"/>
      <c r="C40" s="296"/>
      <c r="D40" s="296"/>
      <c r="E40" s="296"/>
      <c r="F40" s="296"/>
      <c r="G40" s="296"/>
      <c r="H40" s="296"/>
      <c r="I40" s="296"/>
      <c r="J40" s="296"/>
      <c r="K40" s="296"/>
      <c r="L40" s="296"/>
      <c r="M40" s="296"/>
      <c r="N40" s="296"/>
      <c r="O40" s="296"/>
      <c r="P40" s="296"/>
      <c r="Q40" s="296"/>
      <c r="R40" s="296"/>
      <c r="S40" s="296"/>
      <c r="T40" s="296"/>
      <c r="U40" s="296"/>
      <c r="V40" s="296"/>
    </row>
    <row r="41" spans="1:22" ht="33.75" x14ac:dyDescent="0.2">
      <c r="A41" s="99" t="s">
        <v>170</v>
      </c>
      <c r="B41" s="99" t="s">
        <v>171</v>
      </c>
      <c r="C41" s="99" t="s">
        <v>162</v>
      </c>
      <c r="D41" s="299" t="s">
        <v>166</v>
      </c>
      <c r="E41" s="299"/>
      <c r="F41" s="299"/>
      <c r="G41" s="299"/>
      <c r="H41" s="99" t="s">
        <v>150</v>
      </c>
      <c r="I41" s="99" t="s">
        <v>188</v>
      </c>
      <c r="J41" s="99" t="s">
        <v>185</v>
      </c>
      <c r="K41" s="99" t="s">
        <v>186</v>
      </c>
      <c r="L41" s="99" t="s">
        <v>182</v>
      </c>
      <c r="M41" s="99" t="s">
        <v>183</v>
      </c>
      <c r="N41" s="104" t="s">
        <v>191</v>
      </c>
      <c r="O41" s="104" t="s">
        <v>193</v>
      </c>
      <c r="P41" s="301"/>
      <c r="Q41" s="301"/>
      <c r="R41" s="301"/>
      <c r="S41" s="301"/>
      <c r="T41" s="301"/>
      <c r="U41" s="301"/>
      <c r="V41" s="301"/>
    </row>
    <row r="42" spans="1:22" ht="22.5" x14ac:dyDescent="0.2">
      <c r="A42" s="105" t="s">
        <v>167</v>
      </c>
      <c r="B42" s="105" t="s">
        <v>168</v>
      </c>
      <c r="C42" s="100"/>
      <c r="D42" s="103" t="s">
        <v>173</v>
      </c>
      <c r="E42" s="104" t="s">
        <v>174</v>
      </c>
      <c r="F42" s="104" t="s">
        <v>175</v>
      </c>
      <c r="G42" s="104" t="s">
        <v>176</v>
      </c>
      <c r="H42" s="105" t="s">
        <v>0</v>
      </c>
      <c r="I42" s="105" t="s">
        <v>152</v>
      </c>
      <c r="J42" s="105" t="s">
        <v>154</v>
      </c>
      <c r="K42" s="105" t="s">
        <v>156</v>
      </c>
      <c r="L42" s="105" t="s">
        <v>177</v>
      </c>
      <c r="M42" s="105" t="s">
        <v>160</v>
      </c>
      <c r="N42" s="106"/>
      <c r="O42" s="106"/>
      <c r="P42" s="102"/>
      <c r="Q42" s="102"/>
      <c r="R42" s="102"/>
      <c r="S42" s="102"/>
      <c r="T42" s="102"/>
      <c r="U42" s="102"/>
      <c r="V42" s="102"/>
    </row>
    <row r="43" spans="1:22" ht="12.75" customHeight="1" x14ac:dyDescent="0.2">
      <c r="A43" s="105" t="s">
        <v>172</v>
      </c>
      <c r="B43" s="105" t="s">
        <v>172</v>
      </c>
      <c r="C43" s="100"/>
      <c r="D43" s="103" t="s">
        <v>169</v>
      </c>
      <c r="E43" s="104" t="s">
        <v>169</v>
      </c>
      <c r="F43" s="104" t="s">
        <v>169</v>
      </c>
      <c r="G43" s="104" t="s">
        <v>169</v>
      </c>
      <c r="H43" s="105" t="s">
        <v>189</v>
      </c>
      <c r="I43" s="105" t="s">
        <v>187</v>
      </c>
      <c r="J43" s="105" t="s">
        <v>184</v>
      </c>
      <c r="K43" s="105" t="s">
        <v>181</v>
      </c>
      <c r="L43" s="105" t="s">
        <v>180</v>
      </c>
      <c r="M43" s="105" t="s">
        <v>178</v>
      </c>
      <c r="N43" s="106" t="s">
        <v>179</v>
      </c>
      <c r="O43" s="106" t="s">
        <v>192</v>
      </c>
      <c r="P43" s="102"/>
      <c r="Q43" s="102"/>
      <c r="R43" s="102"/>
      <c r="S43" s="102"/>
      <c r="T43" s="102"/>
      <c r="U43" s="102"/>
      <c r="V43" s="102"/>
    </row>
    <row r="44" spans="1:22" x14ac:dyDescent="0.2">
      <c r="A44" s="83">
        <v>550</v>
      </c>
      <c r="B44" s="84">
        <v>65</v>
      </c>
      <c r="C44" s="84">
        <v>2055</v>
      </c>
      <c r="D44" s="85">
        <v>42</v>
      </c>
      <c r="E44" s="84">
        <v>34</v>
      </c>
      <c r="F44" s="84">
        <v>17</v>
      </c>
      <c r="G44" s="84">
        <v>9</v>
      </c>
      <c r="H44" s="59">
        <v>1.31</v>
      </c>
      <c r="I44" s="86">
        <v>0.77</v>
      </c>
      <c r="J44" s="59">
        <v>0.09</v>
      </c>
      <c r="K44" s="86">
        <v>0.56999999999999995</v>
      </c>
      <c r="L44" s="86">
        <v>3.5</v>
      </c>
      <c r="M44" s="84">
        <v>49</v>
      </c>
      <c r="N44" s="113">
        <v>48.51</v>
      </c>
      <c r="O44" s="110">
        <v>57.46</v>
      </c>
      <c r="P44" s="302"/>
      <c r="Q44" s="302"/>
      <c r="R44" s="302"/>
      <c r="S44" s="302"/>
      <c r="T44" s="302"/>
      <c r="U44" s="302"/>
      <c r="V44" s="302"/>
    </row>
    <row r="45" spans="1:22" x14ac:dyDescent="0.2">
      <c r="A45" s="87">
        <v>550</v>
      </c>
      <c r="B45" s="88">
        <v>105</v>
      </c>
      <c r="C45" s="88">
        <v>3055</v>
      </c>
      <c r="D45" s="89">
        <v>58</v>
      </c>
      <c r="E45" s="88">
        <v>46</v>
      </c>
      <c r="F45" s="88">
        <v>22</v>
      </c>
      <c r="G45" s="88">
        <v>12</v>
      </c>
      <c r="H45" s="60">
        <v>1.36</v>
      </c>
      <c r="I45" s="90">
        <v>1.1599999999999999</v>
      </c>
      <c r="J45" s="60">
        <v>0.14000000000000001</v>
      </c>
      <c r="K45" s="90">
        <v>0.83</v>
      </c>
      <c r="L45" s="90">
        <v>4.7</v>
      </c>
      <c r="M45" s="88">
        <v>38</v>
      </c>
      <c r="N45" s="114">
        <v>51.26</v>
      </c>
      <c r="O45" s="111">
        <v>63.16</v>
      </c>
      <c r="P45" s="302"/>
      <c r="Q45" s="302"/>
      <c r="R45" s="302"/>
      <c r="S45" s="302"/>
      <c r="T45" s="302"/>
      <c r="U45" s="302"/>
      <c r="V45" s="302"/>
    </row>
    <row r="46" spans="1:22" x14ac:dyDescent="0.2">
      <c r="A46" s="87">
        <v>550</v>
      </c>
      <c r="B46" s="88">
        <v>145</v>
      </c>
      <c r="C46" s="88">
        <v>4055</v>
      </c>
      <c r="D46" s="89">
        <v>75</v>
      </c>
      <c r="E46" s="88">
        <v>60</v>
      </c>
      <c r="F46" s="88">
        <v>29</v>
      </c>
      <c r="G46" s="88">
        <v>16</v>
      </c>
      <c r="H46" s="60">
        <v>1.35</v>
      </c>
      <c r="I46" s="90">
        <v>1.54</v>
      </c>
      <c r="J46" s="60">
        <v>0.18</v>
      </c>
      <c r="K46" s="90">
        <v>1.0900000000000001</v>
      </c>
      <c r="L46" s="90">
        <v>6.1</v>
      </c>
      <c r="M46" s="88">
        <v>33</v>
      </c>
      <c r="N46" s="114">
        <v>63.08</v>
      </c>
      <c r="O46" s="111">
        <v>73.12</v>
      </c>
      <c r="P46" s="302"/>
      <c r="Q46" s="302"/>
      <c r="R46" s="302"/>
      <c r="S46" s="302"/>
      <c r="T46" s="302"/>
      <c r="U46" s="302"/>
      <c r="V46" s="302"/>
    </row>
    <row r="47" spans="1:22" x14ac:dyDescent="0.2">
      <c r="A47" s="87">
        <v>550</v>
      </c>
      <c r="B47" s="88">
        <v>185</v>
      </c>
      <c r="C47" s="88">
        <v>5055</v>
      </c>
      <c r="D47" s="89">
        <v>93</v>
      </c>
      <c r="E47" s="88">
        <v>73</v>
      </c>
      <c r="F47" s="88">
        <v>35</v>
      </c>
      <c r="G47" s="88">
        <v>19</v>
      </c>
      <c r="H47" s="60">
        <v>1.39</v>
      </c>
      <c r="I47" s="90">
        <v>1.99</v>
      </c>
      <c r="J47" s="60">
        <v>0.23</v>
      </c>
      <c r="K47" s="90">
        <v>1.36</v>
      </c>
      <c r="L47" s="90">
        <v>7.5</v>
      </c>
      <c r="M47" s="88">
        <v>30</v>
      </c>
      <c r="N47" s="114">
        <v>86.27</v>
      </c>
      <c r="O47" s="111">
        <v>88.08</v>
      </c>
      <c r="P47" s="302"/>
      <c r="Q47" s="302"/>
      <c r="R47" s="302"/>
      <c r="S47" s="302"/>
      <c r="T47" s="302"/>
      <c r="U47" s="302"/>
      <c r="V47" s="302"/>
    </row>
    <row r="48" spans="1:22" x14ac:dyDescent="0.2">
      <c r="A48" s="91">
        <v>550</v>
      </c>
      <c r="B48" s="88">
        <v>225</v>
      </c>
      <c r="C48" s="88">
        <v>6055</v>
      </c>
      <c r="D48" s="89">
        <v>108</v>
      </c>
      <c r="E48" s="88">
        <v>85</v>
      </c>
      <c r="F48" s="88">
        <v>40</v>
      </c>
      <c r="G48" s="88">
        <v>21</v>
      </c>
      <c r="H48" s="60">
        <v>1.41</v>
      </c>
      <c r="I48" s="90">
        <v>2.4</v>
      </c>
      <c r="J48" s="60">
        <v>0.27</v>
      </c>
      <c r="K48" s="90">
        <v>1.62</v>
      </c>
      <c r="L48" s="90">
        <v>8.9</v>
      </c>
      <c r="M48" s="88">
        <v>27</v>
      </c>
      <c r="N48" s="114">
        <v>93.1</v>
      </c>
      <c r="O48" s="111">
        <v>100.4</v>
      </c>
      <c r="P48" s="302"/>
      <c r="Q48" s="302"/>
      <c r="R48" s="302"/>
      <c r="S48" s="302"/>
      <c r="T48" s="302"/>
      <c r="U48" s="302"/>
      <c r="V48" s="302"/>
    </row>
    <row r="49" spans="1:22" x14ac:dyDescent="0.2">
      <c r="A49" s="92">
        <v>600</v>
      </c>
      <c r="B49" s="93">
        <v>65</v>
      </c>
      <c r="C49" s="93">
        <v>2060</v>
      </c>
      <c r="D49" s="94">
        <v>46</v>
      </c>
      <c r="E49" s="93">
        <v>37</v>
      </c>
      <c r="F49" s="93">
        <v>18</v>
      </c>
      <c r="G49" s="93">
        <v>10</v>
      </c>
      <c r="H49" s="58">
        <v>1.31</v>
      </c>
      <c r="I49" s="95">
        <v>0.83</v>
      </c>
      <c r="J49" s="58">
        <v>0.1</v>
      </c>
      <c r="K49" s="95">
        <v>0.61</v>
      </c>
      <c r="L49" s="95">
        <v>3.8</v>
      </c>
      <c r="M49" s="93">
        <v>49</v>
      </c>
      <c r="N49" s="114">
        <v>49.95</v>
      </c>
      <c r="O49" s="111">
        <v>59.39</v>
      </c>
      <c r="P49" s="302"/>
      <c r="Q49" s="302"/>
      <c r="R49" s="302"/>
      <c r="S49" s="302"/>
      <c r="T49" s="302"/>
      <c r="U49" s="302"/>
      <c r="V49" s="302"/>
    </row>
    <row r="50" spans="1:22" x14ac:dyDescent="0.2">
      <c r="A50" s="96">
        <v>600</v>
      </c>
      <c r="B50" s="93">
        <v>105</v>
      </c>
      <c r="C50" s="93">
        <v>3060</v>
      </c>
      <c r="D50" s="94">
        <v>63</v>
      </c>
      <c r="E50" s="93">
        <v>50</v>
      </c>
      <c r="F50" s="93">
        <v>24</v>
      </c>
      <c r="G50" s="93">
        <v>13</v>
      </c>
      <c r="H50" s="58">
        <v>1.36</v>
      </c>
      <c r="I50" s="95">
        <v>1.25</v>
      </c>
      <c r="J50" s="58">
        <v>0.15</v>
      </c>
      <c r="K50" s="95">
        <v>0.89</v>
      </c>
      <c r="L50" s="95">
        <v>5.2</v>
      </c>
      <c r="M50" s="93">
        <v>38</v>
      </c>
      <c r="N50" s="114">
        <v>52.04</v>
      </c>
      <c r="O50" s="111">
        <v>64.77</v>
      </c>
      <c r="P50" s="302"/>
      <c r="Q50" s="302"/>
      <c r="R50" s="302"/>
      <c r="S50" s="302"/>
      <c r="T50" s="302"/>
      <c r="U50" s="302"/>
      <c r="V50" s="302"/>
    </row>
    <row r="51" spans="1:22" x14ac:dyDescent="0.2">
      <c r="A51" s="96">
        <v>600</v>
      </c>
      <c r="B51" s="93">
        <v>145</v>
      </c>
      <c r="C51" s="93">
        <v>4060</v>
      </c>
      <c r="D51" s="94">
        <v>81</v>
      </c>
      <c r="E51" s="93">
        <v>64</v>
      </c>
      <c r="F51" s="93">
        <v>31</v>
      </c>
      <c r="G51" s="93">
        <v>17</v>
      </c>
      <c r="H51" s="58">
        <v>1.35</v>
      </c>
      <c r="I51" s="95">
        <v>1.66</v>
      </c>
      <c r="J51" s="58">
        <v>0.2</v>
      </c>
      <c r="K51" s="95">
        <v>1.17</v>
      </c>
      <c r="L51" s="95">
        <v>6.6</v>
      </c>
      <c r="M51" s="93">
        <v>33</v>
      </c>
      <c r="N51" s="114">
        <v>65.52</v>
      </c>
      <c r="O51" s="111">
        <v>75.25</v>
      </c>
      <c r="P51" s="302"/>
      <c r="Q51" s="302"/>
      <c r="R51" s="302"/>
      <c r="S51" s="302"/>
      <c r="T51" s="302"/>
      <c r="U51" s="302"/>
      <c r="V51" s="302"/>
    </row>
    <row r="52" spans="1:22" x14ac:dyDescent="0.2">
      <c r="A52" s="96">
        <v>600</v>
      </c>
      <c r="B52" s="93">
        <v>185</v>
      </c>
      <c r="C52" s="93">
        <v>5060</v>
      </c>
      <c r="D52" s="94">
        <v>100</v>
      </c>
      <c r="E52" s="93">
        <v>79</v>
      </c>
      <c r="F52" s="93">
        <v>38</v>
      </c>
      <c r="G52" s="93">
        <v>20</v>
      </c>
      <c r="H52" s="58">
        <v>1.39</v>
      </c>
      <c r="I52" s="95">
        <v>2.14</v>
      </c>
      <c r="J52" s="58">
        <v>0.25</v>
      </c>
      <c r="K52" s="95">
        <v>1.45</v>
      </c>
      <c r="L52" s="95">
        <v>8.1999999999999993</v>
      </c>
      <c r="M52" s="93">
        <v>30</v>
      </c>
      <c r="N52" s="114">
        <v>88.72</v>
      </c>
      <c r="O52" s="112">
        <v>90.17</v>
      </c>
      <c r="P52" s="302"/>
      <c r="Q52" s="302"/>
      <c r="R52" s="302"/>
      <c r="S52" s="302"/>
      <c r="T52" s="302"/>
      <c r="U52" s="302"/>
      <c r="V52" s="302"/>
    </row>
    <row r="53" spans="1:22" x14ac:dyDescent="0.2">
      <c r="A53" s="97">
        <v>600</v>
      </c>
      <c r="B53" s="93">
        <v>225</v>
      </c>
      <c r="C53" s="93">
        <v>6060</v>
      </c>
      <c r="D53" s="94">
        <v>117</v>
      </c>
      <c r="E53" s="93">
        <v>92</v>
      </c>
      <c r="F53" s="93">
        <v>43</v>
      </c>
      <c r="G53" s="93">
        <v>23</v>
      </c>
      <c r="H53" s="58">
        <v>1.41</v>
      </c>
      <c r="I53" s="95">
        <v>2.58</v>
      </c>
      <c r="J53" s="58">
        <v>0.28999999999999998</v>
      </c>
      <c r="K53" s="95">
        <v>1.74</v>
      </c>
      <c r="L53" s="95">
        <v>9.6999999999999993</v>
      </c>
      <c r="M53" s="93">
        <v>27</v>
      </c>
      <c r="N53" s="114">
        <v>95.02</v>
      </c>
      <c r="O53" s="112">
        <v>104.08</v>
      </c>
      <c r="P53" s="302"/>
      <c r="Q53" s="302"/>
      <c r="R53" s="302"/>
      <c r="S53" s="302"/>
      <c r="T53" s="302"/>
      <c r="U53" s="302"/>
      <c r="V53" s="302"/>
    </row>
    <row r="54" spans="1:22" x14ac:dyDescent="0.2">
      <c r="A54" s="98">
        <v>750</v>
      </c>
      <c r="B54" s="88">
        <v>65</v>
      </c>
      <c r="C54" s="88">
        <v>2075</v>
      </c>
      <c r="D54" s="89">
        <v>57</v>
      </c>
      <c r="E54" s="88">
        <v>45</v>
      </c>
      <c r="F54" s="88">
        <v>22</v>
      </c>
      <c r="G54" s="88">
        <v>12</v>
      </c>
      <c r="H54" s="60">
        <v>1.31</v>
      </c>
      <c r="I54" s="90">
        <v>1.02</v>
      </c>
      <c r="J54" s="60">
        <v>0.12</v>
      </c>
      <c r="K54" s="90">
        <v>0.73</v>
      </c>
      <c r="L54" s="90">
        <v>4.7</v>
      </c>
      <c r="M54" s="88">
        <v>49</v>
      </c>
      <c r="N54" s="114">
        <v>50.86</v>
      </c>
      <c r="O54" s="111">
        <v>65.209999999999994</v>
      </c>
      <c r="P54" s="302"/>
      <c r="Q54" s="302"/>
      <c r="R54" s="302"/>
      <c r="S54" s="302"/>
      <c r="T54" s="302"/>
      <c r="U54" s="302"/>
      <c r="V54" s="302"/>
    </row>
    <row r="55" spans="1:22" x14ac:dyDescent="0.2">
      <c r="A55" s="87">
        <v>750</v>
      </c>
      <c r="B55" s="88">
        <v>105</v>
      </c>
      <c r="C55" s="88">
        <v>3075</v>
      </c>
      <c r="D55" s="89">
        <v>78</v>
      </c>
      <c r="E55" s="88">
        <v>62</v>
      </c>
      <c r="F55" s="88">
        <v>30</v>
      </c>
      <c r="G55" s="88">
        <v>16</v>
      </c>
      <c r="H55" s="60">
        <v>1.36</v>
      </c>
      <c r="I55" s="90">
        <v>1.52</v>
      </c>
      <c r="J55" s="60">
        <v>0.18</v>
      </c>
      <c r="K55" s="90">
        <v>1.07</v>
      </c>
      <c r="L55" s="90">
        <v>6.5</v>
      </c>
      <c r="M55" s="88">
        <v>38</v>
      </c>
      <c r="N55" s="114">
        <v>56.38</v>
      </c>
      <c r="O55" s="111">
        <v>70.95</v>
      </c>
      <c r="P55" s="302"/>
      <c r="Q55" s="302"/>
      <c r="R55" s="302"/>
      <c r="S55" s="302"/>
      <c r="T55" s="302"/>
      <c r="U55" s="302"/>
      <c r="V55" s="302"/>
    </row>
    <row r="56" spans="1:22" x14ac:dyDescent="0.2">
      <c r="A56" s="87">
        <v>750</v>
      </c>
      <c r="B56" s="88">
        <v>145</v>
      </c>
      <c r="C56" s="88">
        <v>4075</v>
      </c>
      <c r="D56" s="89">
        <v>100</v>
      </c>
      <c r="E56" s="88">
        <v>79</v>
      </c>
      <c r="F56" s="88">
        <v>38</v>
      </c>
      <c r="G56" s="88">
        <v>21</v>
      </c>
      <c r="H56" s="60">
        <v>1.35</v>
      </c>
      <c r="I56" s="90">
        <v>2.0299999999999998</v>
      </c>
      <c r="J56" s="60">
        <v>0.24</v>
      </c>
      <c r="K56" s="90">
        <v>1.41</v>
      </c>
      <c r="L56" s="90">
        <v>8.1999999999999993</v>
      </c>
      <c r="M56" s="88">
        <v>33</v>
      </c>
      <c r="N56" s="114">
        <v>71.2</v>
      </c>
      <c r="O56" s="111">
        <v>81.91</v>
      </c>
      <c r="P56" s="302"/>
      <c r="Q56" s="302"/>
      <c r="R56" s="302"/>
      <c r="S56" s="302"/>
      <c r="T56" s="302"/>
      <c r="U56" s="302"/>
      <c r="V56" s="302"/>
    </row>
    <row r="57" spans="1:22" x14ac:dyDescent="0.2">
      <c r="A57" s="87">
        <v>750</v>
      </c>
      <c r="B57" s="88">
        <v>185</v>
      </c>
      <c r="C57" s="88">
        <v>5075</v>
      </c>
      <c r="D57" s="89">
        <v>123</v>
      </c>
      <c r="E57" s="88">
        <v>97</v>
      </c>
      <c r="F57" s="88">
        <v>46</v>
      </c>
      <c r="G57" s="88">
        <v>25</v>
      </c>
      <c r="H57" s="60">
        <v>1.39</v>
      </c>
      <c r="I57" s="90">
        <v>2.59</v>
      </c>
      <c r="J57" s="60">
        <v>0.3</v>
      </c>
      <c r="K57" s="90">
        <v>1.75</v>
      </c>
      <c r="L57" s="90">
        <v>10.1</v>
      </c>
      <c r="M57" s="88">
        <v>30</v>
      </c>
      <c r="N57" s="114">
        <v>90.91</v>
      </c>
      <c r="O57" s="111">
        <v>98.13</v>
      </c>
      <c r="P57" s="302"/>
      <c r="Q57" s="302"/>
      <c r="R57" s="302"/>
      <c r="S57" s="302"/>
      <c r="T57" s="302"/>
      <c r="U57" s="302"/>
      <c r="V57" s="302"/>
    </row>
    <row r="58" spans="1:22" x14ac:dyDescent="0.2">
      <c r="A58" s="91">
        <v>750</v>
      </c>
      <c r="B58" s="88">
        <v>225</v>
      </c>
      <c r="C58" s="88">
        <v>6075</v>
      </c>
      <c r="D58" s="89">
        <v>143</v>
      </c>
      <c r="E58" s="88">
        <v>113</v>
      </c>
      <c r="F58" s="88">
        <v>53</v>
      </c>
      <c r="G58" s="88">
        <v>28</v>
      </c>
      <c r="H58" s="60">
        <v>1.4</v>
      </c>
      <c r="I58" s="90">
        <v>3.12</v>
      </c>
      <c r="J58" s="60">
        <v>0.37</v>
      </c>
      <c r="K58" s="90">
        <v>2.1</v>
      </c>
      <c r="L58" s="90">
        <v>11.8</v>
      </c>
      <c r="M58" s="88">
        <v>27</v>
      </c>
      <c r="N58" s="114">
        <v>107.62</v>
      </c>
      <c r="O58" s="112">
        <v>113.15</v>
      </c>
      <c r="P58" s="302"/>
      <c r="Q58" s="302"/>
      <c r="R58" s="302"/>
      <c r="S58" s="302"/>
      <c r="T58" s="302"/>
      <c r="U58" s="302"/>
      <c r="V58" s="302"/>
    </row>
    <row r="59" spans="1:22" x14ac:dyDescent="0.2">
      <c r="A59" s="92">
        <v>900</v>
      </c>
      <c r="B59" s="93">
        <v>65</v>
      </c>
      <c r="C59" s="93">
        <v>2090</v>
      </c>
      <c r="D59" s="94">
        <v>67</v>
      </c>
      <c r="E59" s="93">
        <v>54</v>
      </c>
      <c r="F59" s="93">
        <v>27</v>
      </c>
      <c r="G59" s="93">
        <v>15</v>
      </c>
      <c r="H59" s="58">
        <v>1.31</v>
      </c>
      <c r="I59" s="95">
        <v>1.2</v>
      </c>
      <c r="J59" s="58">
        <v>0.15</v>
      </c>
      <c r="K59" s="95">
        <v>0.84</v>
      </c>
      <c r="L59" s="95">
        <v>5.8</v>
      </c>
      <c r="M59" s="93">
        <v>49</v>
      </c>
      <c r="N59" s="114">
        <v>52.04</v>
      </c>
      <c r="O59" s="111">
        <v>70.069999999999993</v>
      </c>
      <c r="P59" s="302"/>
      <c r="Q59" s="302"/>
      <c r="R59" s="302"/>
      <c r="S59" s="302"/>
      <c r="T59" s="302"/>
      <c r="U59" s="302"/>
      <c r="V59" s="302"/>
    </row>
    <row r="60" spans="1:22" x14ac:dyDescent="0.2">
      <c r="A60" s="96">
        <v>900</v>
      </c>
      <c r="B60" s="93">
        <v>105</v>
      </c>
      <c r="C60" s="93">
        <v>3090</v>
      </c>
      <c r="D60" s="94">
        <v>92</v>
      </c>
      <c r="E60" s="93">
        <v>73</v>
      </c>
      <c r="F60" s="93">
        <v>35</v>
      </c>
      <c r="G60" s="93">
        <v>19</v>
      </c>
      <c r="H60" s="58">
        <v>1.36</v>
      </c>
      <c r="I60" s="95">
        <v>1.79</v>
      </c>
      <c r="J60" s="58">
        <v>0.22</v>
      </c>
      <c r="K60" s="95">
        <v>1.25</v>
      </c>
      <c r="L60" s="95">
        <v>7.7</v>
      </c>
      <c r="M60" s="93">
        <v>38</v>
      </c>
      <c r="N60" s="114">
        <v>61.75</v>
      </c>
      <c r="O60" s="111">
        <v>77.78</v>
      </c>
      <c r="P60" s="302"/>
      <c r="Q60" s="302"/>
      <c r="R60" s="302"/>
      <c r="S60" s="302"/>
      <c r="T60" s="302"/>
      <c r="U60" s="302"/>
      <c r="V60" s="302"/>
    </row>
    <row r="61" spans="1:22" x14ac:dyDescent="0.2">
      <c r="A61" s="96">
        <v>900</v>
      </c>
      <c r="B61" s="93">
        <v>145</v>
      </c>
      <c r="C61" s="93">
        <v>4090</v>
      </c>
      <c r="D61" s="94">
        <v>117</v>
      </c>
      <c r="E61" s="93">
        <v>93</v>
      </c>
      <c r="F61" s="93">
        <v>45</v>
      </c>
      <c r="G61" s="93">
        <v>25</v>
      </c>
      <c r="H61" s="58">
        <v>1.35</v>
      </c>
      <c r="I61" s="95">
        <v>2.39</v>
      </c>
      <c r="J61" s="58">
        <v>0.28999999999999998</v>
      </c>
      <c r="K61" s="95">
        <v>1.65</v>
      </c>
      <c r="L61" s="95">
        <v>9.6</v>
      </c>
      <c r="M61" s="93">
        <v>33</v>
      </c>
      <c r="N61" s="114">
        <v>85.88</v>
      </c>
      <c r="O61" s="111">
        <v>90.25</v>
      </c>
      <c r="P61" s="302"/>
      <c r="Q61" s="302"/>
      <c r="R61" s="302"/>
      <c r="S61" s="302"/>
      <c r="T61" s="302"/>
      <c r="U61" s="302"/>
      <c r="V61" s="302"/>
    </row>
    <row r="62" spans="1:22" x14ac:dyDescent="0.2">
      <c r="A62" s="96">
        <v>900</v>
      </c>
      <c r="B62" s="93">
        <v>185</v>
      </c>
      <c r="C62" s="93">
        <v>5090</v>
      </c>
      <c r="D62" s="94">
        <v>144</v>
      </c>
      <c r="E62" s="93">
        <v>114</v>
      </c>
      <c r="F62" s="93">
        <v>54</v>
      </c>
      <c r="G62" s="93">
        <v>29</v>
      </c>
      <c r="H62" s="58">
        <v>1.39</v>
      </c>
      <c r="I62" s="95">
        <v>3.05</v>
      </c>
      <c r="J62" s="58">
        <v>0.36</v>
      </c>
      <c r="K62" s="95">
        <v>2.0499999999999998</v>
      </c>
      <c r="L62" s="95">
        <v>11.9</v>
      </c>
      <c r="M62" s="93">
        <v>30</v>
      </c>
      <c r="N62" s="114">
        <v>99.5</v>
      </c>
      <c r="O62" s="111">
        <v>107.54</v>
      </c>
      <c r="P62" s="302"/>
      <c r="Q62" s="302"/>
      <c r="R62" s="302"/>
      <c r="S62" s="302"/>
      <c r="T62" s="302"/>
      <c r="U62" s="302"/>
      <c r="V62" s="302"/>
    </row>
    <row r="63" spans="1:22" x14ac:dyDescent="0.2">
      <c r="A63" s="97">
        <v>900</v>
      </c>
      <c r="B63" s="93">
        <v>225</v>
      </c>
      <c r="C63" s="93">
        <v>6090</v>
      </c>
      <c r="D63" s="94">
        <v>168</v>
      </c>
      <c r="E63" s="93">
        <v>132</v>
      </c>
      <c r="F63" s="93">
        <v>63</v>
      </c>
      <c r="G63" s="93">
        <v>33</v>
      </c>
      <c r="H63" s="58">
        <v>1.4</v>
      </c>
      <c r="I63" s="95">
        <v>3.67</v>
      </c>
      <c r="J63" s="58">
        <v>0.44</v>
      </c>
      <c r="K63" s="95">
        <v>2.4500000000000002</v>
      </c>
      <c r="L63" s="95">
        <v>14</v>
      </c>
      <c r="M63" s="93">
        <v>27</v>
      </c>
      <c r="N63" s="114">
        <v>110.48</v>
      </c>
      <c r="O63" s="111">
        <v>123.73</v>
      </c>
      <c r="P63" s="302"/>
      <c r="Q63" s="302"/>
      <c r="R63" s="302"/>
      <c r="S63" s="302"/>
      <c r="T63" s="302"/>
      <c r="U63" s="302"/>
      <c r="V63" s="302"/>
    </row>
    <row r="64" spans="1:22" x14ac:dyDescent="0.2">
      <c r="A64" s="98">
        <v>1000</v>
      </c>
      <c r="B64" s="88">
        <v>65</v>
      </c>
      <c r="C64" s="88">
        <v>2100</v>
      </c>
      <c r="D64" s="89">
        <v>74</v>
      </c>
      <c r="E64" s="88">
        <v>59</v>
      </c>
      <c r="F64" s="88">
        <v>29</v>
      </c>
      <c r="G64" s="88">
        <v>16</v>
      </c>
      <c r="H64" s="60">
        <v>1.32</v>
      </c>
      <c r="I64" s="90">
        <v>1.32</v>
      </c>
      <c r="J64" s="60">
        <v>0.16</v>
      </c>
      <c r="K64" s="90">
        <v>0.92</v>
      </c>
      <c r="L64" s="90">
        <v>6.3</v>
      </c>
      <c r="M64" s="88">
        <v>49</v>
      </c>
      <c r="N64" s="114">
        <v>54.44</v>
      </c>
      <c r="O64" s="111">
        <v>73.95</v>
      </c>
      <c r="P64" s="302"/>
      <c r="Q64" s="302"/>
      <c r="R64" s="302"/>
      <c r="S64" s="302"/>
      <c r="T64" s="302"/>
      <c r="U64" s="302"/>
      <c r="V64" s="302"/>
    </row>
    <row r="65" spans="1:22" x14ac:dyDescent="0.2">
      <c r="A65" s="87">
        <v>1000</v>
      </c>
      <c r="B65" s="88">
        <v>105</v>
      </c>
      <c r="C65" s="88">
        <v>3100</v>
      </c>
      <c r="D65" s="89">
        <v>102</v>
      </c>
      <c r="E65" s="88">
        <v>81</v>
      </c>
      <c r="F65" s="88">
        <v>39</v>
      </c>
      <c r="G65" s="88">
        <v>21</v>
      </c>
      <c r="H65" s="60">
        <v>1.36</v>
      </c>
      <c r="I65" s="90">
        <v>1.98</v>
      </c>
      <c r="J65" s="60">
        <v>0.24</v>
      </c>
      <c r="K65" s="90">
        <v>1.37</v>
      </c>
      <c r="L65" s="90">
        <v>8.4</v>
      </c>
      <c r="M65" s="88">
        <v>38</v>
      </c>
      <c r="N65" s="114">
        <v>70.06</v>
      </c>
      <c r="O65" s="111">
        <v>82.82</v>
      </c>
      <c r="P65" s="302"/>
      <c r="Q65" s="302"/>
      <c r="R65" s="302"/>
      <c r="S65" s="302"/>
      <c r="T65" s="302"/>
      <c r="U65" s="302"/>
      <c r="V65" s="302"/>
    </row>
    <row r="66" spans="1:22" x14ac:dyDescent="0.2">
      <c r="A66" s="87">
        <v>1000</v>
      </c>
      <c r="B66" s="88">
        <v>145</v>
      </c>
      <c r="C66" s="88">
        <v>4100</v>
      </c>
      <c r="D66" s="89">
        <v>129</v>
      </c>
      <c r="E66" s="88">
        <v>103</v>
      </c>
      <c r="F66" s="88">
        <v>50</v>
      </c>
      <c r="G66" s="88">
        <v>27</v>
      </c>
      <c r="H66" s="60">
        <v>1.35</v>
      </c>
      <c r="I66" s="90">
        <v>2.63</v>
      </c>
      <c r="J66" s="60">
        <v>0.32</v>
      </c>
      <c r="K66" s="90">
        <v>1.81</v>
      </c>
      <c r="L66" s="90">
        <v>10.7</v>
      </c>
      <c r="M66" s="88">
        <v>33</v>
      </c>
      <c r="N66" s="114">
        <v>95.89</v>
      </c>
      <c r="O66" s="111">
        <v>99.29</v>
      </c>
      <c r="P66" s="302"/>
      <c r="Q66" s="302"/>
      <c r="R66" s="302"/>
      <c r="S66" s="302"/>
      <c r="T66" s="302"/>
      <c r="U66" s="302"/>
      <c r="V66" s="302"/>
    </row>
    <row r="67" spans="1:22" x14ac:dyDescent="0.2">
      <c r="A67" s="87">
        <v>1000</v>
      </c>
      <c r="B67" s="88">
        <v>185</v>
      </c>
      <c r="C67" s="88">
        <v>5100</v>
      </c>
      <c r="D67" s="89">
        <v>158</v>
      </c>
      <c r="E67" s="88">
        <v>125</v>
      </c>
      <c r="F67" s="88">
        <v>60</v>
      </c>
      <c r="G67" s="88">
        <v>32</v>
      </c>
      <c r="H67" s="60">
        <v>1.38</v>
      </c>
      <c r="I67" s="90">
        <v>3.35</v>
      </c>
      <c r="J67" s="60">
        <v>0.4</v>
      </c>
      <c r="K67" s="90">
        <v>2.25</v>
      </c>
      <c r="L67" s="90">
        <v>13</v>
      </c>
      <c r="M67" s="88">
        <v>30</v>
      </c>
      <c r="N67" s="114">
        <v>110.32</v>
      </c>
      <c r="O67" s="111">
        <v>113.89</v>
      </c>
      <c r="P67" s="302"/>
      <c r="Q67" s="302"/>
      <c r="R67" s="302"/>
      <c r="S67" s="302"/>
      <c r="T67" s="302"/>
      <c r="U67" s="302"/>
      <c r="V67" s="302"/>
    </row>
    <row r="68" spans="1:22" x14ac:dyDescent="0.2">
      <c r="A68" s="91">
        <v>1000</v>
      </c>
      <c r="B68" s="88">
        <v>225</v>
      </c>
      <c r="C68" s="88">
        <v>6100</v>
      </c>
      <c r="D68" s="89">
        <v>185</v>
      </c>
      <c r="E68" s="88">
        <v>146</v>
      </c>
      <c r="F68" s="88">
        <v>69</v>
      </c>
      <c r="G68" s="88">
        <v>37</v>
      </c>
      <c r="H68" s="60">
        <v>1.4</v>
      </c>
      <c r="I68" s="90">
        <v>4.03</v>
      </c>
      <c r="J68" s="60">
        <v>0.48</v>
      </c>
      <c r="K68" s="90">
        <v>2.69</v>
      </c>
      <c r="L68" s="90">
        <v>15.5</v>
      </c>
      <c r="M68" s="88">
        <v>27</v>
      </c>
      <c r="N68" s="114">
        <v>125.37</v>
      </c>
      <c r="O68" s="111">
        <v>132.61000000000001</v>
      </c>
      <c r="P68" s="302"/>
      <c r="Q68" s="302"/>
      <c r="R68" s="302"/>
      <c r="S68" s="302"/>
      <c r="T68" s="302"/>
      <c r="U68" s="302"/>
      <c r="V68" s="302"/>
    </row>
    <row r="69" spans="1:22" x14ac:dyDescent="0.2">
      <c r="A69" s="92">
        <v>1100</v>
      </c>
      <c r="B69" s="93">
        <v>65</v>
      </c>
      <c r="C69" s="93">
        <v>2110</v>
      </c>
      <c r="D69" s="94">
        <v>81</v>
      </c>
      <c r="E69" s="93">
        <v>65</v>
      </c>
      <c r="F69" s="93">
        <v>32</v>
      </c>
      <c r="G69" s="93">
        <v>18</v>
      </c>
      <c r="H69" s="58">
        <v>1.32</v>
      </c>
      <c r="I69" s="95">
        <v>1.44</v>
      </c>
      <c r="J69" s="58">
        <v>0.18</v>
      </c>
      <c r="K69" s="95">
        <v>1</v>
      </c>
      <c r="L69" s="95">
        <v>6.9</v>
      </c>
      <c r="M69" s="93">
        <v>49</v>
      </c>
      <c r="N69" s="114">
        <v>56.66</v>
      </c>
      <c r="O69" s="111">
        <v>77.8</v>
      </c>
      <c r="P69" s="302"/>
      <c r="Q69" s="302"/>
      <c r="R69" s="302"/>
      <c r="S69" s="302"/>
      <c r="T69" s="302"/>
      <c r="U69" s="302"/>
      <c r="V69" s="302"/>
    </row>
    <row r="70" spans="1:22" x14ac:dyDescent="0.2">
      <c r="A70" s="96">
        <v>1100</v>
      </c>
      <c r="B70" s="93">
        <v>105</v>
      </c>
      <c r="C70" s="93">
        <v>3110</v>
      </c>
      <c r="D70" s="94">
        <v>111</v>
      </c>
      <c r="E70" s="93">
        <v>88</v>
      </c>
      <c r="F70" s="93">
        <v>43</v>
      </c>
      <c r="G70" s="93">
        <v>23</v>
      </c>
      <c r="H70" s="58">
        <v>1.35</v>
      </c>
      <c r="I70" s="95">
        <v>2.16</v>
      </c>
      <c r="J70" s="58">
        <v>0.27</v>
      </c>
      <c r="K70" s="95">
        <v>1.49</v>
      </c>
      <c r="L70" s="95">
        <v>9.1999999999999993</v>
      </c>
      <c r="M70" s="93">
        <v>38</v>
      </c>
      <c r="N70" s="114">
        <v>78.14</v>
      </c>
      <c r="O70" s="111">
        <v>87.82</v>
      </c>
      <c r="P70" s="302"/>
      <c r="Q70" s="302"/>
      <c r="R70" s="302"/>
      <c r="S70" s="302"/>
      <c r="T70" s="302"/>
      <c r="U70" s="302"/>
      <c r="V70" s="302"/>
    </row>
    <row r="71" spans="1:22" x14ac:dyDescent="0.2">
      <c r="A71" s="96">
        <v>1100</v>
      </c>
      <c r="B71" s="93">
        <v>145</v>
      </c>
      <c r="C71" s="93">
        <v>4110</v>
      </c>
      <c r="D71" s="94">
        <v>141</v>
      </c>
      <c r="E71" s="93">
        <v>112</v>
      </c>
      <c r="F71" s="93">
        <v>55</v>
      </c>
      <c r="G71" s="93">
        <v>30</v>
      </c>
      <c r="H71" s="58">
        <v>1.35</v>
      </c>
      <c r="I71" s="95">
        <v>2.88</v>
      </c>
      <c r="J71" s="58">
        <v>0.35</v>
      </c>
      <c r="K71" s="95">
        <v>1.97</v>
      </c>
      <c r="L71" s="95">
        <v>11.6</v>
      </c>
      <c r="M71" s="93">
        <v>33</v>
      </c>
      <c r="N71" s="114">
        <v>105.68</v>
      </c>
      <c r="O71" s="111">
        <v>106.92</v>
      </c>
      <c r="P71" s="302"/>
      <c r="Q71" s="302"/>
      <c r="R71" s="302"/>
      <c r="S71" s="302"/>
      <c r="T71" s="302"/>
      <c r="U71" s="302"/>
      <c r="V71" s="302"/>
    </row>
    <row r="72" spans="1:22" x14ac:dyDescent="0.2">
      <c r="A72" s="96">
        <v>1100</v>
      </c>
      <c r="B72" s="93">
        <v>185</v>
      </c>
      <c r="C72" s="93">
        <v>5110</v>
      </c>
      <c r="D72" s="94">
        <v>172</v>
      </c>
      <c r="E72" s="93">
        <v>136</v>
      </c>
      <c r="F72" s="93">
        <v>65</v>
      </c>
      <c r="G72" s="93">
        <v>35</v>
      </c>
      <c r="H72" s="58">
        <v>1.38</v>
      </c>
      <c r="I72" s="95">
        <v>3.65</v>
      </c>
      <c r="J72" s="58">
        <v>0.44</v>
      </c>
      <c r="K72" s="95">
        <v>2.4500000000000002</v>
      </c>
      <c r="L72" s="95">
        <v>14.2</v>
      </c>
      <c r="M72" s="93">
        <v>30</v>
      </c>
      <c r="N72" s="114">
        <v>118.96</v>
      </c>
      <c r="O72" s="111">
        <v>123.97</v>
      </c>
      <c r="P72" s="302"/>
      <c r="Q72" s="302"/>
      <c r="R72" s="302"/>
      <c r="S72" s="302"/>
      <c r="T72" s="302"/>
      <c r="U72" s="302"/>
      <c r="V72" s="302"/>
    </row>
    <row r="73" spans="1:22" x14ac:dyDescent="0.2">
      <c r="A73" s="97">
        <v>1100</v>
      </c>
      <c r="B73" s="93">
        <v>225</v>
      </c>
      <c r="C73" s="93">
        <v>6110</v>
      </c>
      <c r="D73" s="94">
        <v>201</v>
      </c>
      <c r="E73" s="93">
        <v>158</v>
      </c>
      <c r="F73" s="93">
        <v>75</v>
      </c>
      <c r="G73" s="93">
        <v>40</v>
      </c>
      <c r="H73" s="58">
        <v>1.4</v>
      </c>
      <c r="I73" s="95">
        <v>4.4000000000000004</v>
      </c>
      <c r="J73" s="58">
        <v>0.53</v>
      </c>
      <c r="K73" s="95">
        <v>2.93</v>
      </c>
      <c r="L73" s="95">
        <v>16.899999999999999</v>
      </c>
      <c r="M73" s="93">
        <v>27</v>
      </c>
      <c r="N73" s="114">
        <v>140.69</v>
      </c>
      <c r="O73" s="111">
        <v>143.12</v>
      </c>
      <c r="P73" s="302"/>
      <c r="Q73" s="302"/>
      <c r="R73" s="302"/>
      <c r="S73" s="302"/>
      <c r="T73" s="302"/>
      <c r="U73" s="302"/>
      <c r="V73" s="302"/>
    </row>
    <row r="74" spans="1:22" x14ac:dyDescent="0.2">
      <c r="A74" s="98">
        <v>1200</v>
      </c>
      <c r="B74" s="88">
        <v>65</v>
      </c>
      <c r="C74" s="88">
        <v>2120</v>
      </c>
      <c r="D74" s="89">
        <v>88</v>
      </c>
      <c r="E74" s="88">
        <v>70</v>
      </c>
      <c r="F74" s="88">
        <v>35</v>
      </c>
      <c r="G74" s="88">
        <v>19</v>
      </c>
      <c r="H74" s="60">
        <v>1.32</v>
      </c>
      <c r="I74" s="90">
        <v>1.56</v>
      </c>
      <c r="J74" s="60">
        <v>0.19</v>
      </c>
      <c r="K74" s="90">
        <v>1.08</v>
      </c>
      <c r="L74" s="90">
        <v>7.4</v>
      </c>
      <c r="M74" s="88">
        <v>49</v>
      </c>
      <c r="N74" s="114">
        <v>61.75</v>
      </c>
      <c r="O74" s="111">
        <v>78.89</v>
      </c>
      <c r="P74" s="302"/>
      <c r="Q74" s="302"/>
      <c r="R74" s="302"/>
      <c r="S74" s="302"/>
      <c r="T74" s="302"/>
      <c r="U74" s="302"/>
      <c r="V74" s="302"/>
    </row>
    <row r="75" spans="1:22" x14ac:dyDescent="0.2">
      <c r="A75" s="87">
        <v>1200</v>
      </c>
      <c r="B75" s="88">
        <v>105</v>
      </c>
      <c r="C75" s="88">
        <v>3120</v>
      </c>
      <c r="D75" s="89">
        <v>120</v>
      </c>
      <c r="E75" s="88">
        <v>95</v>
      </c>
      <c r="F75" s="88">
        <v>46</v>
      </c>
      <c r="G75" s="88">
        <v>25</v>
      </c>
      <c r="H75" s="60">
        <v>1.35</v>
      </c>
      <c r="I75" s="90">
        <v>2.34</v>
      </c>
      <c r="J75" s="60">
        <v>0.28999999999999998</v>
      </c>
      <c r="K75" s="90">
        <v>1.6</v>
      </c>
      <c r="L75" s="90">
        <v>10</v>
      </c>
      <c r="M75" s="88">
        <v>38</v>
      </c>
      <c r="N75" s="114">
        <v>86.36</v>
      </c>
      <c r="O75" s="111">
        <v>92.51</v>
      </c>
      <c r="P75" s="302"/>
      <c r="Q75" s="302"/>
      <c r="R75" s="302"/>
      <c r="S75" s="302"/>
      <c r="T75" s="302"/>
      <c r="U75" s="302"/>
      <c r="V75" s="302"/>
    </row>
    <row r="76" spans="1:22" x14ac:dyDescent="0.2">
      <c r="A76" s="87">
        <v>1200</v>
      </c>
      <c r="B76" s="88">
        <v>145</v>
      </c>
      <c r="C76" s="88">
        <v>4120</v>
      </c>
      <c r="D76" s="89">
        <v>152</v>
      </c>
      <c r="E76" s="88">
        <v>121</v>
      </c>
      <c r="F76" s="88">
        <v>59</v>
      </c>
      <c r="G76" s="88">
        <v>32</v>
      </c>
      <c r="H76" s="60">
        <v>1.35</v>
      </c>
      <c r="I76" s="90">
        <v>3.12</v>
      </c>
      <c r="J76" s="60">
        <v>0.38</v>
      </c>
      <c r="K76" s="90">
        <v>2.13</v>
      </c>
      <c r="L76" s="90">
        <v>12.6</v>
      </c>
      <c r="M76" s="88">
        <v>33</v>
      </c>
      <c r="N76" s="114">
        <v>115.62</v>
      </c>
      <c r="O76" s="111">
        <v>105.92</v>
      </c>
      <c r="P76" s="302"/>
      <c r="Q76" s="302"/>
      <c r="R76" s="302"/>
      <c r="S76" s="302"/>
      <c r="T76" s="302"/>
      <c r="U76" s="302"/>
      <c r="V76" s="302"/>
    </row>
    <row r="77" spans="1:22" x14ac:dyDescent="0.2">
      <c r="A77" s="87">
        <v>1200</v>
      </c>
      <c r="B77" s="88">
        <v>185</v>
      </c>
      <c r="C77" s="88">
        <v>5120</v>
      </c>
      <c r="D77" s="89">
        <v>186</v>
      </c>
      <c r="E77" s="88">
        <v>147</v>
      </c>
      <c r="F77" s="88">
        <v>70</v>
      </c>
      <c r="G77" s="88">
        <v>38</v>
      </c>
      <c r="H77" s="60">
        <v>1.38</v>
      </c>
      <c r="I77" s="90">
        <v>3.96</v>
      </c>
      <c r="J77" s="60">
        <v>0.48</v>
      </c>
      <c r="K77" s="90">
        <v>2.65</v>
      </c>
      <c r="L77" s="90">
        <v>15.4</v>
      </c>
      <c r="M77" s="88">
        <v>30</v>
      </c>
      <c r="N77" s="114">
        <v>131.41999999999999</v>
      </c>
      <c r="O77" s="111">
        <v>127.45</v>
      </c>
      <c r="P77" s="302"/>
      <c r="Q77" s="302"/>
      <c r="R77" s="302"/>
      <c r="S77" s="302"/>
      <c r="T77" s="302"/>
      <c r="U77" s="302"/>
      <c r="V77" s="302"/>
    </row>
    <row r="78" spans="1:22" x14ac:dyDescent="0.2">
      <c r="A78" s="91">
        <v>1200</v>
      </c>
      <c r="B78" s="88">
        <v>225</v>
      </c>
      <c r="C78" s="88">
        <v>6120</v>
      </c>
      <c r="D78" s="89">
        <v>217</v>
      </c>
      <c r="E78" s="88">
        <v>171</v>
      </c>
      <c r="F78" s="88">
        <v>81</v>
      </c>
      <c r="G78" s="88">
        <v>43</v>
      </c>
      <c r="H78" s="60">
        <v>1.4</v>
      </c>
      <c r="I78" s="90">
        <v>4.76</v>
      </c>
      <c r="J78" s="60">
        <v>0.57999999999999996</v>
      </c>
      <c r="K78" s="90">
        <v>3.17</v>
      </c>
      <c r="L78" s="90">
        <v>18</v>
      </c>
      <c r="M78" s="88">
        <v>27</v>
      </c>
      <c r="N78" s="114">
        <v>156.03</v>
      </c>
      <c r="O78" s="111">
        <v>150.65</v>
      </c>
      <c r="P78" s="302"/>
      <c r="Q78" s="302"/>
      <c r="R78" s="302"/>
      <c r="S78" s="302"/>
      <c r="T78" s="302"/>
      <c r="U78" s="302"/>
      <c r="V78" s="302"/>
    </row>
    <row r="79" spans="1:22" ht="12.75" customHeight="1" x14ac:dyDescent="0.2">
      <c r="A79" s="296" t="s">
        <v>165</v>
      </c>
      <c r="B79" s="296"/>
      <c r="C79" s="296"/>
      <c r="D79" s="296"/>
      <c r="E79" s="296"/>
      <c r="F79" s="296"/>
      <c r="G79" s="296"/>
      <c r="H79" s="296"/>
      <c r="I79" s="296"/>
      <c r="J79" s="296"/>
      <c r="K79" s="296"/>
      <c r="L79" s="296"/>
      <c r="M79" s="296"/>
      <c r="N79" s="296"/>
      <c r="O79" s="296"/>
      <c r="P79" s="296"/>
      <c r="Q79" s="296"/>
      <c r="R79" s="296"/>
      <c r="S79" s="296"/>
      <c r="T79" s="296"/>
      <c r="U79" s="296"/>
      <c r="V79" s="101"/>
    </row>
    <row r="80" spans="1:22" ht="33.75" x14ac:dyDescent="0.2">
      <c r="A80" s="99" t="s">
        <v>170</v>
      </c>
      <c r="B80" s="99" t="s">
        <v>171</v>
      </c>
      <c r="C80" s="99" t="s">
        <v>162</v>
      </c>
      <c r="D80" s="299" t="s">
        <v>166</v>
      </c>
      <c r="E80" s="299"/>
      <c r="F80" s="299"/>
      <c r="G80" s="299"/>
      <c r="H80" s="99" t="s">
        <v>150</v>
      </c>
      <c r="I80" s="99" t="s">
        <v>188</v>
      </c>
      <c r="J80" s="99" t="s">
        <v>185</v>
      </c>
      <c r="K80" s="99" t="s">
        <v>186</v>
      </c>
      <c r="L80" s="99" t="s">
        <v>182</v>
      </c>
      <c r="M80" s="99" t="s">
        <v>183</v>
      </c>
      <c r="N80" s="104" t="s">
        <v>191</v>
      </c>
      <c r="O80" s="104" t="s">
        <v>193</v>
      </c>
      <c r="P80" s="301"/>
      <c r="Q80" s="301"/>
      <c r="R80" s="301"/>
      <c r="S80" s="301"/>
      <c r="T80" s="301"/>
      <c r="U80" s="301"/>
      <c r="V80" s="101"/>
    </row>
    <row r="81" spans="1:22" ht="22.5" x14ac:dyDescent="0.2">
      <c r="A81" s="105" t="s">
        <v>167</v>
      </c>
      <c r="B81" s="105" t="s">
        <v>168</v>
      </c>
      <c r="C81" s="100"/>
      <c r="D81" s="103" t="s">
        <v>173</v>
      </c>
      <c r="E81" s="104" t="s">
        <v>174</v>
      </c>
      <c r="F81" s="104" t="s">
        <v>175</v>
      </c>
      <c r="G81" s="104" t="s">
        <v>176</v>
      </c>
      <c r="H81" s="105" t="s">
        <v>0</v>
      </c>
      <c r="I81" s="105" t="s">
        <v>152</v>
      </c>
      <c r="J81" s="105" t="s">
        <v>154</v>
      </c>
      <c r="K81" s="105" t="s">
        <v>156</v>
      </c>
      <c r="L81" s="105" t="s">
        <v>177</v>
      </c>
      <c r="M81" s="105" t="s">
        <v>160</v>
      </c>
      <c r="N81" s="106"/>
      <c r="O81" s="106"/>
      <c r="P81" s="102"/>
      <c r="Q81" s="102"/>
      <c r="R81" s="102"/>
      <c r="S81" s="102"/>
      <c r="T81" s="102"/>
      <c r="U81" s="102"/>
      <c r="V81" s="101"/>
    </row>
    <row r="82" spans="1:22" ht="12.75" customHeight="1" x14ac:dyDescent="0.2">
      <c r="A82" s="105" t="s">
        <v>172</v>
      </c>
      <c r="B82" s="105" t="s">
        <v>172</v>
      </c>
      <c r="C82" s="100"/>
      <c r="D82" s="103" t="s">
        <v>169</v>
      </c>
      <c r="E82" s="104" t="s">
        <v>169</v>
      </c>
      <c r="F82" s="104" t="s">
        <v>169</v>
      </c>
      <c r="G82" s="104" t="s">
        <v>169</v>
      </c>
      <c r="H82" s="105" t="s">
        <v>189</v>
      </c>
      <c r="I82" s="105" t="s">
        <v>187</v>
      </c>
      <c r="J82" s="105" t="s">
        <v>184</v>
      </c>
      <c r="K82" s="105" t="s">
        <v>181</v>
      </c>
      <c r="L82" s="105" t="s">
        <v>180</v>
      </c>
      <c r="M82" s="105" t="s">
        <v>178</v>
      </c>
      <c r="N82" s="106" t="s">
        <v>179</v>
      </c>
      <c r="O82" s="106" t="s">
        <v>192</v>
      </c>
      <c r="P82" s="102"/>
      <c r="Q82" s="102"/>
      <c r="R82" s="102"/>
      <c r="S82" s="102"/>
      <c r="T82" s="102"/>
      <c r="U82" s="102"/>
      <c r="V82" s="101"/>
    </row>
    <row r="83" spans="1:22" x14ac:dyDescent="0.2">
      <c r="A83" s="81">
        <v>1500</v>
      </c>
      <c r="B83" s="79">
        <v>65</v>
      </c>
      <c r="C83" s="79">
        <v>2150</v>
      </c>
      <c r="D83" s="82">
        <v>109</v>
      </c>
      <c r="E83" s="79">
        <v>87</v>
      </c>
      <c r="F83" s="79">
        <v>43</v>
      </c>
      <c r="G83" s="79">
        <v>24</v>
      </c>
      <c r="H83" s="80">
        <v>1.32</v>
      </c>
      <c r="I83" s="80">
        <v>1.93</v>
      </c>
      <c r="J83" s="80">
        <v>0.24</v>
      </c>
      <c r="K83" s="80">
        <v>1.32</v>
      </c>
      <c r="L83" s="80">
        <v>9.1</v>
      </c>
      <c r="M83" s="79">
        <v>49</v>
      </c>
      <c r="N83" s="110">
        <v>78.14</v>
      </c>
      <c r="O83" s="110">
        <v>87.3</v>
      </c>
      <c r="P83" s="302"/>
      <c r="Q83" s="302"/>
      <c r="R83" s="302"/>
      <c r="S83" s="302"/>
      <c r="T83" s="302"/>
      <c r="U83" s="302"/>
      <c r="V83" s="101"/>
    </row>
    <row r="84" spans="1:22" x14ac:dyDescent="0.2">
      <c r="A84" s="65">
        <v>1500</v>
      </c>
      <c r="B84" s="62">
        <v>105</v>
      </c>
      <c r="C84" s="62">
        <v>3150</v>
      </c>
      <c r="D84" s="63">
        <v>147</v>
      </c>
      <c r="E84" s="62">
        <v>117</v>
      </c>
      <c r="F84" s="62">
        <v>57</v>
      </c>
      <c r="G84" s="62">
        <v>31</v>
      </c>
      <c r="H84" s="61">
        <v>1.35</v>
      </c>
      <c r="I84" s="61">
        <v>2.89</v>
      </c>
      <c r="J84" s="61">
        <v>0.36</v>
      </c>
      <c r="K84" s="61">
        <v>1.96</v>
      </c>
      <c r="L84" s="61">
        <v>12.3</v>
      </c>
      <c r="M84" s="62">
        <v>38</v>
      </c>
      <c r="N84" s="111">
        <v>111.2</v>
      </c>
      <c r="O84" s="111">
        <v>103.34</v>
      </c>
      <c r="P84" s="302"/>
      <c r="Q84" s="302"/>
      <c r="R84" s="302"/>
      <c r="S84" s="302"/>
      <c r="T84" s="302"/>
      <c r="U84" s="302"/>
      <c r="V84" s="101"/>
    </row>
    <row r="85" spans="1:22" x14ac:dyDescent="0.2">
      <c r="A85" s="65">
        <v>1500</v>
      </c>
      <c r="B85" s="62">
        <v>145</v>
      </c>
      <c r="C85" s="62">
        <v>4150</v>
      </c>
      <c r="D85" s="63">
        <v>186</v>
      </c>
      <c r="E85" s="62">
        <v>148</v>
      </c>
      <c r="F85" s="62">
        <v>72</v>
      </c>
      <c r="G85" s="62">
        <v>39</v>
      </c>
      <c r="H85" s="61">
        <v>1.35</v>
      </c>
      <c r="I85" s="61">
        <v>3.85</v>
      </c>
      <c r="J85" s="61">
        <v>0.48</v>
      </c>
      <c r="K85" s="61">
        <v>2.6</v>
      </c>
      <c r="L85" s="61">
        <v>15.5</v>
      </c>
      <c r="M85" s="62">
        <v>33</v>
      </c>
      <c r="N85" s="111">
        <v>145.19999999999999</v>
      </c>
      <c r="O85" s="111">
        <v>122.06</v>
      </c>
      <c r="P85" s="302"/>
      <c r="Q85" s="302"/>
      <c r="R85" s="302"/>
      <c r="S85" s="302"/>
      <c r="T85" s="302"/>
      <c r="U85" s="302"/>
      <c r="V85" s="101"/>
    </row>
    <row r="86" spans="1:22" x14ac:dyDescent="0.2">
      <c r="A86" s="65">
        <v>1500</v>
      </c>
      <c r="B86" s="62">
        <v>185</v>
      </c>
      <c r="C86" s="62">
        <v>5150</v>
      </c>
      <c r="D86" s="63">
        <v>225</v>
      </c>
      <c r="E86" s="62">
        <v>178</v>
      </c>
      <c r="F86" s="62">
        <v>86</v>
      </c>
      <c r="G86" s="62">
        <v>46</v>
      </c>
      <c r="H86" s="61">
        <v>1.37</v>
      </c>
      <c r="I86" s="61">
        <v>4.87</v>
      </c>
      <c r="J86" s="61">
        <v>0.6</v>
      </c>
      <c r="K86" s="61">
        <v>3.24</v>
      </c>
      <c r="L86" s="61">
        <v>18.5</v>
      </c>
      <c r="M86" s="62">
        <v>30</v>
      </c>
      <c r="N86" s="111">
        <v>169.67</v>
      </c>
      <c r="O86" s="111">
        <v>154.94</v>
      </c>
      <c r="P86" s="302"/>
      <c r="Q86" s="302"/>
      <c r="R86" s="302"/>
      <c r="S86" s="302"/>
      <c r="T86" s="302"/>
      <c r="U86" s="302"/>
      <c r="V86" s="101"/>
    </row>
    <row r="87" spans="1:22" x14ac:dyDescent="0.2">
      <c r="A87" s="66">
        <v>1500</v>
      </c>
      <c r="B87" s="62">
        <v>225</v>
      </c>
      <c r="C87" s="62">
        <v>6150</v>
      </c>
      <c r="D87" s="63">
        <v>264</v>
      </c>
      <c r="E87" s="62">
        <v>208</v>
      </c>
      <c r="F87" s="62">
        <v>99</v>
      </c>
      <c r="G87" s="62">
        <v>52</v>
      </c>
      <c r="H87" s="61">
        <v>1.4</v>
      </c>
      <c r="I87" s="61">
        <v>5.85</v>
      </c>
      <c r="J87" s="61">
        <v>0.72</v>
      </c>
      <c r="K87" s="61">
        <v>3.88</v>
      </c>
      <c r="L87" s="61">
        <v>21.5</v>
      </c>
      <c r="M87" s="62">
        <v>27</v>
      </c>
      <c r="N87" s="111">
        <v>201.71</v>
      </c>
      <c r="O87" s="111">
        <v>168.49</v>
      </c>
      <c r="P87" s="302"/>
      <c r="Q87" s="302"/>
      <c r="R87" s="302"/>
      <c r="S87" s="302"/>
      <c r="T87" s="302"/>
      <c r="U87" s="302"/>
      <c r="V87" s="101"/>
    </row>
    <row r="88" spans="1:22" x14ac:dyDescent="0.2">
      <c r="A88" s="70">
        <v>1800</v>
      </c>
      <c r="B88" s="68">
        <v>65</v>
      </c>
      <c r="C88" s="68">
        <v>2180</v>
      </c>
      <c r="D88" s="69">
        <v>130</v>
      </c>
      <c r="E88" s="68">
        <v>104</v>
      </c>
      <c r="F88" s="68">
        <v>51</v>
      </c>
      <c r="G88" s="68">
        <v>28</v>
      </c>
      <c r="H88" s="67">
        <v>1.32</v>
      </c>
      <c r="I88" s="67">
        <v>2.29</v>
      </c>
      <c r="J88" s="67">
        <v>0.28999999999999998</v>
      </c>
      <c r="K88" s="67">
        <v>1.56</v>
      </c>
      <c r="L88" s="67">
        <v>10.8</v>
      </c>
      <c r="M88" s="68">
        <v>49</v>
      </c>
      <c r="N88" s="111">
        <v>94.36</v>
      </c>
      <c r="O88" s="111">
        <v>96.01</v>
      </c>
      <c r="P88" s="302"/>
      <c r="Q88" s="302"/>
      <c r="R88" s="302"/>
      <c r="S88" s="302"/>
      <c r="T88" s="302"/>
      <c r="U88" s="302"/>
      <c r="V88" s="101"/>
    </row>
    <row r="89" spans="1:22" x14ac:dyDescent="0.2">
      <c r="A89" s="71">
        <v>1800</v>
      </c>
      <c r="B89" s="68">
        <v>105</v>
      </c>
      <c r="C89" s="68">
        <v>3180</v>
      </c>
      <c r="D89" s="69">
        <v>173</v>
      </c>
      <c r="E89" s="68">
        <v>138</v>
      </c>
      <c r="F89" s="68">
        <v>67</v>
      </c>
      <c r="G89" s="68">
        <v>36</v>
      </c>
      <c r="H89" s="67">
        <v>1.35</v>
      </c>
      <c r="I89" s="67">
        <v>3.43</v>
      </c>
      <c r="J89" s="67">
        <v>0.43</v>
      </c>
      <c r="K89" s="67">
        <v>2.3199999999999998</v>
      </c>
      <c r="L89" s="67">
        <v>14.6</v>
      </c>
      <c r="M89" s="68">
        <v>38</v>
      </c>
      <c r="N89" s="111">
        <v>135.93</v>
      </c>
      <c r="O89" s="111">
        <v>112.92</v>
      </c>
      <c r="P89" s="302"/>
      <c r="Q89" s="302"/>
      <c r="R89" s="302"/>
      <c r="S89" s="302"/>
      <c r="T89" s="302"/>
      <c r="U89" s="302"/>
      <c r="V89" s="101"/>
    </row>
    <row r="90" spans="1:22" x14ac:dyDescent="0.2">
      <c r="A90" s="71">
        <v>1800</v>
      </c>
      <c r="B90" s="68">
        <v>145</v>
      </c>
      <c r="C90" s="68">
        <v>4180</v>
      </c>
      <c r="D90" s="69">
        <v>219</v>
      </c>
      <c r="E90" s="68">
        <v>174</v>
      </c>
      <c r="F90" s="68">
        <v>85</v>
      </c>
      <c r="G90" s="68">
        <v>46</v>
      </c>
      <c r="H90" s="67">
        <v>1.34</v>
      </c>
      <c r="I90" s="67">
        <v>4.58</v>
      </c>
      <c r="J90" s="67">
        <v>0.56999999999999995</v>
      </c>
      <c r="K90" s="67">
        <v>3.08</v>
      </c>
      <c r="L90" s="67">
        <v>18.399999999999999</v>
      </c>
      <c r="M90" s="68">
        <v>33</v>
      </c>
      <c r="N90" s="111">
        <v>174.68</v>
      </c>
      <c r="O90" s="111">
        <v>134.63</v>
      </c>
      <c r="P90" s="302"/>
      <c r="Q90" s="302"/>
      <c r="R90" s="302"/>
      <c r="S90" s="302"/>
      <c r="T90" s="302"/>
      <c r="U90" s="302"/>
      <c r="V90" s="101"/>
    </row>
    <row r="91" spans="1:22" x14ac:dyDescent="0.2">
      <c r="A91" s="71">
        <v>1800</v>
      </c>
      <c r="B91" s="68">
        <v>185</v>
      </c>
      <c r="C91" s="68">
        <v>5180</v>
      </c>
      <c r="D91" s="69">
        <v>263</v>
      </c>
      <c r="E91" s="68">
        <v>208</v>
      </c>
      <c r="F91" s="68">
        <v>100</v>
      </c>
      <c r="G91" s="68">
        <v>54</v>
      </c>
      <c r="H91" s="67">
        <v>1.37</v>
      </c>
      <c r="I91" s="67">
        <v>5.78</v>
      </c>
      <c r="J91" s="67">
        <v>0.72</v>
      </c>
      <c r="K91" s="67">
        <v>3.84</v>
      </c>
      <c r="L91" s="67">
        <v>22</v>
      </c>
      <c r="M91" s="68">
        <v>30</v>
      </c>
      <c r="N91" s="111">
        <v>207.86</v>
      </c>
      <c r="O91" s="112">
        <v>161.63</v>
      </c>
      <c r="P91" s="302"/>
      <c r="Q91" s="302"/>
      <c r="R91" s="302"/>
      <c r="S91" s="302"/>
      <c r="T91" s="302"/>
      <c r="U91" s="302"/>
      <c r="V91" s="101"/>
    </row>
    <row r="92" spans="1:22" x14ac:dyDescent="0.2">
      <c r="A92" s="71">
        <v>1800</v>
      </c>
      <c r="B92" s="77">
        <v>225</v>
      </c>
      <c r="C92" s="77">
        <v>6180</v>
      </c>
      <c r="D92" s="78">
        <v>309</v>
      </c>
      <c r="E92" s="77">
        <v>244</v>
      </c>
      <c r="F92" s="77">
        <v>116</v>
      </c>
      <c r="G92" s="77">
        <v>62</v>
      </c>
      <c r="H92" s="76">
        <v>1.39</v>
      </c>
      <c r="I92" s="76">
        <v>6.95</v>
      </c>
      <c r="J92" s="76">
        <v>0.86</v>
      </c>
      <c r="K92" s="76">
        <v>4.5999999999999996</v>
      </c>
      <c r="L92" s="76">
        <v>25.5</v>
      </c>
      <c r="M92" s="77">
        <v>27</v>
      </c>
      <c r="N92" s="112">
        <v>247.57</v>
      </c>
      <c r="O92" s="112">
        <v>189.85</v>
      </c>
      <c r="P92" s="302"/>
      <c r="Q92" s="302"/>
      <c r="R92" s="302"/>
      <c r="S92" s="302"/>
      <c r="T92" s="302"/>
      <c r="U92" s="302"/>
      <c r="V92" s="101"/>
    </row>
    <row r="93" spans="1:22" ht="12.75" customHeight="1" x14ac:dyDescent="0.2">
      <c r="A93" s="64">
        <v>2000</v>
      </c>
      <c r="B93" s="62">
        <v>65</v>
      </c>
      <c r="C93" s="62">
        <v>2200</v>
      </c>
      <c r="D93" s="63">
        <v>144</v>
      </c>
      <c r="E93" s="62">
        <v>115</v>
      </c>
      <c r="F93" s="62">
        <v>57</v>
      </c>
      <c r="G93" s="62">
        <v>31</v>
      </c>
      <c r="H93" s="61">
        <v>1.32</v>
      </c>
      <c r="I93" s="61">
        <v>2.5299999999999998</v>
      </c>
      <c r="J93" s="61">
        <v>0.32</v>
      </c>
      <c r="K93" s="61">
        <v>1.72</v>
      </c>
      <c r="L93" s="61">
        <v>12</v>
      </c>
      <c r="M93" s="62">
        <v>49</v>
      </c>
      <c r="N93" s="111">
        <v>105.32</v>
      </c>
      <c r="O93" s="111">
        <v>99.91</v>
      </c>
      <c r="P93" s="302"/>
      <c r="Q93" s="302"/>
      <c r="R93" s="302"/>
      <c r="S93" s="303"/>
      <c r="T93" s="303"/>
      <c r="U93" s="303"/>
      <c r="V93" s="101"/>
    </row>
    <row r="94" spans="1:22" ht="12.75" customHeight="1" x14ac:dyDescent="0.2">
      <c r="A94" s="65">
        <v>2000</v>
      </c>
      <c r="B94" s="62">
        <v>105</v>
      </c>
      <c r="C94" s="62">
        <v>3200</v>
      </c>
      <c r="D94" s="63">
        <v>190</v>
      </c>
      <c r="E94" s="62">
        <v>151</v>
      </c>
      <c r="F94" s="62">
        <v>74</v>
      </c>
      <c r="G94" s="62">
        <v>40</v>
      </c>
      <c r="H94" s="61">
        <v>1.34</v>
      </c>
      <c r="I94" s="61">
        <v>3.8</v>
      </c>
      <c r="J94" s="61">
        <v>0.48</v>
      </c>
      <c r="K94" s="61">
        <v>2.56</v>
      </c>
      <c r="L94" s="61">
        <v>16.3</v>
      </c>
      <c r="M94" s="62">
        <v>38</v>
      </c>
      <c r="N94" s="111">
        <v>152.52000000000001</v>
      </c>
      <c r="O94" s="111">
        <v>117.86</v>
      </c>
      <c r="P94" s="302"/>
      <c r="Q94" s="302"/>
      <c r="R94" s="302"/>
      <c r="S94" s="303"/>
      <c r="T94" s="303"/>
      <c r="U94" s="303"/>
      <c r="V94" s="101"/>
    </row>
    <row r="95" spans="1:22" ht="12.75" customHeight="1" x14ac:dyDescent="0.2">
      <c r="A95" s="65">
        <v>2000</v>
      </c>
      <c r="B95" s="62">
        <v>145</v>
      </c>
      <c r="C95" s="62">
        <v>4200</v>
      </c>
      <c r="D95" s="63">
        <v>241</v>
      </c>
      <c r="E95" s="62">
        <v>192</v>
      </c>
      <c r="F95" s="62">
        <v>94</v>
      </c>
      <c r="G95" s="62">
        <v>51</v>
      </c>
      <c r="H95" s="61">
        <v>1.34</v>
      </c>
      <c r="I95" s="61">
        <v>5.0599999999999996</v>
      </c>
      <c r="J95" s="61">
        <v>0.64</v>
      </c>
      <c r="K95" s="61">
        <v>3.4</v>
      </c>
      <c r="L95" s="61">
        <v>20.399999999999999</v>
      </c>
      <c r="M95" s="62">
        <v>33</v>
      </c>
      <c r="N95" s="111">
        <v>194.73</v>
      </c>
      <c r="O95" s="111">
        <v>142.88</v>
      </c>
      <c r="P95" s="302"/>
      <c r="Q95" s="302"/>
      <c r="R95" s="302"/>
      <c r="S95" s="303"/>
      <c r="T95" s="303"/>
      <c r="U95" s="303"/>
      <c r="V95" s="101"/>
    </row>
    <row r="96" spans="1:22" ht="12.75" customHeight="1" x14ac:dyDescent="0.2">
      <c r="A96" s="65">
        <v>2000</v>
      </c>
      <c r="B96" s="62">
        <v>185</v>
      </c>
      <c r="C96" s="62">
        <v>5200</v>
      </c>
      <c r="D96" s="63">
        <v>287</v>
      </c>
      <c r="E96" s="62">
        <v>227</v>
      </c>
      <c r="F96" s="62">
        <v>109</v>
      </c>
      <c r="G96" s="62">
        <v>59</v>
      </c>
      <c r="H96" s="61">
        <v>1.37</v>
      </c>
      <c r="I96" s="61">
        <v>6.38</v>
      </c>
      <c r="J96" s="61">
        <v>0.8</v>
      </c>
      <c r="K96" s="61">
        <v>4.24</v>
      </c>
      <c r="L96" s="61">
        <v>24.3</v>
      </c>
      <c r="M96" s="62">
        <v>30</v>
      </c>
      <c r="N96" s="111">
        <v>233.53</v>
      </c>
      <c r="O96" s="111">
        <v>172.72</v>
      </c>
      <c r="P96" s="302"/>
      <c r="Q96" s="302"/>
      <c r="R96" s="302"/>
      <c r="S96" s="303"/>
      <c r="T96" s="303"/>
      <c r="U96" s="303"/>
      <c r="V96" s="101"/>
    </row>
    <row r="97" spans="1:22" ht="12.75" customHeight="1" x14ac:dyDescent="0.2">
      <c r="A97" s="65">
        <v>2000</v>
      </c>
      <c r="B97" s="74">
        <v>225</v>
      </c>
      <c r="C97" s="74">
        <v>6200</v>
      </c>
      <c r="D97" s="75">
        <v>339</v>
      </c>
      <c r="E97" s="74">
        <v>268</v>
      </c>
      <c r="F97" s="74">
        <v>128</v>
      </c>
      <c r="G97" s="74">
        <v>68</v>
      </c>
      <c r="H97" s="73">
        <v>1.39</v>
      </c>
      <c r="I97" s="73">
        <v>7.67</v>
      </c>
      <c r="J97" s="73">
        <v>0.95</v>
      </c>
      <c r="K97" s="73">
        <v>5.08</v>
      </c>
      <c r="L97" s="73">
        <v>28.4</v>
      </c>
      <c r="M97" s="74">
        <v>27</v>
      </c>
      <c r="N97" s="112">
        <v>278.45</v>
      </c>
      <c r="O97" s="112">
        <v>201.07</v>
      </c>
      <c r="P97" s="302"/>
      <c r="Q97" s="302"/>
      <c r="R97" s="302"/>
      <c r="S97" s="303"/>
      <c r="T97" s="303"/>
      <c r="U97" s="303"/>
      <c r="V97" s="101"/>
    </row>
    <row r="98" spans="1:22" x14ac:dyDescent="0.2">
      <c r="A98" s="70">
        <v>2200</v>
      </c>
      <c r="B98" s="68">
        <v>65</v>
      </c>
      <c r="C98" s="68">
        <v>2220</v>
      </c>
      <c r="D98" s="69">
        <v>158</v>
      </c>
      <c r="E98" s="68">
        <v>126</v>
      </c>
      <c r="F98" s="68">
        <v>62</v>
      </c>
      <c r="G98" s="68">
        <v>34</v>
      </c>
      <c r="H98" s="67">
        <v>1.32</v>
      </c>
      <c r="I98" s="67">
        <v>2.78</v>
      </c>
      <c r="J98" s="67">
        <v>0.35</v>
      </c>
      <c r="K98" s="67">
        <v>1.88</v>
      </c>
      <c r="L98" s="67">
        <v>13.2</v>
      </c>
      <c r="M98" s="68">
        <v>49</v>
      </c>
      <c r="N98" s="111">
        <v>118.82</v>
      </c>
      <c r="O98" s="111">
        <v>124.25</v>
      </c>
      <c r="P98" s="302"/>
      <c r="Q98" s="302"/>
      <c r="R98" s="302"/>
      <c r="S98" s="302"/>
      <c r="T98" s="302"/>
      <c r="U98" s="302"/>
      <c r="V98" s="101"/>
    </row>
    <row r="99" spans="1:22" x14ac:dyDescent="0.2">
      <c r="A99" s="71">
        <v>2200</v>
      </c>
      <c r="B99" s="68">
        <v>105</v>
      </c>
      <c r="C99" s="68">
        <v>3220</v>
      </c>
      <c r="D99" s="69">
        <v>207</v>
      </c>
      <c r="E99" s="68">
        <v>165</v>
      </c>
      <c r="F99" s="68">
        <v>81</v>
      </c>
      <c r="G99" s="68">
        <v>44</v>
      </c>
      <c r="H99" s="67">
        <v>1.34</v>
      </c>
      <c r="I99" s="67">
        <v>4.16</v>
      </c>
      <c r="J99" s="67">
        <v>0.52</v>
      </c>
      <c r="K99" s="67">
        <v>2.8</v>
      </c>
      <c r="L99" s="67">
        <v>17.899999999999999</v>
      </c>
      <c r="M99" s="68">
        <v>38</v>
      </c>
      <c r="N99" s="111">
        <v>173.31</v>
      </c>
      <c r="O99" s="111">
        <v>144.74</v>
      </c>
      <c r="P99" s="302"/>
      <c r="Q99" s="302"/>
      <c r="R99" s="302"/>
      <c r="S99" s="302"/>
      <c r="T99" s="302"/>
      <c r="U99" s="302"/>
      <c r="V99" s="101"/>
    </row>
    <row r="100" spans="1:22" x14ac:dyDescent="0.2">
      <c r="A100" s="71">
        <v>2200</v>
      </c>
      <c r="B100" s="68">
        <v>145</v>
      </c>
      <c r="C100" s="68">
        <v>4220</v>
      </c>
      <c r="D100" s="69">
        <v>262</v>
      </c>
      <c r="E100" s="68">
        <v>209</v>
      </c>
      <c r="F100" s="68">
        <v>102</v>
      </c>
      <c r="G100" s="68">
        <v>56</v>
      </c>
      <c r="H100" s="67">
        <v>1.34</v>
      </c>
      <c r="I100" s="67">
        <v>5.55</v>
      </c>
      <c r="J100" s="67">
        <v>0.7</v>
      </c>
      <c r="K100" s="67">
        <v>3.72</v>
      </c>
      <c r="L100" s="67">
        <v>22.4</v>
      </c>
      <c r="M100" s="68">
        <v>33</v>
      </c>
      <c r="N100" s="111">
        <v>219.63</v>
      </c>
      <c r="O100" s="111">
        <v>171.15</v>
      </c>
      <c r="P100" s="302"/>
      <c r="Q100" s="302"/>
      <c r="R100" s="302"/>
      <c r="S100" s="302"/>
      <c r="T100" s="302"/>
      <c r="U100" s="302"/>
      <c r="V100" s="101"/>
    </row>
    <row r="101" spans="1:22" x14ac:dyDescent="0.2">
      <c r="A101" s="71">
        <v>2200</v>
      </c>
      <c r="B101" s="68">
        <v>185</v>
      </c>
      <c r="C101" s="68">
        <v>5220</v>
      </c>
      <c r="D101" s="69">
        <v>310</v>
      </c>
      <c r="E101" s="68">
        <v>246</v>
      </c>
      <c r="F101" s="68">
        <v>119</v>
      </c>
      <c r="G101" s="68">
        <v>64</v>
      </c>
      <c r="H101" s="67">
        <v>1.36</v>
      </c>
      <c r="I101" s="67">
        <v>6.99</v>
      </c>
      <c r="J101" s="67">
        <v>0.87</v>
      </c>
      <c r="K101" s="67">
        <v>4.6399999999999997</v>
      </c>
      <c r="L101" s="67">
        <v>26.5</v>
      </c>
      <c r="M101" s="68">
        <v>30</v>
      </c>
      <c r="N101" s="111">
        <v>265.27</v>
      </c>
      <c r="O101" s="111">
        <v>201.41</v>
      </c>
      <c r="P101" s="302"/>
      <c r="Q101" s="302"/>
      <c r="R101" s="302"/>
      <c r="S101" s="302"/>
      <c r="T101" s="302"/>
      <c r="U101" s="302"/>
      <c r="V101" s="101"/>
    </row>
    <row r="102" spans="1:22" x14ac:dyDescent="0.2">
      <c r="A102" s="72">
        <v>2200</v>
      </c>
      <c r="B102" s="68">
        <v>225</v>
      </c>
      <c r="C102" s="68">
        <v>6220</v>
      </c>
      <c r="D102" s="69">
        <v>367</v>
      </c>
      <c r="E102" s="68">
        <v>290</v>
      </c>
      <c r="F102" s="68">
        <v>138</v>
      </c>
      <c r="G102" s="68">
        <v>73</v>
      </c>
      <c r="H102" s="67">
        <v>1.39</v>
      </c>
      <c r="I102" s="67">
        <v>8.4</v>
      </c>
      <c r="J102" s="67">
        <v>1.05</v>
      </c>
      <c r="K102" s="67">
        <v>5.55</v>
      </c>
      <c r="L102" s="67">
        <v>31</v>
      </c>
      <c r="M102" s="68">
        <v>27</v>
      </c>
      <c r="N102" s="111">
        <v>317.04000000000002</v>
      </c>
      <c r="O102" s="111">
        <v>236.39</v>
      </c>
      <c r="P102" s="302"/>
      <c r="Q102" s="302"/>
      <c r="R102" s="302"/>
      <c r="S102" s="302"/>
      <c r="T102" s="302"/>
      <c r="U102" s="302"/>
      <c r="V102" s="101"/>
    </row>
    <row r="103" spans="1:22" x14ac:dyDescent="0.2">
      <c r="A103" s="64">
        <v>2500</v>
      </c>
      <c r="B103" s="62">
        <v>65</v>
      </c>
      <c r="C103" s="62">
        <v>2250</v>
      </c>
      <c r="D103" s="63">
        <v>179</v>
      </c>
      <c r="E103" s="62">
        <v>143</v>
      </c>
      <c r="F103" s="62">
        <v>71</v>
      </c>
      <c r="G103" s="62">
        <v>39</v>
      </c>
      <c r="H103" s="61">
        <v>1.32</v>
      </c>
      <c r="I103" s="61">
        <v>3.14</v>
      </c>
      <c r="J103" s="61">
        <v>0.4</v>
      </c>
      <c r="K103" s="61">
        <v>2.12</v>
      </c>
      <c r="L103" s="61">
        <v>15</v>
      </c>
      <c r="M103" s="62">
        <v>49</v>
      </c>
      <c r="N103" s="111">
        <v>132.47</v>
      </c>
      <c r="O103" s="111">
        <v>139.93</v>
      </c>
      <c r="P103" s="302"/>
      <c r="Q103" s="302"/>
      <c r="R103" s="302"/>
      <c r="S103" s="302"/>
      <c r="T103" s="302"/>
      <c r="U103" s="302"/>
      <c r="V103" s="101"/>
    </row>
    <row r="104" spans="1:22" x14ac:dyDescent="0.2">
      <c r="A104" s="65">
        <v>2500</v>
      </c>
      <c r="B104" s="62">
        <v>105</v>
      </c>
      <c r="C104" s="62">
        <v>3250</v>
      </c>
      <c r="D104" s="63">
        <v>231</v>
      </c>
      <c r="E104" s="62">
        <v>184</v>
      </c>
      <c r="F104" s="62">
        <v>90</v>
      </c>
      <c r="G104" s="62">
        <v>49</v>
      </c>
      <c r="H104" s="61">
        <v>1.34</v>
      </c>
      <c r="I104" s="61">
        <v>4.71</v>
      </c>
      <c r="J104" s="61">
        <v>0.59</v>
      </c>
      <c r="K104" s="61">
        <v>3.16</v>
      </c>
      <c r="L104" s="61">
        <v>20.3</v>
      </c>
      <c r="M104" s="62">
        <v>38</v>
      </c>
      <c r="N104" s="111">
        <v>194.11</v>
      </c>
      <c r="O104" s="111">
        <v>165.77</v>
      </c>
      <c r="P104" s="302"/>
      <c r="Q104" s="302"/>
      <c r="R104" s="302"/>
      <c r="S104" s="302"/>
      <c r="T104" s="302"/>
      <c r="U104" s="302"/>
      <c r="V104" s="101"/>
    </row>
    <row r="105" spans="1:22" x14ac:dyDescent="0.2">
      <c r="A105" s="65">
        <v>2500</v>
      </c>
      <c r="B105" s="62">
        <v>145</v>
      </c>
      <c r="C105" s="62">
        <v>4250</v>
      </c>
      <c r="D105" s="63">
        <v>293</v>
      </c>
      <c r="E105" s="62">
        <v>233</v>
      </c>
      <c r="F105" s="62">
        <v>114</v>
      </c>
      <c r="G105" s="62">
        <v>62</v>
      </c>
      <c r="H105" s="61">
        <v>1.34</v>
      </c>
      <c r="I105" s="61">
        <v>6.27</v>
      </c>
      <c r="J105" s="61">
        <v>0.79</v>
      </c>
      <c r="K105" s="61">
        <v>4.1900000000000004</v>
      </c>
      <c r="L105" s="61">
        <v>25.4</v>
      </c>
      <c r="M105" s="62">
        <v>33</v>
      </c>
      <c r="N105" s="111">
        <v>244.6</v>
      </c>
      <c r="O105" s="111">
        <v>197.19</v>
      </c>
      <c r="P105" s="302"/>
      <c r="Q105" s="302"/>
      <c r="R105" s="302"/>
      <c r="S105" s="302"/>
      <c r="T105" s="302"/>
      <c r="U105" s="302"/>
      <c r="V105" s="101"/>
    </row>
    <row r="106" spans="1:22" x14ac:dyDescent="0.2">
      <c r="A106" s="65">
        <v>2500</v>
      </c>
      <c r="B106" s="62">
        <v>185</v>
      </c>
      <c r="C106" s="62">
        <v>5250</v>
      </c>
      <c r="D106" s="63">
        <v>343</v>
      </c>
      <c r="E106" s="62">
        <v>272</v>
      </c>
      <c r="F106" s="62">
        <v>132</v>
      </c>
      <c r="G106" s="62">
        <v>71</v>
      </c>
      <c r="H106" s="61">
        <v>1.36</v>
      </c>
      <c r="I106" s="61">
        <v>7.9</v>
      </c>
      <c r="J106" s="61">
        <v>0.99</v>
      </c>
      <c r="K106" s="61">
        <v>5.23</v>
      </c>
      <c r="L106" s="61">
        <v>29.8</v>
      </c>
      <c r="M106" s="62">
        <v>30</v>
      </c>
      <c r="N106" s="111">
        <v>297.23</v>
      </c>
      <c r="O106" s="111">
        <v>230.7</v>
      </c>
      <c r="P106" s="302"/>
      <c r="Q106" s="302"/>
      <c r="R106" s="302"/>
      <c r="S106" s="302"/>
      <c r="T106" s="302"/>
      <c r="U106" s="302"/>
      <c r="V106" s="101"/>
    </row>
    <row r="107" spans="1:22" x14ac:dyDescent="0.2">
      <c r="A107" s="66">
        <v>2500</v>
      </c>
      <c r="B107" s="62">
        <v>225</v>
      </c>
      <c r="C107" s="62">
        <v>6250</v>
      </c>
      <c r="D107" s="63">
        <v>408</v>
      </c>
      <c r="E107" s="62">
        <v>322</v>
      </c>
      <c r="F107" s="62">
        <v>153</v>
      </c>
      <c r="G107" s="62">
        <v>82</v>
      </c>
      <c r="H107" s="61">
        <v>1.39</v>
      </c>
      <c r="I107" s="61">
        <v>9.49</v>
      </c>
      <c r="J107" s="61">
        <v>1.19</v>
      </c>
      <c r="K107" s="61">
        <v>6.27</v>
      </c>
      <c r="L107" s="61">
        <v>34.700000000000003</v>
      </c>
      <c r="M107" s="62">
        <v>27</v>
      </c>
      <c r="N107" s="111">
        <v>355.56</v>
      </c>
      <c r="O107" s="111">
        <v>258.61</v>
      </c>
      <c r="P107" s="302"/>
      <c r="Q107" s="302"/>
      <c r="R107" s="302"/>
      <c r="S107" s="302"/>
      <c r="T107" s="302"/>
      <c r="U107" s="302"/>
      <c r="V107" s="101"/>
    </row>
    <row r="108" spans="1:22" x14ac:dyDescent="0.2">
      <c r="A108" s="70">
        <v>2800</v>
      </c>
      <c r="B108" s="68">
        <v>65</v>
      </c>
      <c r="C108" s="68">
        <v>2280</v>
      </c>
      <c r="D108" s="69">
        <v>200</v>
      </c>
      <c r="E108" s="68">
        <v>160</v>
      </c>
      <c r="F108" s="68">
        <v>78</v>
      </c>
      <c r="G108" s="68">
        <v>43</v>
      </c>
      <c r="H108" s="67">
        <v>1.33</v>
      </c>
      <c r="I108" s="67">
        <v>3.5</v>
      </c>
      <c r="J108" s="67">
        <v>0.44</v>
      </c>
      <c r="K108" s="67">
        <v>2.36</v>
      </c>
      <c r="L108" s="67">
        <v>16.8</v>
      </c>
      <c r="M108" s="68">
        <v>49</v>
      </c>
      <c r="N108" s="111">
        <v>146.77000000000001</v>
      </c>
      <c r="O108" s="111">
        <v>150.51</v>
      </c>
      <c r="P108" s="302"/>
      <c r="Q108" s="302"/>
      <c r="R108" s="302"/>
      <c r="S108" s="302"/>
      <c r="T108" s="302"/>
      <c r="U108" s="302"/>
      <c r="V108" s="101"/>
    </row>
    <row r="109" spans="1:22" x14ac:dyDescent="0.2">
      <c r="A109" s="71">
        <v>2800</v>
      </c>
      <c r="B109" s="68">
        <v>105</v>
      </c>
      <c r="C109" s="68">
        <v>3280</v>
      </c>
      <c r="D109" s="69">
        <v>255</v>
      </c>
      <c r="E109" s="68">
        <v>203</v>
      </c>
      <c r="F109" s="68">
        <v>99</v>
      </c>
      <c r="G109" s="68">
        <v>54</v>
      </c>
      <c r="H109" s="67">
        <v>1.34</v>
      </c>
      <c r="I109" s="67">
        <v>5.25</v>
      </c>
      <c r="J109" s="67">
        <v>0.67</v>
      </c>
      <c r="K109" s="67">
        <v>3.51</v>
      </c>
      <c r="L109" s="67">
        <v>22.5</v>
      </c>
      <c r="M109" s="68">
        <v>38</v>
      </c>
      <c r="N109" s="111">
        <v>218.85</v>
      </c>
      <c r="O109" s="111">
        <v>193.17</v>
      </c>
      <c r="P109" s="302"/>
      <c r="Q109" s="302"/>
      <c r="R109" s="302"/>
      <c r="S109" s="302"/>
      <c r="T109" s="302"/>
      <c r="U109" s="302"/>
      <c r="V109" s="101"/>
    </row>
    <row r="110" spans="1:22" x14ac:dyDescent="0.2">
      <c r="A110" s="71">
        <v>2800</v>
      </c>
      <c r="B110" s="68">
        <v>145</v>
      </c>
      <c r="C110" s="68">
        <v>4280</v>
      </c>
      <c r="D110" s="69">
        <v>323</v>
      </c>
      <c r="E110" s="68">
        <v>257</v>
      </c>
      <c r="F110" s="68">
        <v>126</v>
      </c>
      <c r="G110" s="68">
        <v>68</v>
      </c>
      <c r="H110" s="67">
        <v>1.34</v>
      </c>
      <c r="I110" s="67">
        <v>7</v>
      </c>
      <c r="J110" s="67">
        <v>0.89</v>
      </c>
      <c r="K110" s="67">
        <v>4.67</v>
      </c>
      <c r="L110" s="67">
        <v>28.2</v>
      </c>
      <c r="M110" s="68">
        <v>33</v>
      </c>
      <c r="N110" s="111">
        <v>274.70999999999998</v>
      </c>
      <c r="O110" s="111">
        <v>207.33</v>
      </c>
      <c r="P110" s="302"/>
      <c r="Q110" s="302"/>
      <c r="R110" s="302"/>
      <c r="S110" s="302"/>
      <c r="T110" s="302"/>
      <c r="U110" s="302"/>
      <c r="V110" s="101"/>
    </row>
    <row r="111" spans="1:22" x14ac:dyDescent="0.2">
      <c r="A111" s="71">
        <v>2800</v>
      </c>
      <c r="B111" s="68">
        <v>185</v>
      </c>
      <c r="C111" s="68">
        <v>5280</v>
      </c>
      <c r="D111" s="69">
        <v>374</v>
      </c>
      <c r="E111" s="68">
        <v>297</v>
      </c>
      <c r="F111" s="68">
        <v>145</v>
      </c>
      <c r="G111" s="68">
        <v>78</v>
      </c>
      <c r="H111" s="67">
        <v>1.35</v>
      </c>
      <c r="I111" s="67">
        <v>8.81</v>
      </c>
      <c r="J111" s="67">
        <v>1.1100000000000001</v>
      </c>
      <c r="K111" s="67">
        <v>5.83</v>
      </c>
      <c r="L111" s="67">
        <v>33.1</v>
      </c>
      <c r="M111" s="68">
        <v>30</v>
      </c>
      <c r="N111" s="111">
        <v>335.97</v>
      </c>
      <c r="O111" s="111">
        <v>255.98</v>
      </c>
      <c r="P111" s="302"/>
      <c r="Q111" s="302"/>
      <c r="R111" s="302"/>
      <c r="S111" s="302"/>
      <c r="T111" s="302"/>
      <c r="U111" s="302"/>
      <c r="V111" s="101"/>
    </row>
    <row r="112" spans="1:22" x14ac:dyDescent="0.2">
      <c r="A112" s="72">
        <v>2800</v>
      </c>
      <c r="B112" s="68">
        <v>225</v>
      </c>
      <c r="C112" s="68">
        <v>6280</v>
      </c>
      <c r="D112" s="69">
        <v>448</v>
      </c>
      <c r="E112" s="68">
        <v>354</v>
      </c>
      <c r="F112" s="68">
        <v>170</v>
      </c>
      <c r="G112" s="68">
        <v>91</v>
      </c>
      <c r="H112" s="67">
        <v>1.38</v>
      </c>
      <c r="I112" s="67">
        <v>10.59</v>
      </c>
      <c r="J112" s="67">
        <v>1.33</v>
      </c>
      <c r="K112" s="67">
        <v>6.99</v>
      </c>
      <c r="L112" s="67">
        <v>38.6</v>
      </c>
      <c r="M112" s="68">
        <v>27</v>
      </c>
      <c r="N112" s="111">
        <v>401.87</v>
      </c>
      <c r="O112" s="111">
        <v>295.41000000000003</v>
      </c>
      <c r="P112" s="302"/>
      <c r="Q112" s="302"/>
      <c r="R112" s="302"/>
      <c r="S112" s="302"/>
      <c r="T112" s="302"/>
      <c r="U112" s="302"/>
      <c r="V112" s="101"/>
    </row>
    <row r="113" spans="1:22" x14ac:dyDescent="0.2">
      <c r="A113" s="64">
        <v>3000</v>
      </c>
      <c r="B113" s="62">
        <v>65</v>
      </c>
      <c r="C113" s="62">
        <v>2300</v>
      </c>
      <c r="D113" s="63">
        <v>214</v>
      </c>
      <c r="E113" s="62">
        <v>171</v>
      </c>
      <c r="F113" s="62">
        <v>84</v>
      </c>
      <c r="G113" s="62">
        <v>46</v>
      </c>
      <c r="H113" s="61">
        <v>1.33</v>
      </c>
      <c r="I113" s="61">
        <v>3.75</v>
      </c>
      <c r="J113" s="61">
        <v>0.48</v>
      </c>
      <c r="K113" s="61">
        <v>2.5099999999999998</v>
      </c>
      <c r="L113" s="61">
        <v>17.899999999999999</v>
      </c>
      <c r="M113" s="62">
        <v>49</v>
      </c>
      <c r="N113" s="111">
        <v>157.79</v>
      </c>
      <c r="O113" s="111">
        <v>153.25</v>
      </c>
      <c r="P113" s="302"/>
      <c r="Q113" s="302"/>
      <c r="R113" s="302"/>
      <c r="S113" s="302"/>
      <c r="T113" s="302"/>
      <c r="U113" s="302"/>
      <c r="V113" s="101"/>
    </row>
    <row r="114" spans="1:22" x14ac:dyDescent="0.2">
      <c r="A114" s="65">
        <v>3000</v>
      </c>
      <c r="B114" s="62">
        <v>105</v>
      </c>
      <c r="C114" s="62">
        <v>3300</v>
      </c>
      <c r="D114" s="63">
        <v>270</v>
      </c>
      <c r="E114" s="62">
        <v>215</v>
      </c>
      <c r="F114" s="62">
        <v>106</v>
      </c>
      <c r="G114" s="62">
        <v>58</v>
      </c>
      <c r="H114" s="61">
        <v>1.33</v>
      </c>
      <c r="I114" s="61">
        <v>5.62</v>
      </c>
      <c r="J114" s="61">
        <v>0.71</v>
      </c>
      <c r="K114" s="61">
        <v>3.75</v>
      </c>
      <c r="L114" s="61">
        <v>24</v>
      </c>
      <c r="M114" s="62">
        <v>38</v>
      </c>
      <c r="N114" s="111">
        <v>235.7</v>
      </c>
      <c r="O114" s="111">
        <v>177.67</v>
      </c>
      <c r="P114" s="302"/>
      <c r="Q114" s="302"/>
      <c r="R114" s="302"/>
      <c r="S114" s="302"/>
      <c r="T114" s="302"/>
      <c r="U114" s="302"/>
      <c r="V114" s="101"/>
    </row>
    <row r="115" spans="1:22" x14ac:dyDescent="0.2">
      <c r="A115" s="65">
        <v>3000</v>
      </c>
      <c r="B115" s="62">
        <v>145</v>
      </c>
      <c r="C115" s="62">
        <v>4300</v>
      </c>
      <c r="D115" s="63">
        <v>343</v>
      </c>
      <c r="E115" s="62">
        <v>273</v>
      </c>
      <c r="F115" s="62">
        <v>134</v>
      </c>
      <c r="G115" s="62">
        <v>73</v>
      </c>
      <c r="H115" s="61">
        <v>1.34</v>
      </c>
      <c r="I115" s="61">
        <v>7.49</v>
      </c>
      <c r="J115" s="61">
        <v>0.95</v>
      </c>
      <c r="K115" s="61">
        <v>4.99</v>
      </c>
      <c r="L115" s="61">
        <v>30.1</v>
      </c>
      <c r="M115" s="62">
        <v>33</v>
      </c>
      <c r="N115" s="111">
        <v>294.52999999999997</v>
      </c>
      <c r="O115" s="111">
        <v>222.69</v>
      </c>
      <c r="P115" s="302"/>
      <c r="Q115" s="302"/>
      <c r="R115" s="302"/>
      <c r="S115" s="302"/>
      <c r="T115" s="302"/>
      <c r="U115" s="302"/>
      <c r="V115" s="101"/>
    </row>
    <row r="116" spans="1:22" x14ac:dyDescent="0.2">
      <c r="A116" s="65">
        <v>3000</v>
      </c>
      <c r="B116" s="62">
        <v>185</v>
      </c>
      <c r="C116" s="62">
        <v>5300</v>
      </c>
      <c r="D116" s="63">
        <v>394</v>
      </c>
      <c r="E116" s="62">
        <v>313</v>
      </c>
      <c r="F116" s="62">
        <v>152</v>
      </c>
      <c r="G116" s="62">
        <v>83</v>
      </c>
      <c r="H116" s="61">
        <v>1.35</v>
      </c>
      <c r="I116" s="61">
        <v>9.42</v>
      </c>
      <c r="J116" s="61">
        <v>1.19</v>
      </c>
      <c r="K116" s="61">
        <v>6.23</v>
      </c>
      <c r="L116" s="61">
        <v>35.299999999999997</v>
      </c>
      <c r="M116" s="62">
        <v>30</v>
      </c>
      <c r="N116" s="111">
        <v>362.08</v>
      </c>
      <c r="O116" s="111">
        <v>263.58</v>
      </c>
      <c r="P116" s="302"/>
      <c r="Q116" s="302"/>
      <c r="R116" s="302"/>
      <c r="S116" s="302"/>
      <c r="T116" s="302"/>
      <c r="U116" s="302"/>
      <c r="V116" s="101"/>
    </row>
    <row r="117" spans="1:22" x14ac:dyDescent="0.2">
      <c r="A117" s="66">
        <v>3000</v>
      </c>
      <c r="B117" s="62">
        <v>225</v>
      </c>
      <c r="C117" s="62">
        <v>6300</v>
      </c>
      <c r="D117" s="63">
        <v>474</v>
      </c>
      <c r="E117" s="62">
        <v>375</v>
      </c>
      <c r="F117" s="62">
        <v>180</v>
      </c>
      <c r="G117" s="62">
        <v>96</v>
      </c>
      <c r="H117" s="61">
        <v>1.38</v>
      </c>
      <c r="I117" s="61">
        <v>11.31</v>
      </c>
      <c r="J117" s="61">
        <v>1.43</v>
      </c>
      <c r="K117" s="61">
        <v>7.46</v>
      </c>
      <c r="L117" s="61">
        <v>41.3</v>
      </c>
      <c r="M117" s="62">
        <v>27</v>
      </c>
      <c r="N117" s="111">
        <v>432.94</v>
      </c>
      <c r="O117" s="111">
        <v>324.45</v>
      </c>
      <c r="P117" s="302"/>
      <c r="Q117" s="302"/>
      <c r="R117" s="302"/>
      <c r="S117" s="302"/>
      <c r="T117" s="302"/>
      <c r="U117" s="302"/>
      <c r="V117" s="101"/>
    </row>
  </sheetData>
  <mergeCells count="178">
    <mergeCell ref="S107:U107"/>
    <mergeCell ref="P107:R107"/>
    <mergeCell ref="S112:U112"/>
    <mergeCell ref="P112:R112"/>
    <mergeCell ref="P111:R111"/>
    <mergeCell ref="S111:U111"/>
    <mergeCell ref="P110:R110"/>
    <mergeCell ref="S110:U110"/>
    <mergeCell ref="P109:R109"/>
    <mergeCell ref="S109:U109"/>
    <mergeCell ref="S108:U108"/>
    <mergeCell ref="P108:R108"/>
    <mergeCell ref="S117:U117"/>
    <mergeCell ref="P117:R117"/>
    <mergeCell ref="P116:R116"/>
    <mergeCell ref="S116:U116"/>
    <mergeCell ref="P115:R115"/>
    <mergeCell ref="S115:U115"/>
    <mergeCell ref="P114:R114"/>
    <mergeCell ref="S114:U114"/>
    <mergeCell ref="S113:U113"/>
    <mergeCell ref="P113:R113"/>
    <mergeCell ref="P106:R106"/>
    <mergeCell ref="S106:U106"/>
    <mergeCell ref="P105:R105"/>
    <mergeCell ref="S105:U105"/>
    <mergeCell ref="P104:R104"/>
    <mergeCell ref="S104:U104"/>
    <mergeCell ref="S103:U103"/>
    <mergeCell ref="P103:R103"/>
    <mergeCell ref="S102:U102"/>
    <mergeCell ref="P102:R102"/>
    <mergeCell ref="P101:R101"/>
    <mergeCell ref="S101:U101"/>
    <mergeCell ref="P100:R100"/>
    <mergeCell ref="S100:U100"/>
    <mergeCell ref="P99:R99"/>
    <mergeCell ref="S99:U99"/>
    <mergeCell ref="S98:U98"/>
    <mergeCell ref="P98:R98"/>
    <mergeCell ref="P97:R97"/>
    <mergeCell ref="P96:R96"/>
    <mergeCell ref="P95:R95"/>
    <mergeCell ref="P94:R94"/>
    <mergeCell ref="P93:R93"/>
    <mergeCell ref="P92:R92"/>
    <mergeCell ref="S92:U92"/>
    <mergeCell ref="S93:U97"/>
    <mergeCell ref="S91:U91"/>
    <mergeCell ref="P91:R91"/>
    <mergeCell ref="P90:R90"/>
    <mergeCell ref="S90:U90"/>
    <mergeCell ref="P89:R89"/>
    <mergeCell ref="S89:U89"/>
    <mergeCell ref="P88:R88"/>
    <mergeCell ref="S88:U88"/>
    <mergeCell ref="P87:R87"/>
    <mergeCell ref="S87:U87"/>
    <mergeCell ref="S86:U86"/>
    <mergeCell ref="P86:R86"/>
    <mergeCell ref="P85:R85"/>
    <mergeCell ref="S85:U85"/>
    <mergeCell ref="P84:R84"/>
    <mergeCell ref="S84:U84"/>
    <mergeCell ref="P83:R83"/>
    <mergeCell ref="S83:U83"/>
    <mergeCell ref="D80:G80"/>
    <mergeCell ref="P80:R80"/>
    <mergeCell ref="S80:U80"/>
    <mergeCell ref="A79:U79"/>
    <mergeCell ref="P78:V78"/>
    <mergeCell ref="P77:V77"/>
    <mergeCell ref="P76:V76"/>
    <mergeCell ref="P75:V75"/>
    <mergeCell ref="P74:V74"/>
    <mergeCell ref="P73:V73"/>
    <mergeCell ref="P72:V72"/>
    <mergeCell ref="P71:V71"/>
    <mergeCell ref="P70:V70"/>
    <mergeCell ref="P69:V69"/>
    <mergeCell ref="P68:V68"/>
    <mergeCell ref="P67:V67"/>
    <mergeCell ref="P66:V66"/>
    <mergeCell ref="P65:V65"/>
    <mergeCell ref="P64:V64"/>
    <mergeCell ref="P63:V63"/>
    <mergeCell ref="P62:V62"/>
    <mergeCell ref="P61:V61"/>
    <mergeCell ref="P60:V60"/>
    <mergeCell ref="P59:V59"/>
    <mergeCell ref="P58:V58"/>
    <mergeCell ref="P57:V57"/>
    <mergeCell ref="P56:V56"/>
    <mergeCell ref="P55:V55"/>
    <mergeCell ref="P54:V54"/>
    <mergeCell ref="P53:V53"/>
    <mergeCell ref="P52:V52"/>
    <mergeCell ref="P51:V51"/>
    <mergeCell ref="P50:V50"/>
    <mergeCell ref="P49:V49"/>
    <mergeCell ref="P48:V48"/>
    <mergeCell ref="P47:V47"/>
    <mergeCell ref="P46:V46"/>
    <mergeCell ref="P45:V45"/>
    <mergeCell ref="P44:V44"/>
    <mergeCell ref="P41:V41"/>
    <mergeCell ref="A40:V40"/>
    <mergeCell ref="P39:R39"/>
    <mergeCell ref="S39:U39"/>
    <mergeCell ref="S38:U38"/>
    <mergeCell ref="P38:R38"/>
    <mergeCell ref="P37:R37"/>
    <mergeCell ref="S37:U37"/>
    <mergeCell ref="P36:R36"/>
    <mergeCell ref="S36:U36"/>
    <mergeCell ref="D41:G41"/>
    <mergeCell ref="P35:R35"/>
    <mergeCell ref="S35:U35"/>
    <mergeCell ref="P34:R34"/>
    <mergeCell ref="S34:U34"/>
    <mergeCell ref="S33:U33"/>
    <mergeCell ref="P33:R33"/>
    <mergeCell ref="P32:R32"/>
    <mergeCell ref="S32:U32"/>
    <mergeCell ref="P31:R31"/>
    <mergeCell ref="S31:U31"/>
    <mergeCell ref="P30:R30"/>
    <mergeCell ref="S30:U30"/>
    <mergeCell ref="P29:R29"/>
    <mergeCell ref="S29:U29"/>
    <mergeCell ref="S28:U28"/>
    <mergeCell ref="P28:R28"/>
    <mergeCell ref="P27:R27"/>
    <mergeCell ref="S27:U27"/>
    <mergeCell ref="P26:R26"/>
    <mergeCell ref="S26:U26"/>
    <mergeCell ref="P25:R25"/>
    <mergeCell ref="S25:U25"/>
    <mergeCell ref="P24:R24"/>
    <mergeCell ref="S24:U24"/>
    <mergeCell ref="S23:U23"/>
    <mergeCell ref="P23:R23"/>
    <mergeCell ref="P22:R22"/>
    <mergeCell ref="S22:U22"/>
    <mergeCell ref="P21:R21"/>
    <mergeCell ref="S21:U21"/>
    <mergeCell ref="P20:R20"/>
    <mergeCell ref="S20:U20"/>
    <mergeCell ref="P19:R19"/>
    <mergeCell ref="P18:R18"/>
    <mergeCell ref="P17:R17"/>
    <mergeCell ref="P16:R16"/>
    <mergeCell ref="P15:R15"/>
    <mergeCell ref="S14:U14"/>
    <mergeCell ref="S15:U19"/>
    <mergeCell ref="P14:R14"/>
    <mergeCell ref="P13:R13"/>
    <mergeCell ref="S13:U13"/>
    <mergeCell ref="P12:R12"/>
    <mergeCell ref="S12:U12"/>
    <mergeCell ref="P11:R11"/>
    <mergeCell ref="S11:U11"/>
    <mergeCell ref="S10:U10"/>
    <mergeCell ref="P10:R10"/>
    <mergeCell ref="S9:U9"/>
    <mergeCell ref="P9:R9"/>
    <mergeCell ref="A1:U1"/>
    <mergeCell ref="P8:R8"/>
    <mergeCell ref="S8:U8"/>
    <mergeCell ref="P7:R7"/>
    <mergeCell ref="S7:U7"/>
    <mergeCell ref="P6:R6"/>
    <mergeCell ref="S6:U6"/>
    <mergeCell ref="P5:R5"/>
    <mergeCell ref="S5:U5"/>
    <mergeCell ref="P2:R2"/>
    <mergeCell ref="S2:U2"/>
    <mergeCell ref="D2:G2"/>
  </mergeCells>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964E-1438-4FAF-AE0A-241E6C935FB2}">
  <dimension ref="A1:AI208"/>
  <sheetViews>
    <sheetView topLeftCell="A2" zoomScale="70" zoomScaleNormal="70" workbookViewId="0">
      <selection activeCell="C13" sqref="C13"/>
    </sheetView>
  </sheetViews>
  <sheetFormatPr baseColWidth="10" defaultRowHeight="12.75" x14ac:dyDescent="0.2"/>
  <cols>
    <col min="1" max="1" width="13.85546875" style="2" customWidth="1"/>
    <col min="2" max="17" width="10.85546875" style="2"/>
  </cols>
  <sheetData>
    <row r="1" spans="1:28" ht="13.5" x14ac:dyDescent="0.25">
      <c r="A1" s="1" t="s">
        <v>4</v>
      </c>
      <c r="B1" s="1"/>
      <c r="C1" s="4" t="s">
        <v>2</v>
      </c>
    </row>
    <row r="2" spans="1:28" x14ac:dyDescent="0.2">
      <c r="A2" s="1"/>
      <c r="B2" s="1"/>
      <c r="C2" s="164">
        <v>260</v>
      </c>
      <c r="D2" s="164">
        <v>292</v>
      </c>
      <c r="E2" s="164">
        <v>342</v>
      </c>
      <c r="F2" s="164">
        <v>392</v>
      </c>
      <c r="G2" s="164">
        <v>442</v>
      </c>
      <c r="H2" s="164">
        <v>492</v>
      </c>
      <c r="I2" s="164">
        <v>542</v>
      </c>
      <c r="J2" s="164">
        <v>592</v>
      </c>
      <c r="K2" s="164">
        <v>742</v>
      </c>
      <c r="L2" s="164">
        <v>892</v>
      </c>
      <c r="M2" s="164">
        <v>992</v>
      </c>
      <c r="N2" s="164">
        <v>1092</v>
      </c>
      <c r="O2" s="164">
        <v>1192</v>
      </c>
      <c r="P2" s="164">
        <v>1492</v>
      </c>
      <c r="Q2" s="164">
        <v>1792</v>
      </c>
      <c r="R2" s="165">
        <v>1992</v>
      </c>
      <c r="S2" s="165">
        <v>2192</v>
      </c>
      <c r="T2" s="165">
        <v>2492</v>
      </c>
      <c r="U2" s="165">
        <v>2792</v>
      </c>
      <c r="V2" s="165">
        <v>2992</v>
      </c>
    </row>
    <row r="3" spans="1:28" x14ac:dyDescent="0.2">
      <c r="A3" s="1" t="s">
        <v>149</v>
      </c>
      <c r="C3" s="5">
        <v>260</v>
      </c>
      <c r="D3" s="5">
        <v>300</v>
      </c>
      <c r="E3" s="5">
        <v>350</v>
      </c>
      <c r="F3" s="5">
        <v>400</v>
      </c>
      <c r="G3" s="5">
        <v>450</v>
      </c>
      <c r="H3" s="5">
        <v>500</v>
      </c>
      <c r="I3" s="5">
        <v>550</v>
      </c>
      <c r="J3" s="5">
        <v>600</v>
      </c>
      <c r="K3" s="5">
        <v>750</v>
      </c>
      <c r="L3" s="5">
        <v>900</v>
      </c>
      <c r="M3" s="5">
        <v>1000</v>
      </c>
      <c r="N3" s="5">
        <v>1100</v>
      </c>
      <c r="O3" s="5">
        <v>1200</v>
      </c>
      <c r="P3" s="5">
        <v>1500</v>
      </c>
      <c r="Q3" s="5">
        <v>1800</v>
      </c>
      <c r="R3">
        <v>2000</v>
      </c>
      <c r="S3">
        <v>2200</v>
      </c>
      <c r="T3">
        <v>2500</v>
      </c>
      <c r="U3">
        <v>2800</v>
      </c>
      <c r="V3">
        <v>3000</v>
      </c>
    </row>
    <row r="4" spans="1:28" ht="13.5" x14ac:dyDescent="0.25">
      <c r="A4" s="4" t="s">
        <v>3</v>
      </c>
      <c r="B4" s="2">
        <v>62</v>
      </c>
      <c r="C4" s="2" cm="1">
        <f t="array" ref="C4">_xlfn.XLOOKUP(1,('Zehnder Charleston'!$B$2:$B$132=C$3)*('Zehnder Charleston'!$D$2:$D$132=$B4),'Zehnder Charleston'!$K$2:$K$132,"")</f>
        <v>21.1</v>
      </c>
      <c r="D4" s="2" cm="1">
        <f t="array" ref="D4">_xlfn.XLOOKUP(1,('Zehnder Charleston'!$B$2:$B$132=D$2)*('Zehnder Charleston'!$D$2:$D$132=$B4),'Zehnder Charleston'!$K$2:$K$132,"")</f>
        <v>23.6</v>
      </c>
      <c r="E4" s="2" cm="1">
        <f t="array" ref="E4">_xlfn.XLOOKUP(1,('Zehnder Charleston'!$B$2:$B$132=E$2)*('Zehnder Charleston'!$D$2:$D$132=$B4),'Zehnder Charleston'!$K$2:$K$132,"")</f>
        <v>27.5</v>
      </c>
      <c r="F4" s="2" cm="1">
        <f t="array" ref="F4">_xlfn.XLOOKUP(1,('Zehnder Charleston'!$B$2:$B$132=F$2)*('Zehnder Charleston'!$D$2:$D$132=$B4),'Zehnder Charleston'!$K$2:$K$132,"")</f>
        <v>31.2</v>
      </c>
      <c r="G4" s="2" cm="1">
        <f t="array" ref="G4">_xlfn.XLOOKUP(1,('Zehnder Charleston'!$B$2:$B$132=G$2)*('Zehnder Charleston'!$D$2:$D$132=$B4),'Zehnder Charleston'!$K$2:$K$132,"")</f>
        <v>34.9</v>
      </c>
      <c r="H4" s="2" cm="1">
        <f t="array" ref="H4">_xlfn.XLOOKUP(1,('Zehnder Charleston'!$B$2:$B$132=H$2)*('Zehnder Charleston'!$D$2:$D$132=$B4),'Zehnder Charleston'!$K$2:$K$132,"")</f>
        <v>38.4</v>
      </c>
      <c r="I4" s="2" cm="1">
        <f t="array" ref="I4">_xlfn.XLOOKUP(1,('Zehnder Charleston'!$B$2:$B$132=I$2)*('Zehnder Charleston'!$D$2:$D$132=$B4),'Zehnder Charleston'!$K$2:$K$132,"")</f>
        <v>41.9</v>
      </c>
      <c r="J4" s="2" cm="1">
        <f t="array" ref="J4">_xlfn.XLOOKUP(1,('Zehnder Charleston'!$B$2:$B$132=J$2)*('Zehnder Charleston'!$D$2:$D$132=$B4),'Zehnder Charleston'!$K$2:$K$132,"")</f>
        <v>45.3</v>
      </c>
      <c r="K4" s="2" cm="1">
        <f t="array" ref="K4">_xlfn.XLOOKUP(1,('Zehnder Charleston'!$B$2:$B$132=K$2)*('Zehnder Charleston'!$D$2:$D$132=$B4),'Zehnder Charleston'!$K$2:$K$132,"")</f>
        <v>55</v>
      </c>
      <c r="L4" s="2" cm="1">
        <f t="array" ref="L4">_xlfn.XLOOKUP(1,('Zehnder Charleston'!$B$2:$B$132=L$2)*('Zehnder Charleston'!$D$2:$D$132=$B4),'Zehnder Charleston'!$K$2:$K$132,"")</f>
        <v>63.9</v>
      </c>
      <c r="M4" s="2" cm="1">
        <f t="array" ref="M4">_xlfn.XLOOKUP(1,('Zehnder Charleston'!$B$2:$B$132=M$2)*('Zehnder Charleston'!$D$2:$D$132=$B4),'Zehnder Charleston'!$K$2:$K$132,"")</f>
        <v>69.5</v>
      </c>
      <c r="N4" s="2" cm="1">
        <f t="array" ref="N4">_xlfn.XLOOKUP(1,('Zehnder Charleston'!$B$2:$B$132=N$2)*('Zehnder Charleston'!$D$2:$D$132=$B4),'Zehnder Charleston'!$K$2:$K$132,"")</f>
        <v>74.7</v>
      </c>
      <c r="O4" s="2" cm="1">
        <f t="array" ref="O4">_xlfn.XLOOKUP(1,('Zehnder Charleston'!$B$2:$B$132=O$2)*('Zehnder Charleston'!$D$2:$D$132=$B4),'Zehnder Charleston'!$K$2:$K$132,"")</f>
        <v>82.7</v>
      </c>
      <c r="P4" s="2" cm="1">
        <f t="array" ref="P4">_xlfn.XLOOKUP(1,('Zehnder Charleston'!$B$2:$B$132=P$2)*('Zehnder Charleston'!$D$2:$D$132=$B4),'Zehnder Charleston'!$K$2:$K$132,"")</f>
        <v>104</v>
      </c>
      <c r="Q4" s="2" cm="1">
        <f t="array" ref="Q4">_xlfn.XLOOKUP(1,('Zehnder Charleston'!$B$2:$B$132=Q$2)*('Zehnder Charleston'!$D$2:$D$132=$B4),'Zehnder Charleston'!$K$2:$K$132,"")</f>
        <v>124</v>
      </c>
      <c r="R4" s="2" cm="1">
        <f t="array" ref="R4">_xlfn.XLOOKUP(1,('Zehnder Charleston'!$B$2:$B$132=R$2)*('Zehnder Charleston'!$D$2:$D$132=$B4),'Zehnder Charleston'!$K$2:$K$132,"")</f>
        <v>138</v>
      </c>
      <c r="S4" s="2" cm="1">
        <f t="array" ref="S4">_xlfn.XLOOKUP(1,('Zehnder Charleston'!$B$2:$B$132=S$2)*('Zehnder Charleston'!$D$2:$D$132=$B4),'Zehnder Charleston'!$K$2:$K$132,"")</f>
        <v>151</v>
      </c>
      <c r="T4" s="2" cm="1">
        <f t="array" ref="T4">_xlfn.XLOOKUP(1,('Zehnder Charleston'!$B$2:$B$132=T$2)*('Zehnder Charleston'!$D$2:$D$132=$B4),'Zehnder Charleston'!$K$2:$K$132,"")</f>
        <v>171</v>
      </c>
      <c r="U4" s="2" cm="1">
        <f t="array" ref="U4">_xlfn.XLOOKUP(1,('Zehnder Charleston'!$B$2:$B$132=U$2)*('Zehnder Charleston'!$D$2:$D$132=$B4),'Zehnder Charleston'!$K$2:$K$132,"")</f>
        <v>189</v>
      </c>
      <c r="V4" s="2" cm="1">
        <f t="array" ref="V4">_xlfn.XLOOKUP(1,('Zehnder Charleston'!$B$2:$B$132=V$2)*('Zehnder Charleston'!$D$2:$D$132=$B4),'Zehnder Charleston'!$K$2:$K$132,"")</f>
        <v>201</v>
      </c>
      <c r="W4" s="2" t="s">
        <v>405</v>
      </c>
      <c r="AB4" s="2" t="str" cm="1">
        <f t="array" ref="AB4">_xlfn.XLOOKUP(1,('Zehnder Charleston'!$B$2:$B$138=V$3)*('Zehnder Charleston'!$D$2:$D$138=$B4),'Zehnder Charleston'!$K$2:$K$138,"")</f>
        <v/>
      </c>
    </row>
    <row r="5" spans="1:28" x14ac:dyDescent="0.2">
      <c r="B5" s="2">
        <v>100</v>
      </c>
      <c r="C5" s="2" cm="1">
        <f t="array" ref="C5">_xlfn.XLOOKUP(1,('Zehnder Charleston'!$B$2:$B$132=C$3)*('Zehnder Charleston'!$D$2:$D$132=$B5),'Zehnder Charleston'!$K$2:$K$132,"")</f>
        <v>27.9</v>
      </c>
      <c r="D5" s="2" cm="1">
        <f t="array" ref="D5">_xlfn.XLOOKUP(1,('Zehnder Charleston'!$B$2:$B$132=D$3)*('Zehnder Charleston'!$D$2:$D$132=$B5),'Zehnder Charleston'!$K$2:$K$132,"")</f>
        <v>32</v>
      </c>
      <c r="E5" s="2" cm="1">
        <f t="array" ref="E5">_xlfn.XLOOKUP(1,('Zehnder Charleston'!$B$2:$B$132=E$3)*('Zehnder Charleston'!$D$2:$D$132=$B5),'Zehnder Charleston'!$K$2:$K$132,"")</f>
        <v>37</v>
      </c>
      <c r="F5" s="2" cm="1">
        <f t="array" ref="F5">_xlfn.XLOOKUP(1,('Zehnder Charleston'!$B$2:$B$132=F$3)*('Zehnder Charleston'!$D$2:$D$132=$B5),'Zehnder Charleston'!$K$2:$K$132,"")</f>
        <v>41.9</v>
      </c>
      <c r="G5" s="2" cm="1">
        <f t="array" ref="G5">_xlfn.XLOOKUP(1,('Zehnder Charleston'!$B$2:$B$132=G$3)*('Zehnder Charleston'!$D$2:$D$132=$B5),'Zehnder Charleston'!$K$2:$K$132,"")</f>
        <v>46.8</v>
      </c>
      <c r="H5" s="2" cm="1">
        <f t="array" ref="H5">_xlfn.XLOOKUP(1,('Zehnder Charleston'!$B$2:$B$132=H$3)*('Zehnder Charleston'!$D$2:$D$132=$B5),'Zehnder Charleston'!$K$2:$K$132,"")</f>
        <v>51.6</v>
      </c>
      <c r="I5" s="2" cm="1">
        <f t="array" ref="I5">_xlfn.XLOOKUP(1,('Zehnder Charleston'!$B$2:$B$132=I$3)*('Zehnder Charleston'!$D$2:$D$132=$B5),'Zehnder Charleston'!$K$2:$K$132,"")</f>
        <v>56.3</v>
      </c>
      <c r="J5" s="2" cm="1">
        <f t="array" ref="J5">_xlfn.XLOOKUP(1,('Zehnder Charleston'!$B$2:$B$132=J$3)*('Zehnder Charleston'!$D$2:$D$132=$B5),'Zehnder Charleston'!$K$2:$K$132,"")</f>
        <v>60.9</v>
      </c>
      <c r="K5" s="2" cm="1">
        <f t="array" ref="K5">_xlfn.XLOOKUP(1,('Zehnder Charleston'!$B$2:$B$132=K$3)*('Zehnder Charleston'!$D$2:$D$132=$B5),'Zehnder Charleston'!$K$2:$K$132,"")</f>
        <v>74.3</v>
      </c>
      <c r="L5" s="2" cm="1">
        <f t="array" ref="L5">_xlfn.XLOOKUP(1,('Zehnder Charleston'!$B$2:$B$132=L$3)*('Zehnder Charleston'!$D$2:$D$132=$B5),'Zehnder Charleston'!$K$2:$K$132,"")</f>
        <v>87</v>
      </c>
      <c r="M5" s="2" cm="1">
        <f t="array" ref="M5">_xlfn.XLOOKUP(1,('Zehnder Charleston'!$B$2:$B$132=M$3)*('Zehnder Charleston'!$D$2:$D$132=$B5),'Zehnder Charleston'!$K$2:$K$132,"")</f>
        <v>95.1</v>
      </c>
      <c r="N5" s="2" cm="1">
        <f t="array" ref="N5">_xlfn.XLOOKUP(1,('Zehnder Charleston'!$B$2:$B$132=N$3)*('Zehnder Charleston'!$D$2:$D$132=$B5),'Zehnder Charleston'!$K$2:$K$132,"")</f>
        <v>103</v>
      </c>
      <c r="O5" s="2" cm="1">
        <f t="array" ref="O5">_xlfn.XLOOKUP(1,('Zehnder Charleston'!$B$2:$B$132=O$3)*('Zehnder Charleston'!$D$2:$D$132=$B5),'Zehnder Charleston'!$K$2:$K$132,"")</f>
        <v>115</v>
      </c>
      <c r="P5" s="2" cm="1">
        <f t="array" ref="P5">_xlfn.XLOOKUP(1,('Zehnder Charleston'!$B$2:$B$132=P$3)*('Zehnder Charleston'!$D$2:$D$132=$B5),'Zehnder Charleston'!$K$2:$K$132,"")</f>
        <v>140</v>
      </c>
      <c r="Q5" s="2" cm="1">
        <f t="array" ref="Q5">_xlfn.XLOOKUP(1,('Zehnder Charleston'!$B$2:$B$132=Q$3)*('Zehnder Charleston'!$D$2:$D$132=$B5),'Zehnder Charleston'!$K$2:$K$132,"")</f>
        <v>166</v>
      </c>
      <c r="R5" s="2" cm="1">
        <f t="array" ref="R5">_xlfn.XLOOKUP(1,('Zehnder Charleston'!$B$2:$B$132=R$3)*('Zehnder Charleston'!$D$2:$D$132=$B5),'Zehnder Charleston'!$K$2:$K$132,"")</f>
        <v>183</v>
      </c>
      <c r="S5" s="2" cm="1">
        <f t="array" ref="S5">_xlfn.XLOOKUP(1,('Zehnder Charleston'!$B$2:$B$132=S$3)*('Zehnder Charleston'!$D$2:$D$132=$B5),'Zehnder Charleston'!$K$2:$K$132,"")</f>
        <v>200</v>
      </c>
      <c r="T5" s="2" cm="1">
        <f t="array" ref="T5">_xlfn.XLOOKUP(1,('Zehnder Charleston'!$B$2:$B$132=T$3)*('Zehnder Charleston'!$D$2:$D$132=$B5),'Zehnder Charleston'!$K$2:$K$132,"")</f>
        <v>225</v>
      </c>
      <c r="U5" s="2" cm="1">
        <f t="array" ref="U5">_xlfn.XLOOKUP(1,('Zehnder Charleston'!$B$2:$B$132=U$3)*('Zehnder Charleston'!$D$2:$D$132=$B5),'Zehnder Charleston'!$K$2:$K$132,"")</f>
        <v>251</v>
      </c>
      <c r="V5" s="2" cm="1">
        <f t="array" ref="V5">_xlfn.XLOOKUP(1,('Zehnder Charleston'!$B$2:$B$132=V$3)*('Zehnder Charleston'!$D$2:$D$132=$B5),'Zehnder Charleston'!$K$2:$K$132,"")</f>
        <v>269</v>
      </c>
      <c r="W5" s="2" t="s">
        <v>409</v>
      </c>
    </row>
    <row r="6" spans="1:28" ht="12.75" customHeight="1" x14ac:dyDescent="0.2">
      <c r="B6" s="2">
        <v>136</v>
      </c>
      <c r="C6" s="2" cm="1">
        <f t="array" ref="C6">_xlfn.XLOOKUP(1,('Zehnder Charleston'!$B$2:$B$132=C$3)*('Zehnder Charleston'!$D$2:$D$132=$B6),'Zehnder Charleston'!$K$2:$K$132,"")</f>
        <v>36.5</v>
      </c>
      <c r="D6" s="2" cm="1">
        <f t="array" ref="D6">_xlfn.XLOOKUP(1,('Zehnder Charleston'!$B$2:$B$132=D$3)*('Zehnder Charleston'!$D$2:$D$132=$B6),'Zehnder Charleston'!$K$2:$K$132,"")</f>
        <v>41.9</v>
      </c>
      <c r="E6" s="2" cm="1">
        <f t="array" ref="E6">_xlfn.XLOOKUP(1,('Zehnder Charleston'!$B$2:$B$132=E$3)*('Zehnder Charleston'!$D$2:$D$132=$B6),'Zehnder Charleston'!$K$2:$K$132,"")</f>
        <v>48.5</v>
      </c>
      <c r="F6" s="2" cm="1">
        <f t="array" ref="F6">_xlfn.XLOOKUP(1,('Zehnder Charleston'!$B$2:$B$132=F$3)*('Zehnder Charleston'!$D$2:$D$132=$B6),'Zehnder Charleston'!$K$2:$K$132,"")</f>
        <v>54.9</v>
      </c>
      <c r="G6" s="2" cm="1">
        <f t="array" ref="G6">_xlfn.XLOOKUP(1,('Zehnder Charleston'!$B$2:$B$132=G$3)*('Zehnder Charleston'!$D$2:$D$132=$B6),'Zehnder Charleston'!$K$2:$K$132,"")</f>
        <v>61.3</v>
      </c>
      <c r="H6" s="2" cm="1">
        <f t="array" ref="H6">_xlfn.XLOOKUP(1,('Zehnder Charleston'!$B$2:$B$132=H$3)*('Zehnder Charleston'!$D$2:$D$132=$B6),'Zehnder Charleston'!$K$2:$K$132,"")</f>
        <v>67.599999999999994</v>
      </c>
      <c r="I6" s="2" cm="1">
        <f t="array" ref="I6">_xlfn.XLOOKUP(1,('Zehnder Charleston'!$B$2:$B$132=I$3)*('Zehnder Charleston'!$D$2:$D$132=$B6),'Zehnder Charleston'!$K$2:$K$132,"")</f>
        <v>73.7</v>
      </c>
      <c r="J6" s="2" cm="1">
        <f t="array" ref="J6">_xlfn.XLOOKUP(1,('Zehnder Charleston'!$B$2:$B$132=J$3)*('Zehnder Charleston'!$D$2:$D$132=$B6),'Zehnder Charleston'!$K$2:$K$132,"")</f>
        <v>79.8</v>
      </c>
      <c r="K6" s="2" cm="1">
        <f t="array" ref="K6">_xlfn.XLOOKUP(1,('Zehnder Charleston'!$B$2:$B$132=K$3)*('Zehnder Charleston'!$D$2:$D$132=$B6),'Zehnder Charleston'!$K$2:$K$132,"")</f>
        <v>97.4</v>
      </c>
      <c r="L6" s="2" cm="1">
        <f t="array" ref="L6">_xlfn.XLOOKUP(1,('Zehnder Charleston'!$B$2:$B$132=L$3)*('Zehnder Charleston'!$D$2:$D$132=$B6),'Zehnder Charleston'!$K$2:$K$132,"")</f>
        <v>114</v>
      </c>
      <c r="M6" s="2" cm="1">
        <f t="array" ref="M6">_xlfn.XLOOKUP(1,('Zehnder Charleston'!$B$2:$B$132=M$3)*('Zehnder Charleston'!$D$2:$D$132=$B6),'Zehnder Charleston'!$K$2:$K$132,"")</f>
        <v>125</v>
      </c>
      <c r="N6" s="2" cm="1">
        <f t="array" ref="N6">_xlfn.XLOOKUP(1,('Zehnder Charleston'!$B$2:$B$132=N$3)*('Zehnder Charleston'!$D$2:$D$132=$B6),'Zehnder Charleston'!$K$2:$K$132,"")</f>
        <v>135</v>
      </c>
      <c r="O6" s="2" cm="1">
        <f t="array" ref="O6">_xlfn.XLOOKUP(1,('Zehnder Charleston'!$B$2:$B$132=O$3)*('Zehnder Charleston'!$D$2:$D$132=$B6),'Zehnder Charleston'!$K$2:$K$132,"")</f>
        <v>147</v>
      </c>
      <c r="P6" s="2" cm="1">
        <f t="array" ref="P6">_xlfn.XLOOKUP(1,('Zehnder Charleston'!$B$2:$B$132=P$3)*('Zehnder Charleston'!$D$2:$D$132=$B6),'Zehnder Charleston'!$K$2:$K$132,"")</f>
        <v>180</v>
      </c>
      <c r="Q6" s="2" cm="1">
        <f t="array" ref="Q6">_xlfn.XLOOKUP(1,('Zehnder Charleston'!$B$2:$B$132=Q$3)*('Zehnder Charleston'!$D$2:$D$132=$B6),'Zehnder Charleston'!$K$2:$K$132,"")</f>
        <v>213</v>
      </c>
      <c r="R6" s="2" cm="1">
        <f t="array" ref="R6">_xlfn.XLOOKUP(1,('Zehnder Charleston'!$B$2:$B$132=R$3)*('Zehnder Charleston'!$D$2:$D$132=$B6),'Zehnder Charleston'!$K$2:$K$132,"")</f>
        <v>234</v>
      </c>
      <c r="S6" s="2" cm="1">
        <f t="array" ref="S6">_xlfn.XLOOKUP(1,('Zehnder Charleston'!$B$2:$B$132=S$3)*('Zehnder Charleston'!$D$2:$D$132=$B6),'Zehnder Charleston'!$K$2:$K$132,"")</f>
        <v>256</v>
      </c>
      <c r="T6" s="2" cm="1">
        <f t="array" ref="T6">_xlfn.XLOOKUP(1,('Zehnder Charleston'!$B$2:$B$132=T$3)*('Zehnder Charleston'!$D$2:$D$132=$B6),'Zehnder Charleston'!$K$2:$K$132,"")</f>
        <v>289</v>
      </c>
      <c r="U6" s="2" cm="1">
        <f t="array" ref="U6">_xlfn.XLOOKUP(1,('Zehnder Charleston'!$B$2:$B$132=U$3)*('Zehnder Charleston'!$D$2:$D$132=$B6),'Zehnder Charleston'!$K$2:$K$132,"")</f>
        <v>323</v>
      </c>
      <c r="V6" s="2" cm="1">
        <f t="array" ref="V6">_xlfn.XLOOKUP(1,('Zehnder Charleston'!$B$2:$B$132=V$3)*('Zehnder Charleston'!$D$2:$D$132=$B6),'Zehnder Charleston'!$K$2:$K$132,"")</f>
        <v>345</v>
      </c>
      <c r="W6" s="2" t="s">
        <v>408</v>
      </c>
    </row>
    <row r="7" spans="1:28" ht="12.75" customHeight="1" x14ac:dyDescent="0.2">
      <c r="B7" s="2">
        <v>173</v>
      </c>
      <c r="C7" s="2" cm="1">
        <f t="array" ref="C7">_xlfn.XLOOKUP(1,('Zehnder Charleston'!$B$2:$B$132=C$3)*('Zehnder Charleston'!$D$2:$D$132=$B7),'Zehnder Charleston'!$K$2:$K$132,"")</f>
        <v>45.1</v>
      </c>
      <c r="D7" s="2" cm="1">
        <f t="array" ref="D7">_xlfn.XLOOKUP(1,('Zehnder Charleston'!$B$2:$B$132=D$3)*('Zehnder Charleston'!$D$2:$D$132=$B7),'Zehnder Charleston'!$K$2:$K$132,"")</f>
        <v>51.7</v>
      </c>
      <c r="E7" s="2" cm="1">
        <f t="array" ref="E7">_xlfn.XLOOKUP(1,('Zehnder Charleston'!$B$2:$B$132=E$3)*('Zehnder Charleston'!$D$2:$D$132=$B7),'Zehnder Charleston'!$K$2:$K$132,"")</f>
        <v>59.9</v>
      </c>
      <c r="F7" s="2" cm="1">
        <f t="array" ref="F7">_xlfn.XLOOKUP(1,('Zehnder Charleston'!$B$2:$B$132=F$3)*('Zehnder Charleston'!$D$2:$D$132=$B7),'Zehnder Charleston'!$K$2:$K$132,"")</f>
        <v>67.900000000000006</v>
      </c>
      <c r="G7" s="2" cm="1">
        <f t="array" ref="G7">_xlfn.XLOOKUP(1,('Zehnder Charleston'!$B$2:$B$132=G$3)*('Zehnder Charleston'!$D$2:$D$132=$B7),'Zehnder Charleston'!$K$2:$K$132,"")</f>
        <v>75.8</v>
      </c>
      <c r="H7" s="2" cm="1">
        <f t="array" ref="H7">_xlfn.XLOOKUP(1,('Zehnder Charleston'!$B$2:$B$132=H$3)*('Zehnder Charleston'!$D$2:$D$132=$B7),'Zehnder Charleston'!$K$2:$K$132,"")</f>
        <v>83.5</v>
      </c>
      <c r="I7" s="2" cm="1">
        <f t="array" ref="I7">_xlfn.XLOOKUP(1,('Zehnder Charleston'!$B$2:$B$132=I$3)*('Zehnder Charleston'!$D$2:$D$132=$B7),'Zehnder Charleston'!$K$2:$K$132,"")</f>
        <v>91.1</v>
      </c>
      <c r="J7" s="2" cm="1">
        <f t="array" ref="J7">_xlfn.XLOOKUP(1,('Zehnder Charleston'!$B$2:$B$132=J$3)*('Zehnder Charleston'!$D$2:$D$132=$B7),'Zehnder Charleston'!$K$2:$K$132,"")</f>
        <v>98.6</v>
      </c>
      <c r="K7" s="2" cm="1">
        <f t="array" ref="K7">_xlfn.XLOOKUP(1,('Zehnder Charleston'!$B$2:$B$132=K$3)*('Zehnder Charleston'!$D$2:$D$132=$B7),'Zehnder Charleston'!$K$2:$K$132,"")</f>
        <v>120</v>
      </c>
      <c r="L7" s="2" cm="1">
        <f t="array" ref="L7">_xlfn.XLOOKUP(1,('Zehnder Charleston'!$B$2:$B$132=L$3)*('Zehnder Charleston'!$D$2:$D$132=$B7),'Zehnder Charleston'!$K$2:$K$132,"")</f>
        <v>141</v>
      </c>
      <c r="M7" s="2" cm="1">
        <f t="array" ref="M7">_xlfn.XLOOKUP(1,('Zehnder Charleston'!$B$2:$B$132=M$3)*('Zehnder Charleston'!$D$2:$D$132=$B7),'Zehnder Charleston'!$K$2:$K$132,"")</f>
        <v>154</v>
      </c>
      <c r="N7" s="2" cm="1">
        <f t="array" ref="N7">_xlfn.XLOOKUP(1,('Zehnder Charleston'!$B$2:$B$132=N$3)*('Zehnder Charleston'!$D$2:$D$132=$B7),'Zehnder Charleston'!$K$2:$K$132,"")</f>
        <v>167</v>
      </c>
      <c r="O7" s="2" cm="1">
        <f t="array" ref="O7">_xlfn.XLOOKUP(1,('Zehnder Charleston'!$B$2:$B$132=O$3)*('Zehnder Charleston'!$D$2:$D$132=$B7),'Zehnder Charleston'!$K$2:$K$132,"")</f>
        <v>179</v>
      </c>
      <c r="P7" s="2" cm="1">
        <f t="array" ref="P7">_xlfn.XLOOKUP(1,('Zehnder Charleston'!$B$2:$B$132=P$3)*('Zehnder Charleston'!$D$2:$D$132=$B7),'Zehnder Charleston'!$K$2:$K$132,"")</f>
        <v>219</v>
      </c>
      <c r="Q7" s="2" cm="1">
        <f t="array" ref="Q7">_xlfn.XLOOKUP(1,('Zehnder Charleston'!$B$2:$B$132=Q$3)*('Zehnder Charleston'!$D$2:$D$132=$B7),'Zehnder Charleston'!$K$2:$K$132,"")</f>
        <v>259</v>
      </c>
      <c r="R7" s="2" cm="1">
        <f t="array" ref="R7">_xlfn.XLOOKUP(1,('Zehnder Charleston'!$B$2:$B$132=R$3)*('Zehnder Charleston'!$D$2:$D$132=$B7),'Zehnder Charleston'!$K$2:$K$132,"")</f>
        <v>285</v>
      </c>
      <c r="S7" s="2" cm="1">
        <f t="array" ref="S7">_xlfn.XLOOKUP(1,('Zehnder Charleston'!$B$2:$B$132=S$3)*('Zehnder Charleston'!$D$2:$D$132=$B7),'Zehnder Charleston'!$K$2:$K$132,"")</f>
        <v>312</v>
      </c>
      <c r="T7" s="2" cm="1">
        <f t="array" ref="T7">_xlfn.XLOOKUP(1,('Zehnder Charleston'!$B$2:$B$132=T$3)*('Zehnder Charleston'!$D$2:$D$132=$B7),'Zehnder Charleston'!$K$2:$K$132,"")</f>
        <v>352</v>
      </c>
      <c r="U7" s="2" cm="1">
        <f t="array" ref="U7">_xlfn.XLOOKUP(1,('Zehnder Charleston'!$B$2:$B$132=U$3)*('Zehnder Charleston'!$D$2:$D$132=$B7),'Zehnder Charleston'!$K$2:$K$132,"")</f>
        <v>392</v>
      </c>
      <c r="V7" s="2" cm="1">
        <f t="array" ref="V7">_xlfn.XLOOKUP(1,('Zehnder Charleston'!$B$2:$B$132=V$3)*('Zehnder Charleston'!$D$2:$D$132=$B7),'Zehnder Charleston'!$K$2:$K$132,"")</f>
        <v>420</v>
      </c>
      <c r="W7" s="2" t="s">
        <v>407</v>
      </c>
    </row>
    <row r="8" spans="1:28" x14ac:dyDescent="0.2">
      <c r="B8" s="2">
        <v>210</v>
      </c>
      <c r="C8" s="2" cm="1">
        <f t="array" ref="C8">_xlfn.XLOOKUP(1,('Zehnder Charleston'!$B$2:$B$132=C$3)*('Zehnder Charleston'!$D$2:$D$132=$B8),'Zehnder Charleston'!$K$2:$K$132,"")</f>
        <v>53.5</v>
      </c>
      <c r="D8" s="2" cm="1">
        <f t="array" ref="D8">_xlfn.XLOOKUP(1,('Zehnder Charleston'!$B$2:$B$132=D$3)*('Zehnder Charleston'!$D$2:$D$132=$B8),'Zehnder Charleston'!$K$2:$K$132,"")</f>
        <v>61.3</v>
      </c>
      <c r="E8" s="2" cm="1">
        <f t="array" ref="E8">_xlfn.XLOOKUP(1,('Zehnder Charleston'!$B$2:$B$132=E$3)*('Zehnder Charleston'!$D$2:$D$132=$B8),'Zehnder Charleston'!$K$2:$K$132,"")</f>
        <v>71</v>
      </c>
      <c r="F8" s="2" cm="1">
        <f t="array" ref="F8">_xlfn.XLOOKUP(1,('Zehnder Charleston'!$B$2:$B$132=F$3)*('Zehnder Charleston'!$D$2:$D$132=$B8),'Zehnder Charleston'!$K$2:$K$132,"")</f>
        <v>80.5</v>
      </c>
      <c r="G8" s="2" cm="1">
        <f t="array" ref="G8">_xlfn.XLOOKUP(1,('Zehnder Charleston'!$B$2:$B$132=G$3)*('Zehnder Charleston'!$D$2:$D$132=$B8),'Zehnder Charleston'!$K$2:$K$132,"")</f>
        <v>89.8</v>
      </c>
      <c r="H8" s="2" cm="1">
        <f t="array" ref="H8">_xlfn.XLOOKUP(1,('Zehnder Charleston'!$B$2:$B$132=H$3)*('Zehnder Charleston'!$D$2:$D$132=$B8),'Zehnder Charleston'!$K$2:$K$132,"")</f>
        <v>99</v>
      </c>
      <c r="I8" s="2" cm="1">
        <f t="array" ref="I8">_xlfn.XLOOKUP(1,('Zehnder Charleston'!$B$2:$B$132=I$3)*('Zehnder Charleston'!$D$2:$D$132=$B8),'Zehnder Charleston'!$K$2:$K$132,"")</f>
        <v>108</v>
      </c>
      <c r="J8" s="2" cm="1">
        <f t="array" ref="J8">_xlfn.XLOOKUP(1,('Zehnder Charleston'!$B$2:$B$132=J$3)*('Zehnder Charleston'!$D$2:$D$132=$B8),'Zehnder Charleston'!$K$2:$K$132,"")</f>
        <v>117</v>
      </c>
      <c r="K8" s="2" cm="1">
        <f t="array" ref="K8">_xlfn.XLOOKUP(1,('Zehnder Charleston'!$B$2:$B$132=K$3)*('Zehnder Charleston'!$D$2:$D$132=$B8),'Zehnder Charleston'!$K$2:$K$132,"")</f>
        <v>143</v>
      </c>
      <c r="L8" s="2" cm="1">
        <f t="array" ref="L8">_xlfn.XLOOKUP(1,('Zehnder Charleston'!$B$2:$B$132=L$3)*('Zehnder Charleston'!$D$2:$D$132=$B8),'Zehnder Charleston'!$K$2:$K$132,"")</f>
        <v>167</v>
      </c>
      <c r="M8" s="2" cm="1">
        <f t="array" ref="M8">_xlfn.XLOOKUP(1,('Zehnder Charleston'!$B$2:$B$132=M$3)*('Zehnder Charleston'!$D$2:$D$132=$B8),'Zehnder Charleston'!$K$2:$K$132,"")</f>
        <v>183</v>
      </c>
      <c r="N8" s="2" cm="1">
        <f t="array" ref="N8">_xlfn.XLOOKUP(1,('Zehnder Charleston'!$B$2:$B$132=N$3)*('Zehnder Charleston'!$D$2:$D$132=$B8),'Zehnder Charleston'!$K$2:$K$132,"")</f>
        <v>198</v>
      </c>
      <c r="O8" s="2" cm="1">
        <f t="array" ref="O8">_xlfn.XLOOKUP(1,('Zehnder Charleston'!$B$2:$B$132=O$3)*('Zehnder Charleston'!$D$2:$D$132=$B8),'Zehnder Charleston'!$K$2:$K$132,"")</f>
        <v>210</v>
      </c>
      <c r="P8" s="2" cm="1">
        <f t="array" ref="P8">_xlfn.XLOOKUP(1,('Zehnder Charleston'!$B$2:$B$132=P$3)*('Zehnder Charleston'!$D$2:$D$132=$B8),'Zehnder Charleston'!$K$2:$K$132,"")</f>
        <v>256</v>
      </c>
      <c r="Q8" s="2" cm="1">
        <f t="array" ref="Q8">_xlfn.XLOOKUP(1,('Zehnder Charleston'!$B$2:$B$132=Q$3)*('Zehnder Charleston'!$D$2:$D$132=$B8),'Zehnder Charleston'!$K$2:$K$132,"")</f>
        <v>303</v>
      </c>
      <c r="R8" s="2" cm="1">
        <f t="array" ref="R8">_xlfn.XLOOKUP(1,('Zehnder Charleston'!$B$2:$B$132=R$3)*('Zehnder Charleston'!$D$2:$D$132=$B8),'Zehnder Charleston'!$K$2:$K$132,"")</f>
        <v>334</v>
      </c>
      <c r="S8" s="2" cm="1">
        <f t="array" ref="S8">_xlfn.XLOOKUP(1,('Zehnder Charleston'!$B$2:$B$132=S$3)*('Zehnder Charleston'!$D$2:$D$132=$B8),'Zehnder Charleston'!$K$2:$K$132,"")</f>
        <v>365</v>
      </c>
      <c r="T8" s="2" cm="1">
        <f t="array" ref="T8">_xlfn.XLOOKUP(1,('Zehnder Charleston'!$B$2:$B$132=T$3)*('Zehnder Charleston'!$D$2:$D$132=$B8),'Zehnder Charleston'!$K$2:$K$132,"")</f>
        <v>412</v>
      </c>
      <c r="U8" s="2" cm="1">
        <f t="array" ref="U8">_xlfn.XLOOKUP(1,('Zehnder Charleston'!$B$2:$B$132=U$3)*('Zehnder Charleston'!$D$2:$D$132=$B8),'Zehnder Charleston'!$K$2:$K$132,"")</f>
        <v>459</v>
      </c>
      <c r="V8" s="2" cm="1">
        <f t="array" ref="V8">_xlfn.XLOOKUP(1,('Zehnder Charleston'!$B$2:$B$132=V$3)*('Zehnder Charleston'!$D$2:$D$132=$B8),'Zehnder Charleston'!$K$2:$K$132,"")</f>
        <v>491</v>
      </c>
      <c r="W8" s="2" t="s">
        <v>406</v>
      </c>
    </row>
    <row r="9" spans="1:28" x14ac:dyDescent="0.2">
      <c r="M9"/>
      <c r="N9"/>
      <c r="O9"/>
      <c r="P9"/>
      <c r="Q9"/>
    </row>
    <row r="10" spans="1:28" ht="13.5" x14ac:dyDescent="0.25">
      <c r="A10" s="1" t="s">
        <v>150</v>
      </c>
      <c r="C10" s="4" t="s">
        <v>2</v>
      </c>
      <c r="M10"/>
      <c r="N10"/>
      <c r="O10"/>
      <c r="P10"/>
      <c r="Q10"/>
    </row>
    <row r="11" spans="1:28" x14ac:dyDescent="0.2">
      <c r="B11" s="1"/>
      <c r="C11" s="164">
        <v>260</v>
      </c>
      <c r="D11" s="164">
        <v>292</v>
      </c>
      <c r="E11" s="164">
        <v>342</v>
      </c>
      <c r="F11" s="164">
        <v>392</v>
      </c>
      <c r="G11" s="164">
        <v>442</v>
      </c>
      <c r="H11" s="164">
        <v>492</v>
      </c>
      <c r="I11" s="164">
        <v>542</v>
      </c>
      <c r="J11" s="164">
        <v>592</v>
      </c>
      <c r="K11" s="164">
        <v>742</v>
      </c>
      <c r="L11" s="164">
        <v>892</v>
      </c>
      <c r="M11" s="164">
        <v>992</v>
      </c>
      <c r="N11" s="164">
        <v>1092</v>
      </c>
      <c r="O11" s="164">
        <v>1192</v>
      </c>
      <c r="P11" s="164">
        <v>1492</v>
      </c>
      <c r="Q11" s="164">
        <v>1792</v>
      </c>
      <c r="R11" s="165">
        <v>1992</v>
      </c>
      <c r="S11" s="165">
        <v>2192</v>
      </c>
      <c r="T11" s="165">
        <v>2492</v>
      </c>
      <c r="U11" s="165">
        <v>2792</v>
      </c>
      <c r="V11" s="165">
        <v>2992</v>
      </c>
    </row>
    <row r="12" spans="1:28" x14ac:dyDescent="0.2">
      <c r="A12" s="1" t="s">
        <v>0</v>
      </c>
      <c r="C12" s="5">
        <f t="shared" ref="C12:V12" si="0">C$3</f>
        <v>260</v>
      </c>
      <c r="D12" s="5">
        <f t="shared" si="0"/>
        <v>300</v>
      </c>
      <c r="E12" s="5">
        <f t="shared" si="0"/>
        <v>350</v>
      </c>
      <c r="F12" s="5">
        <f t="shared" si="0"/>
        <v>400</v>
      </c>
      <c r="G12" s="5">
        <f t="shared" si="0"/>
        <v>450</v>
      </c>
      <c r="H12" s="5">
        <f t="shared" si="0"/>
        <v>500</v>
      </c>
      <c r="I12" s="5">
        <f t="shared" si="0"/>
        <v>550</v>
      </c>
      <c r="J12" s="5">
        <f t="shared" si="0"/>
        <v>600</v>
      </c>
      <c r="K12" s="5">
        <f t="shared" si="0"/>
        <v>750</v>
      </c>
      <c r="L12" s="5">
        <f t="shared" si="0"/>
        <v>900</v>
      </c>
      <c r="M12" s="5">
        <f t="shared" si="0"/>
        <v>1000</v>
      </c>
      <c r="N12" s="5">
        <f t="shared" si="0"/>
        <v>1100</v>
      </c>
      <c r="O12" s="5">
        <f t="shared" si="0"/>
        <v>1200</v>
      </c>
      <c r="P12" s="5">
        <f t="shared" si="0"/>
        <v>1500</v>
      </c>
      <c r="Q12" s="5">
        <f t="shared" si="0"/>
        <v>1800</v>
      </c>
      <c r="R12" s="5">
        <f t="shared" si="0"/>
        <v>2000</v>
      </c>
      <c r="S12" s="5">
        <f t="shared" si="0"/>
        <v>2200</v>
      </c>
      <c r="T12" s="5">
        <f t="shared" si="0"/>
        <v>2500</v>
      </c>
      <c r="U12" s="5">
        <f t="shared" si="0"/>
        <v>2800</v>
      </c>
      <c r="V12" s="5">
        <f t="shared" si="0"/>
        <v>3000</v>
      </c>
    </row>
    <row r="13" spans="1:28" ht="13.5" x14ac:dyDescent="0.25">
      <c r="A13" s="4" t="s">
        <v>3</v>
      </c>
      <c r="B13" s="2">
        <f>B4</f>
        <v>62</v>
      </c>
      <c r="C13" s="2" cm="1">
        <f t="array" ref="C13">_xlfn.XLOOKUP(1,('Zehnder Charleston'!$B$2:$B$132=C$3)*('Zehnder Charleston'!$D$2:$D$132=$B4),'Zehnder Charleston'!$J$2:$J$132,"")</f>
        <v>1.27</v>
      </c>
      <c r="D13" s="2" cm="1">
        <f t="array" ref="D13">_xlfn.XLOOKUP(1,('Zehnder Charleston'!$B$2:$B$132=D$2)*('Zehnder Charleston'!$D$2:$D$132=$B4),'Zehnder Charleston'!$J$2:$J$132,"")</f>
        <v>1.27</v>
      </c>
      <c r="E13" s="2" cm="1">
        <f t="array" ref="E13">_xlfn.XLOOKUP(1,('Zehnder Charleston'!$B$2:$B$132=E$2)*('Zehnder Charleston'!$D$2:$D$132=$B4),'Zehnder Charleston'!$J$2:$J$132,"")</f>
        <v>1.26</v>
      </c>
      <c r="F13" s="2" cm="1">
        <f t="array" ref="F13">_xlfn.XLOOKUP(1,('Zehnder Charleston'!$B$2:$B$132=F$2)*('Zehnder Charleston'!$D$2:$D$132=$B4),'Zehnder Charleston'!$J$2:$J$132,"")</f>
        <v>1.26</v>
      </c>
      <c r="G13" s="2" cm="1">
        <f t="array" ref="G13">_xlfn.XLOOKUP(1,('Zehnder Charleston'!$B$2:$B$132=G$2)*('Zehnder Charleston'!$D$2:$D$132=$B4),'Zehnder Charleston'!$J$2:$J$132,"")</f>
        <v>1.26</v>
      </c>
      <c r="H13" s="2" cm="1">
        <f t="array" ref="H13">_xlfn.XLOOKUP(1,('Zehnder Charleston'!$B$2:$B$132=H$2)*('Zehnder Charleston'!$D$2:$D$132=$B4),'Zehnder Charleston'!$J$2:$J$132,"")</f>
        <v>1.25</v>
      </c>
      <c r="I13" s="2" cm="1">
        <f t="array" ref="I13">_xlfn.XLOOKUP(1,('Zehnder Charleston'!$B$2:$B$132=I$2)*('Zehnder Charleston'!$D$2:$D$132=$B4),'Zehnder Charleston'!$J$2:$J$132,"")</f>
        <v>1.25</v>
      </c>
      <c r="J13" s="2" cm="1">
        <f t="array" ref="J13">_xlfn.XLOOKUP(1,('Zehnder Charleston'!$B$2:$B$132=J$2)*('Zehnder Charleston'!$D$2:$D$132=$B4),'Zehnder Charleston'!$J$2:$J$132,"")</f>
        <v>1.25</v>
      </c>
      <c r="K13" s="2" cm="1">
        <f t="array" ref="K13">_xlfn.XLOOKUP(1,('Zehnder Charleston'!$B$2:$B$132=K$2)*('Zehnder Charleston'!$D$2:$D$132=$B4),'Zehnder Charleston'!$J$2:$J$132,"")</f>
        <v>1.24</v>
      </c>
      <c r="L13" s="2" cm="1">
        <f t="array" ref="L13">_xlfn.XLOOKUP(1,('Zehnder Charleston'!$B$2:$B$132=L$2)*('Zehnder Charleston'!$D$2:$D$132=$B4),'Zehnder Charleston'!$J$2:$J$132,"")</f>
        <v>1.23</v>
      </c>
      <c r="M13" s="2" cm="1">
        <f t="array" ref="M13">_xlfn.XLOOKUP(1,('Zehnder Charleston'!$B$2:$B$132=M$2)*('Zehnder Charleston'!$D$2:$D$132=$B4),'Zehnder Charleston'!$J$2:$J$132,"")</f>
        <v>1.22</v>
      </c>
      <c r="N13" s="2" cm="1">
        <f t="array" ref="N13">_xlfn.XLOOKUP(1,('Zehnder Charleston'!$B$2:$B$132=N$2)*('Zehnder Charleston'!$D$2:$D$132=$B4),'Zehnder Charleston'!$J$2:$J$132,"")</f>
        <v>1.21</v>
      </c>
      <c r="O13" s="2" cm="1">
        <f t="array" ref="O13">_xlfn.XLOOKUP(1,('Zehnder Charleston'!$B$2:$B$132=O$2)*('Zehnder Charleston'!$D$2:$D$132=$B4),'Zehnder Charleston'!$J$2:$J$132,"")</f>
        <v>1.3</v>
      </c>
      <c r="P13" s="2" cm="1">
        <f t="array" ref="P13">_xlfn.XLOOKUP(1,('Zehnder Charleston'!$B$2:$B$132=P$2)*('Zehnder Charleston'!$D$2:$D$132=$B4),'Zehnder Charleston'!$J$2:$J$132,"")</f>
        <v>1.29</v>
      </c>
      <c r="Q13" s="2" cm="1">
        <f t="array" ref="Q13">_xlfn.XLOOKUP(1,('Zehnder Charleston'!$B$2:$B$132=Q$2)*('Zehnder Charleston'!$D$2:$D$132=$B4),'Zehnder Charleston'!$J$2:$J$132,"")</f>
        <v>1.29</v>
      </c>
      <c r="R13" s="2" cm="1">
        <f t="array" ref="R13">_xlfn.XLOOKUP(1,('Zehnder Charleston'!$B$2:$B$132=R$2)*('Zehnder Charleston'!$D$2:$D$132=$B4),'Zehnder Charleston'!$J$2:$J$132,"")</f>
        <v>1.28</v>
      </c>
      <c r="S13" s="2" cm="1">
        <f t="array" ref="S13">_xlfn.XLOOKUP(1,('Zehnder Charleston'!$B$2:$B$132=S$2)*('Zehnder Charleston'!$D$2:$D$132=$B4),'Zehnder Charleston'!$J$2:$J$132,"")</f>
        <v>1.28</v>
      </c>
      <c r="T13" s="2" cm="1">
        <f t="array" ref="T13">_xlfn.XLOOKUP(1,('Zehnder Charleston'!$B$2:$B$132=T$2)*('Zehnder Charleston'!$D$2:$D$132=$B4),'Zehnder Charleston'!$J$2:$J$132,"")</f>
        <v>1.28</v>
      </c>
      <c r="U13" s="2" cm="1">
        <f t="array" ref="U13">_xlfn.XLOOKUP(1,('Zehnder Charleston'!$B$2:$B$132=U$2)*('Zehnder Charleston'!$D$2:$D$132=$B4),'Zehnder Charleston'!$J$2:$J$132,"")</f>
        <v>1.27</v>
      </c>
      <c r="V13" s="2" cm="1">
        <f t="array" ref="V13">_xlfn.XLOOKUP(1,('Zehnder Charleston'!$B$2:$B$132=V$2)*('Zehnder Charleston'!$D$2:$D$132=$B4),'Zehnder Charleston'!$J$2:$J$132,"")</f>
        <v>1.27</v>
      </c>
      <c r="AB13" s="2" t="str" cm="1">
        <f t="array" ref="AB13">_xlfn.XLOOKUP(1,('Zehnder Charleston'!$B$2:$B$138=V$3)*('Zehnder Charleston'!$D$2:$D$138=$B4),'Zehnder Charleston'!$J$2:$J$138,"")</f>
        <v/>
      </c>
    </row>
    <row r="14" spans="1:28" x14ac:dyDescent="0.2">
      <c r="B14" s="2">
        <f>B5</f>
        <v>100</v>
      </c>
      <c r="C14" s="2" cm="1">
        <f t="array" ref="C14">_xlfn.XLOOKUP(1,('Zehnder Charleston'!$B$2:$B$132=C$3)*('Zehnder Charleston'!$D$2:$D$132=$B5),'Zehnder Charleston'!$J$2:$J$132,"")</f>
        <v>1.28</v>
      </c>
      <c r="D14" s="2" cm="1">
        <f t="array" ref="D14">_xlfn.XLOOKUP(1,('Zehnder Charleston'!$B$2:$B$132=D$3)*('Zehnder Charleston'!$D$2:$D$132=$B5),'Zehnder Charleston'!$J$2:$J$132,"")</f>
        <v>1.28</v>
      </c>
      <c r="E14" s="2" cm="1">
        <f t="array" ref="E14">_xlfn.XLOOKUP(1,('Zehnder Charleston'!$B$2:$B$132=E$3)*('Zehnder Charleston'!$D$2:$D$132=$B5),'Zehnder Charleston'!$J$2:$J$132,"")</f>
        <v>1.28</v>
      </c>
      <c r="F14" s="2" cm="1">
        <f t="array" ref="F14">_xlfn.XLOOKUP(1,('Zehnder Charleston'!$B$2:$B$132=F$3)*('Zehnder Charleston'!$D$2:$D$132=$B5),'Zehnder Charleston'!$J$2:$J$132,"")</f>
        <v>1.28</v>
      </c>
      <c r="G14" s="2" cm="1">
        <f t="array" ref="G14">_xlfn.XLOOKUP(1,('Zehnder Charleston'!$B$2:$B$132=G$3)*('Zehnder Charleston'!$D$2:$D$132=$B5),'Zehnder Charleston'!$J$2:$J$132,"")</f>
        <v>1.27</v>
      </c>
      <c r="H14" s="2" cm="1">
        <f t="array" ref="H14">_xlfn.XLOOKUP(1,('Zehnder Charleston'!$B$2:$B$132=H$3)*('Zehnder Charleston'!$D$2:$D$132=$B5),'Zehnder Charleston'!$J$2:$J$132,"")</f>
        <v>1.27</v>
      </c>
      <c r="I14" s="2" cm="1">
        <f t="array" ref="I14">_xlfn.XLOOKUP(1,('Zehnder Charleston'!$B$2:$B$132=I$3)*('Zehnder Charleston'!$D$2:$D$132=$B5),'Zehnder Charleston'!$J$2:$J$132,"")</f>
        <v>1.27</v>
      </c>
      <c r="J14" s="2" cm="1">
        <f t="array" ref="J14">_xlfn.XLOOKUP(1,('Zehnder Charleston'!$B$2:$B$132=J$3)*('Zehnder Charleston'!$D$2:$D$132=$B5),'Zehnder Charleston'!$J$2:$J$132,"")</f>
        <v>1.27</v>
      </c>
      <c r="K14" s="2" cm="1">
        <f t="array" ref="K14">_xlfn.XLOOKUP(1,('Zehnder Charleston'!$B$2:$B$132=K$3)*('Zehnder Charleston'!$D$2:$D$132=$B5),'Zehnder Charleston'!$J$2:$J$132,"")</f>
        <v>1.26</v>
      </c>
      <c r="L14" s="2" cm="1">
        <f t="array" ref="L14">_xlfn.XLOOKUP(1,('Zehnder Charleston'!$B$2:$B$132=L$3)*('Zehnder Charleston'!$D$2:$D$132=$B5),'Zehnder Charleston'!$J$2:$J$132,"")</f>
        <v>1.25</v>
      </c>
      <c r="M14" s="2" cm="1">
        <f t="array" ref="M14">_xlfn.XLOOKUP(1,('Zehnder Charleston'!$B$2:$B$132=M$3)*('Zehnder Charleston'!$D$2:$D$132=$B5),'Zehnder Charleston'!$J$2:$J$132,"")</f>
        <v>1.25</v>
      </c>
      <c r="N14" s="2" cm="1">
        <f t="array" ref="N14">_xlfn.XLOOKUP(1,('Zehnder Charleston'!$B$2:$B$132=N$3)*('Zehnder Charleston'!$D$2:$D$132=$B5),'Zehnder Charleston'!$J$2:$J$132,"")</f>
        <v>1.25</v>
      </c>
      <c r="O14" s="2" cm="1">
        <f t="array" ref="O14">_xlfn.XLOOKUP(1,('Zehnder Charleston'!$B$2:$B$132=O$3)*('Zehnder Charleston'!$D$2:$D$132=$B5),'Zehnder Charleston'!$J$2:$J$132,"")</f>
        <v>1.31</v>
      </c>
      <c r="P14" s="2" cm="1">
        <f t="array" ref="P14">_xlfn.XLOOKUP(1,('Zehnder Charleston'!$B$2:$B$132=P$3)*('Zehnder Charleston'!$D$2:$D$132=$B5),'Zehnder Charleston'!$J$2:$J$132,"")</f>
        <v>1.31</v>
      </c>
      <c r="Q14" s="2" cm="1">
        <f t="array" ref="Q14">_xlfn.XLOOKUP(1,('Zehnder Charleston'!$B$2:$B$132=Q$3)*('Zehnder Charleston'!$D$2:$D$132=$B5),'Zehnder Charleston'!$J$2:$J$132,"")</f>
        <v>1.32</v>
      </c>
      <c r="R14" s="2" cm="1">
        <f t="array" ref="R14">_xlfn.XLOOKUP(1,('Zehnder Charleston'!$B$2:$B$132=R$3)*('Zehnder Charleston'!$D$2:$D$132=$B5),'Zehnder Charleston'!$J$2:$J$132,"")</f>
        <v>1.32</v>
      </c>
      <c r="S14" s="2" cm="1">
        <f t="array" ref="S14">_xlfn.XLOOKUP(1,('Zehnder Charleston'!$B$2:$B$132=S$3)*('Zehnder Charleston'!$D$2:$D$132=$B5),'Zehnder Charleston'!$J$2:$J$132,"")</f>
        <v>1.32</v>
      </c>
      <c r="T14" s="2" cm="1">
        <f t="array" ref="T14">_xlfn.XLOOKUP(1,('Zehnder Charleston'!$B$2:$B$132=T$3)*('Zehnder Charleston'!$D$2:$D$132=$B5),'Zehnder Charleston'!$J$2:$J$132,"")</f>
        <v>1.32</v>
      </c>
      <c r="U14" s="2" cm="1">
        <f t="array" ref="U14">_xlfn.XLOOKUP(1,('Zehnder Charleston'!$B$2:$B$132=U$3)*('Zehnder Charleston'!$D$2:$D$132=$B5),'Zehnder Charleston'!$J$2:$J$132,"")</f>
        <v>1.33</v>
      </c>
      <c r="V14" s="2" cm="1">
        <f t="array" ref="V14">_xlfn.XLOOKUP(1,('Zehnder Charleston'!$B$2:$B$132=V$3)*('Zehnder Charleston'!$D$2:$D$132=$B5),'Zehnder Charleston'!$J$2:$J$132,"")</f>
        <v>1.33</v>
      </c>
    </row>
    <row r="15" spans="1:28" x14ac:dyDescent="0.2">
      <c r="B15" s="2">
        <f>B6</f>
        <v>136</v>
      </c>
      <c r="C15" s="2" cm="1">
        <f t="array" ref="C15">_xlfn.XLOOKUP(1,('Zehnder Charleston'!$B$2:$B$132=C$3)*('Zehnder Charleston'!$D$2:$D$132=$B6),'Zehnder Charleston'!$J$2:$J$132,"")</f>
        <v>1.28</v>
      </c>
      <c r="D15" s="2" cm="1">
        <f t="array" ref="D15">_xlfn.XLOOKUP(1,('Zehnder Charleston'!$B$2:$B$132=D$3)*('Zehnder Charleston'!$D$2:$D$132=$B6),'Zehnder Charleston'!$J$2:$J$132,"")</f>
        <v>1.28</v>
      </c>
      <c r="E15" s="2" cm="1">
        <f t="array" ref="E15">_xlfn.XLOOKUP(1,('Zehnder Charleston'!$B$2:$B$132=E$3)*('Zehnder Charleston'!$D$2:$D$132=$B6),'Zehnder Charleston'!$J$2:$J$132,"")</f>
        <v>1.28</v>
      </c>
      <c r="F15" s="2" cm="1">
        <f t="array" ref="F15">_xlfn.XLOOKUP(1,('Zehnder Charleston'!$B$2:$B$132=F$3)*('Zehnder Charleston'!$D$2:$D$132=$B6),'Zehnder Charleston'!$J$2:$J$132,"")</f>
        <v>1.28</v>
      </c>
      <c r="G15" s="2" cm="1">
        <f t="array" ref="G15">_xlfn.XLOOKUP(1,('Zehnder Charleston'!$B$2:$B$132=G$3)*('Zehnder Charleston'!$D$2:$D$132=$B6),'Zehnder Charleston'!$J$2:$J$132,"")</f>
        <v>1.27</v>
      </c>
      <c r="H15" s="2" cm="1">
        <f t="array" ref="H15">_xlfn.XLOOKUP(1,('Zehnder Charleston'!$B$2:$B$132=H$3)*('Zehnder Charleston'!$D$2:$D$132=$B6),'Zehnder Charleston'!$J$2:$J$132,"")</f>
        <v>1.27</v>
      </c>
      <c r="I15" s="2" cm="1">
        <f t="array" ref="I15">_xlfn.XLOOKUP(1,('Zehnder Charleston'!$B$2:$B$132=I$3)*('Zehnder Charleston'!$D$2:$D$132=$B6),'Zehnder Charleston'!$J$2:$J$132,"")</f>
        <v>1.27</v>
      </c>
      <c r="J15" s="2" cm="1">
        <f t="array" ref="J15">_xlfn.XLOOKUP(1,('Zehnder Charleston'!$B$2:$B$132=J$3)*('Zehnder Charleston'!$D$2:$D$132=$B6),'Zehnder Charleston'!$J$2:$J$132,"")</f>
        <v>1.27</v>
      </c>
      <c r="K15" s="2" cm="1">
        <f t="array" ref="K15">_xlfn.XLOOKUP(1,('Zehnder Charleston'!$B$2:$B$132=K$3)*('Zehnder Charleston'!$D$2:$D$132=$B6),'Zehnder Charleston'!$J$2:$J$132,"")</f>
        <v>1.26</v>
      </c>
      <c r="L15" s="2" cm="1">
        <f t="array" ref="L15">_xlfn.XLOOKUP(1,('Zehnder Charleston'!$B$2:$B$132=L$3)*('Zehnder Charleston'!$D$2:$D$132=$B6),'Zehnder Charleston'!$J$2:$J$132,"")</f>
        <v>1.25</v>
      </c>
      <c r="M15" s="2" cm="1">
        <f t="array" ref="M15">_xlfn.XLOOKUP(1,('Zehnder Charleston'!$B$2:$B$132=M$3)*('Zehnder Charleston'!$D$2:$D$132=$B6),'Zehnder Charleston'!$J$2:$J$132,"")</f>
        <v>1.25</v>
      </c>
      <c r="N15" s="2" cm="1">
        <f t="array" ref="N15">_xlfn.XLOOKUP(1,('Zehnder Charleston'!$B$2:$B$132=N$3)*('Zehnder Charleston'!$D$2:$D$132=$B6),'Zehnder Charleston'!$J$2:$J$132,"")</f>
        <v>1.25</v>
      </c>
      <c r="O15" s="2" cm="1">
        <f t="array" ref="O15">_xlfn.XLOOKUP(1,('Zehnder Charleston'!$B$2:$B$132=O$3)*('Zehnder Charleston'!$D$2:$D$132=$B6),'Zehnder Charleston'!$J$2:$J$132,"")</f>
        <v>1.31</v>
      </c>
      <c r="P15" s="2" cm="1">
        <f t="array" ref="P15">_xlfn.XLOOKUP(1,('Zehnder Charleston'!$B$2:$B$132=P$3)*('Zehnder Charleston'!$D$2:$D$132=$B6),'Zehnder Charleston'!$J$2:$J$132,"")</f>
        <v>1.31</v>
      </c>
      <c r="Q15" s="2" cm="1">
        <f t="array" ref="Q15">_xlfn.XLOOKUP(1,('Zehnder Charleston'!$B$2:$B$132=Q$3)*('Zehnder Charleston'!$D$2:$D$132=$B6),'Zehnder Charleston'!$J$2:$J$132,"")</f>
        <v>1.32</v>
      </c>
      <c r="R15" s="2" cm="1">
        <f t="array" ref="R15">_xlfn.XLOOKUP(1,('Zehnder Charleston'!$B$2:$B$132=R$3)*('Zehnder Charleston'!$D$2:$D$132=$B6),'Zehnder Charleston'!$J$2:$J$132,"")</f>
        <v>1.32</v>
      </c>
      <c r="S15" s="2" cm="1">
        <f t="array" ref="S15">_xlfn.XLOOKUP(1,('Zehnder Charleston'!$B$2:$B$132=S$3)*('Zehnder Charleston'!$D$2:$D$132=$B6),'Zehnder Charleston'!$J$2:$J$132,"")</f>
        <v>1.32</v>
      </c>
      <c r="T15" s="2" cm="1">
        <f t="array" ref="T15">_xlfn.XLOOKUP(1,('Zehnder Charleston'!$B$2:$B$132=T$3)*('Zehnder Charleston'!$D$2:$D$132=$B6),'Zehnder Charleston'!$J$2:$J$132,"")</f>
        <v>1.32</v>
      </c>
      <c r="U15" s="2" cm="1">
        <f t="array" ref="U15">_xlfn.XLOOKUP(1,('Zehnder Charleston'!$B$2:$B$132=U$3)*('Zehnder Charleston'!$D$2:$D$132=$B6),'Zehnder Charleston'!$J$2:$J$132,"")</f>
        <v>1.33</v>
      </c>
      <c r="V15" s="2" cm="1">
        <f t="array" ref="V15">_xlfn.XLOOKUP(1,('Zehnder Charleston'!$B$2:$B$132=V$3)*('Zehnder Charleston'!$D$2:$D$132=$B6),'Zehnder Charleston'!$J$2:$J$132,"")</f>
        <v>1.33</v>
      </c>
    </row>
    <row r="16" spans="1:28" x14ac:dyDescent="0.2">
      <c r="B16" s="2">
        <f>B7</f>
        <v>173</v>
      </c>
      <c r="C16" s="2" cm="1">
        <f t="array" ref="C16">_xlfn.XLOOKUP(1,('Zehnder Charleston'!$B$2:$B$132=C$3)*('Zehnder Charleston'!$D$2:$D$132=$B7),'Zehnder Charleston'!$J$2:$J$132,"")</f>
        <v>1.28</v>
      </c>
      <c r="D16" s="2" cm="1">
        <f t="array" ref="D16">_xlfn.XLOOKUP(1,('Zehnder Charleston'!$B$2:$B$132=D$3)*('Zehnder Charleston'!$D$2:$D$132=$B7),'Zehnder Charleston'!$J$2:$J$132,"")</f>
        <v>1.28</v>
      </c>
      <c r="E16" s="2" cm="1">
        <f t="array" ref="E16">_xlfn.XLOOKUP(1,('Zehnder Charleston'!$B$2:$B$132=E$3)*('Zehnder Charleston'!$D$2:$D$132=$B7),'Zehnder Charleston'!$J$2:$J$132,"")</f>
        <v>1.28</v>
      </c>
      <c r="F16" s="2" cm="1">
        <f t="array" ref="F16">_xlfn.XLOOKUP(1,('Zehnder Charleston'!$B$2:$B$132=F$3)*('Zehnder Charleston'!$D$2:$D$132=$B7),'Zehnder Charleston'!$J$2:$J$132,"")</f>
        <v>1.28</v>
      </c>
      <c r="G16" s="2" cm="1">
        <f t="array" ref="G16">_xlfn.XLOOKUP(1,('Zehnder Charleston'!$B$2:$B$132=G$3)*('Zehnder Charleston'!$D$2:$D$132=$B7),'Zehnder Charleston'!$J$2:$J$132,"")</f>
        <v>1.27</v>
      </c>
      <c r="H16" s="2" cm="1">
        <f t="array" ref="H16">_xlfn.XLOOKUP(1,('Zehnder Charleston'!$B$2:$B$132=H$3)*('Zehnder Charleston'!$D$2:$D$132=$B7),'Zehnder Charleston'!$J$2:$J$132,"")</f>
        <v>1.27</v>
      </c>
      <c r="I16" s="2" cm="1">
        <f t="array" ref="I16">_xlfn.XLOOKUP(1,('Zehnder Charleston'!$B$2:$B$132=I$3)*('Zehnder Charleston'!$D$2:$D$132=$B7),'Zehnder Charleston'!$J$2:$J$132,"")</f>
        <v>1.27</v>
      </c>
      <c r="J16" s="2" cm="1">
        <f t="array" ref="J16">_xlfn.XLOOKUP(1,('Zehnder Charleston'!$B$2:$B$132=J$3)*('Zehnder Charleston'!$D$2:$D$132=$B7),'Zehnder Charleston'!$J$2:$J$132,"")</f>
        <v>1.27</v>
      </c>
      <c r="K16" s="2" cm="1">
        <f t="array" ref="K16">_xlfn.XLOOKUP(1,('Zehnder Charleston'!$B$2:$B$132=K$3)*('Zehnder Charleston'!$D$2:$D$132=$B7),'Zehnder Charleston'!$J$2:$J$132,"")</f>
        <v>1.26</v>
      </c>
      <c r="L16" s="2" cm="1">
        <f t="array" ref="L16">_xlfn.XLOOKUP(1,('Zehnder Charleston'!$B$2:$B$132=L$3)*('Zehnder Charleston'!$D$2:$D$132=$B7),'Zehnder Charleston'!$J$2:$J$132,"")</f>
        <v>1.25</v>
      </c>
      <c r="M16" s="2" cm="1">
        <f t="array" ref="M16">_xlfn.XLOOKUP(1,('Zehnder Charleston'!$B$2:$B$132=M$3)*('Zehnder Charleston'!$D$2:$D$132=$B7),'Zehnder Charleston'!$J$2:$J$132,"")</f>
        <v>1.25</v>
      </c>
      <c r="N16" s="2" cm="1">
        <f t="array" ref="N16">_xlfn.XLOOKUP(1,('Zehnder Charleston'!$B$2:$B$132=N$3)*('Zehnder Charleston'!$D$2:$D$132=$B7),'Zehnder Charleston'!$J$2:$J$132,"")</f>
        <v>1.25</v>
      </c>
      <c r="O16" s="2" cm="1">
        <f t="array" ref="O16">_xlfn.XLOOKUP(1,('Zehnder Charleston'!$B$2:$B$132=O$3)*('Zehnder Charleston'!$D$2:$D$132=$B7),'Zehnder Charleston'!$J$2:$J$132,"")</f>
        <v>1.31</v>
      </c>
      <c r="P16" s="2" cm="1">
        <f t="array" ref="P16">_xlfn.XLOOKUP(1,('Zehnder Charleston'!$B$2:$B$132=P$3)*('Zehnder Charleston'!$D$2:$D$132=$B7),'Zehnder Charleston'!$J$2:$J$132,"")</f>
        <v>1.31</v>
      </c>
      <c r="Q16" s="2" cm="1">
        <f t="array" ref="Q16">_xlfn.XLOOKUP(1,('Zehnder Charleston'!$B$2:$B$132=Q$3)*('Zehnder Charleston'!$D$2:$D$132=$B7),'Zehnder Charleston'!$J$2:$J$132,"")</f>
        <v>1.32</v>
      </c>
      <c r="R16" s="2" cm="1">
        <f t="array" ref="R16">_xlfn.XLOOKUP(1,('Zehnder Charleston'!$B$2:$B$132=R$3)*('Zehnder Charleston'!$D$2:$D$132=$B7),'Zehnder Charleston'!$J$2:$J$132,"")</f>
        <v>1.32</v>
      </c>
      <c r="S16" s="2" cm="1">
        <f t="array" ref="S16">_xlfn.XLOOKUP(1,('Zehnder Charleston'!$B$2:$B$132=S$3)*('Zehnder Charleston'!$D$2:$D$132=$B7),'Zehnder Charleston'!$J$2:$J$132,"")</f>
        <v>1.32</v>
      </c>
      <c r="T16" s="2" cm="1">
        <f t="array" ref="T16">_xlfn.XLOOKUP(1,('Zehnder Charleston'!$B$2:$B$132=T$3)*('Zehnder Charleston'!$D$2:$D$132=$B7),'Zehnder Charleston'!$J$2:$J$132,"")</f>
        <v>1.32</v>
      </c>
      <c r="U16" s="2" cm="1">
        <f t="array" ref="U16">_xlfn.XLOOKUP(1,('Zehnder Charleston'!$B$2:$B$132=U$3)*('Zehnder Charleston'!$D$2:$D$132=$B7),'Zehnder Charleston'!$J$2:$J$132,"")</f>
        <v>1.33</v>
      </c>
      <c r="V16" s="2" cm="1">
        <f t="array" ref="V16">_xlfn.XLOOKUP(1,('Zehnder Charleston'!$B$2:$B$132=V$3)*('Zehnder Charleston'!$D$2:$D$132=$B7),'Zehnder Charleston'!$J$2:$J$132,"")</f>
        <v>1.33</v>
      </c>
    </row>
    <row r="17" spans="1:28" x14ac:dyDescent="0.2">
      <c r="B17" s="2">
        <f>B8</f>
        <v>210</v>
      </c>
      <c r="C17" s="2" cm="1">
        <f t="array" ref="C17">_xlfn.XLOOKUP(1,('Zehnder Charleston'!$B$2:$B$132=C$3)*('Zehnder Charleston'!$D$2:$D$132=$B8),'Zehnder Charleston'!$J$2:$J$132,"")</f>
        <v>1.28</v>
      </c>
      <c r="D17" s="2" cm="1">
        <f t="array" ref="D17">_xlfn.XLOOKUP(1,('Zehnder Charleston'!$B$2:$B$132=D$3)*('Zehnder Charleston'!$D$2:$D$132=$B8),'Zehnder Charleston'!$J$2:$J$132,"")</f>
        <v>1.28</v>
      </c>
      <c r="E17" s="2" cm="1">
        <f t="array" ref="E17">_xlfn.XLOOKUP(1,('Zehnder Charleston'!$B$2:$B$132=E$3)*('Zehnder Charleston'!$D$2:$D$132=$B8),'Zehnder Charleston'!$J$2:$J$132,"")</f>
        <v>1.28</v>
      </c>
      <c r="F17" s="2" cm="1">
        <f t="array" ref="F17">_xlfn.XLOOKUP(1,('Zehnder Charleston'!$B$2:$B$132=F$3)*('Zehnder Charleston'!$D$2:$D$132=$B8),'Zehnder Charleston'!$J$2:$J$132,"")</f>
        <v>1.28</v>
      </c>
      <c r="G17" s="2" cm="1">
        <f t="array" ref="G17">_xlfn.XLOOKUP(1,('Zehnder Charleston'!$B$2:$B$132=G$3)*('Zehnder Charleston'!$D$2:$D$132=$B8),'Zehnder Charleston'!$J$2:$J$132,"")</f>
        <v>1.27</v>
      </c>
      <c r="H17" s="2" cm="1">
        <f t="array" ref="H17">_xlfn.XLOOKUP(1,('Zehnder Charleston'!$B$2:$B$132=H$3)*('Zehnder Charleston'!$D$2:$D$132=$B8),'Zehnder Charleston'!$J$2:$J$132,"")</f>
        <v>1.27</v>
      </c>
      <c r="I17" s="2" cm="1">
        <f t="array" ref="I17">_xlfn.XLOOKUP(1,('Zehnder Charleston'!$B$2:$B$132=I$3)*('Zehnder Charleston'!$D$2:$D$132=$B8),'Zehnder Charleston'!$J$2:$J$132,"")</f>
        <v>1.27</v>
      </c>
      <c r="J17" s="2" cm="1">
        <f t="array" ref="J17">_xlfn.XLOOKUP(1,('Zehnder Charleston'!$B$2:$B$132=J$3)*('Zehnder Charleston'!$D$2:$D$132=$B8),'Zehnder Charleston'!$J$2:$J$132,"")</f>
        <v>1.27</v>
      </c>
      <c r="K17" s="2" cm="1">
        <f t="array" ref="K17">_xlfn.XLOOKUP(1,('Zehnder Charleston'!$B$2:$B$132=K$3)*('Zehnder Charleston'!$D$2:$D$132=$B8),'Zehnder Charleston'!$J$2:$J$132,"")</f>
        <v>1.26</v>
      </c>
      <c r="L17" s="2" cm="1">
        <f t="array" ref="L17">_xlfn.XLOOKUP(1,('Zehnder Charleston'!$B$2:$B$132=L$3)*('Zehnder Charleston'!$D$2:$D$132=$B8),'Zehnder Charleston'!$J$2:$J$132,"")</f>
        <v>1.25</v>
      </c>
      <c r="M17" s="2" cm="1">
        <f t="array" ref="M17">_xlfn.XLOOKUP(1,('Zehnder Charleston'!$B$2:$B$132=M$3)*('Zehnder Charleston'!$D$2:$D$132=$B8),'Zehnder Charleston'!$J$2:$J$132,"")</f>
        <v>1.25</v>
      </c>
      <c r="N17" s="2" cm="1">
        <f t="array" ref="N17">_xlfn.XLOOKUP(1,('Zehnder Charleston'!$B$2:$B$132=N$3)*('Zehnder Charleston'!$D$2:$D$132=$B8),'Zehnder Charleston'!$J$2:$J$132,"")</f>
        <v>1.25</v>
      </c>
      <c r="O17" s="2" cm="1">
        <f t="array" ref="O17">_xlfn.XLOOKUP(1,('Zehnder Charleston'!$B$2:$B$132=O$3)*('Zehnder Charleston'!$D$2:$D$132=$B8),'Zehnder Charleston'!$J$2:$J$132,"")</f>
        <v>1.25</v>
      </c>
      <c r="P17" s="2" cm="1">
        <f t="array" ref="P17">_xlfn.XLOOKUP(1,('Zehnder Charleston'!$B$2:$B$132=P$3)*('Zehnder Charleston'!$D$2:$D$132=$B8),'Zehnder Charleston'!$J$2:$J$132,"")</f>
        <v>1.31</v>
      </c>
      <c r="Q17" s="2" cm="1">
        <f t="array" ref="Q17">_xlfn.XLOOKUP(1,('Zehnder Charleston'!$B$2:$B$132=Q$3)*('Zehnder Charleston'!$D$2:$D$132=$B8),'Zehnder Charleston'!$J$2:$J$132,"")</f>
        <v>1.32</v>
      </c>
      <c r="R17" s="2" cm="1">
        <f t="array" ref="R17">_xlfn.XLOOKUP(1,('Zehnder Charleston'!$B$2:$B$132=R$3)*('Zehnder Charleston'!$D$2:$D$132=$B8),'Zehnder Charleston'!$J$2:$J$132,"")</f>
        <v>1.32</v>
      </c>
      <c r="S17" s="2" cm="1">
        <f t="array" ref="S17">_xlfn.XLOOKUP(1,('Zehnder Charleston'!$B$2:$B$132=S$3)*('Zehnder Charleston'!$D$2:$D$132=$B8),'Zehnder Charleston'!$J$2:$J$132,"")</f>
        <v>1.32</v>
      </c>
      <c r="T17" s="2" cm="1">
        <f t="array" ref="T17">_xlfn.XLOOKUP(1,('Zehnder Charleston'!$B$2:$B$132=T$3)*('Zehnder Charleston'!$D$2:$D$132=$B8),'Zehnder Charleston'!$J$2:$J$132,"")</f>
        <v>1.32</v>
      </c>
      <c r="U17" s="2" cm="1">
        <f t="array" ref="U17">_xlfn.XLOOKUP(1,('Zehnder Charleston'!$B$2:$B$132=U$3)*('Zehnder Charleston'!$D$2:$D$132=$B8),'Zehnder Charleston'!$J$2:$J$132,"")</f>
        <v>1.33</v>
      </c>
      <c r="V17" s="2" cm="1">
        <f t="array" ref="V17">_xlfn.XLOOKUP(1,('Zehnder Charleston'!$B$2:$B$132=V$3)*('Zehnder Charleston'!$D$2:$D$132=$B8),'Zehnder Charleston'!$J$2:$J$132,"")</f>
        <v>1.33</v>
      </c>
    </row>
    <row r="18" spans="1:28" x14ac:dyDescent="0.2">
      <c r="M18"/>
      <c r="N18"/>
      <c r="O18"/>
      <c r="P18"/>
      <c r="Q18"/>
    </row>
    <row r="19" spans="1:28" ht="26.25" x14ac:dyDescent="0.25">
      <c r="A19" s="57" t="s">
        <v>151</v>
      </c>
      <c r="C19" s="4" t="s">
        <v>2</v>
      </c>
      <c r="M19"/>
      <c r="N19"/>
      <c r="O19"/>
      <c r="P19"/>
      <c r="Q19"/>
    </row>
    <row r="20" spans="1:28" ht="12.75" customHeight="1" x14ac:dyDescent="0.2">
      <c r="A20" s="1" t="s">
        <v>152</v>
      </c>
      <c r="B20" s="1"/>
      <c r="C20" s="164">
        <v>260</v>
      </c>
      <c r="D20" s="164">
        <v>292</v>
      </c>
      <c r="E20" s="164">
        <v>342</v>
      </c>
      <c r="F20" s="164">
        <v>392</v>
      </c>
      <c r="G20" s="164">
        <v>442</v>
      </c>
      <c r="H20" s="164">
        <v>492</v>
      </c>
      <c r="I20" s="164">
        <v>542</v>
      </c>
      <c r="J20" s="164">
        <v>592</v>
      </c>
      <c r="K20" s="164">
        <v>742</v>
      </c>
      <c r="L20" s="164">
        <v>892</v>
      </c>
      <c r="M20" s="164">
        <v>992</v>
      </c>
      <c r="N20" s="164">
        <v>1092</v>
      </c>
      <c r="O20" s="164">
        <v>1192</v>
      </c>
      <c r="P20" s="164">
        <v>1492</v>
      </c>
      <c r="Q20" s="164">
        <v>1792</v>
      </c>
      <c r="R20" s="165">
        <v>1992</v>
      </c>
      <c r="S20" s="165">
        <v>2192</v>
      </c>
      <c r="T20" s="165">
        <v>2492</v>
      </c>
      <c r="U20" s="165">
        <v>2792</v>
      </c>
      <c r="V20" s="165">
        <v>2992</v>
      </c>
    </row>
    <row r="21" spans="1:28" ht="12.75" customHeight="1" x14ac:dyDescent="0.2">
      <c r="A21" s="1"/>
      <c r="C21" s="5">
        <f t="shared" ref="C21:V21" si="1">C$3</f>
        <v>260</v>
      </c>
      <c r="D21" s="5">
        <f t="shared" si="1"/>
        <v>300</v>
      </c>
      <c r="E21" s="5">
        <f t="shared" si="1"/>
        <v>350</v>
      </c>
      <c r="F21" s="5">
        <f t="shared" si="1"/>
        <v>400</v>
      </c>
      <c r="G21" s="5">
        <f t="shared" si="1"/>
        <v>450</v>
      </c>
      <c r="H21" s="5">
        <f t="shared" si="1"/>
        <v>500</v>
      </c>
      <c r="I21" s="5">
        <f t="shared" si="1"/>
        <v>550</v>
      </c>
      <c r="J21" s="5">
        <f t="shared" si="1"/>
        <v>600</v>
      </c>
      <c r="K21" s="5">
        <f t="shared" si="1"/>
        <v>750</v>
      </c>
      <c r="L21" s="5">
        <f t="shared" si="1"/>
        <v>900</v>
      </c>
      <c r="M21" s="5">
        <f t="shared" si="1"/>
        <v>1000</v>
      </c>
      <c r="N21" s="5">
        <f t="shared" si="1"/>
        <v>1100</v>
      </c>
      <c r="O21" s="5">
        <f t="shared" si="1"/>
        <v>1200</v>
      </c>
      <c r="P21" s="5">
        <f t="shared" si="1"/>
        <v>1500</v>
      </c>
      <c r="Q21" s="5">
        <f t="shared" si="1"/>
        <v>1800</v>
      </c>
      <c r="R21" s="5">
        <f t="shared" si="1"/>
        <v>2000</v>
      </c>
      <c r="S21" s="5">
        <f t="shared" si="1"/>
        <v>2200</v>
      </c>
      <c r="T21" s="5">
        <f t="shared" si="1"/>
        <v>2500</v>
      </c>
      <c r="U21" s="5">
        <f t="shared" si="1"/>
        <v>2800</v>
      </c>
      <c r="V21" s="5">
        <f t="shared" si="1"/>
        <v>3000</v>
      </c>
    </row>
    <row r="22" spans="1:28" ht="13.5" customHeight="1" x14ac:dyDescent="0.25">
      <c r="A22" s="4" t="s">
        <v>3</v>
      </c>
      <c r="B22" s="2">
        <f>B4</f>
        <v>62</v>
      </c>
      <c r="C22" s="2" cm="1">
        <f t="array" ref="C22">_xlfn.XLOOKUP(1,('Zehnder Charleston'!$B$2:$B$132=C$3)*('Zehnder Charleston'!$D$2:$D$132=$B4),'Zehnder Charleston'!$G$2:$G$132,"")</f>
        <v>0.4</v>
      </c>
      <c r="D22" s="2" cm="1">
        <f t="array" ref="D22">_xlfn.XLOOKUP(1,('Zehnder Charleston'!$B$2:$B$132=D$2)*('Zehnder Charleston'!$D$2:$D$132=$B4),'Zehnder Charleston'!$G$2:$G$132,"")</f>
        <v>0.44</v>
      </c>
      <c r="E22" s="2" cm="1">
        <f t="array" ref="E22">_xlfn.XLOOKUP(1,('Zehnder Charleston'!$B$2:$B$132=E$2)*('Zehnder Charleston'!$D$2:$D$132=$B4),'Zehnder Charleston'!$G$2:$G$132,"")</f>
        <v>0.51</v>
      </c>
      <c r="F22" s="2" cm="1">
        <f t="array" ref="F22">_xlfn.XLOOKUP(1,('Zehnder Charleston'!$B$2:$B$132=F$2)*('Zehnder Charleston'!$D$2:$D$132=$B4),'Zehnder Charleston'!$G$2:$G$132,"")</f>
        <v>0.55000000000000004</v>
      </c>
      <c r="G22" s="2" cm="1">
        <f t="array" ref="G22">_xlfn.XLOOKUP(1,('Zehnder Charleston'!$B$2:$B$132=G$2)*('Zehnder Charleston'!$D$2:$D$132=$B4),'Zehnder Charleston'!$G$2:$G$132,"")</f>
        <v>0.62</v>
      </c>
      <c r="H22" s="2" cm="1">
        <f t="array" ref="H22">_xlfn.XLOOKUP(1,('Zehnder Charleston'!$B$2:$B$132=H$2)*('Zehnder Charleston'!$D$2:$D$132=$B4),'Zehnder Charleston'!$G$2:$G$132,"")</f>
        <v>0.69</v>
      </c>
      <c r="I22" s="2" cm="1">
        <f t="array" ref="I22">_xlfn.XLOOKUP(1,('Zehnder Charleston'!$B$2:$B$132=I$2)*('Zehnder Charleston'!$D$2:$D$132=$B4),'Zehnder Charleston'!$G$2:$G$132,"")</f>
        <v>0.75</v>
      </c>
      <c r="J22" s="2" cm="1">
        <f t="array" ref="J22">_xlfn.XLOOKUP(1,('Zehnder Charleston'!$B$2:$B$132=J$2)*('Zehnder Charleston'!$D$2:$D$132=$B4),'Zehnder Charleston'!$G$2:$G$132,"")</f>
        <v>0.82</v>
      </c>
      <c r="K22" s="2" cm="1">
        <f t="array" ref="K22">_xlfn.XLOOKUP(1,('Zehnder Charleston'!$B$2:$B$132=K$2)*('Zehnder Charleston'!$D$2:$D$132=$B4),'Zehnder Charleston'!$G$2:$G$132,"")</f>
        <v>1.01</v>
      </c>
      <c r="L22" s="2" cm="1">
        <f t="array" ref="L22">_xlfn.XLOOKUP(1,('Zehnder Charleston'!$B$2:$B$132=L$2)*('Zehnder Charleston'!$D$2:$D$132=$B4),'Zehnder Charleston'!$G$2:$G$132,"")</f>
        <v>1.21</v>
      </c>
      <c r="M22" s="2" cm="1">
        <f t="array" ref="M22">_xlfn.XLOOKUP(1,('Zehnder Charleston'!$B$2:$B$132=M$2)*('Zehnder Charleston'!$D$2:$D$132=$B4),'Zehnder Charleston'!$G$2:$G$132,"")</f>
        <v>1.34</v>
      </c>
      <c r="N22" s="2" cm="1">
        <f t="array" ref="N22">_xlfn.XLOOKUP(1,('Zehnder Charleston'!$B$2:$B$132=N$2)*('Zehnder Charleston'!$D$2:$D$132=$B4),'Zehnder Charleston'!$G$2:$G$132,"")</f>
        <v>1.47</v>
      </c>
      <c r="O22" s="2" cm="1">
        <f t="array" ref="O22">_xlfn.XLOOKUP(1,('Zehnder Charleston'!$B$2:$B$132=O$2)*('Zehnder Charleston'!$D$2:$D$132=$B4),'Zehnder Charleston'!$G$2:$G$132,"")</f>
        <v>1.6</v>
      </c>
      <c r="P22" s="2" cm="1">
        <f t="array" ref="P22">_xlfn.XLOOKUP(1,('Zehnder Charleston'!$B$2:$B$132=P$2)*('Zehnder Charleston'!$D$2:$D$132=$B4),'Zehnder Charleston'!$G$2:$G$132,"")</f>
        <v>2</v>
      </c>
      <c r="Q22" s="2" cm="1">
        <f t="array" ref="Q22">_xlfn.XLOOKUP(1,('Zehnder Charleston'!$B$2:$B$132=Q$2)*('Zehnder Charleston'!$D$2:$D$132=$B4),'Zehnder Charleston'!$G$2:$G$132,"")</f>
        <v>2.39</v>
      </c>
      <c r="R22" s="2" cm="1">
        <f t="array" ref="R22">_xlfn.XLOOKUP(1,('Zehnder Charleston'!$B$2:$B$132=R$2)*('Zehnder Charleston'!$D$2:$D$132=$B4),'Zehnder Charleston'!$G$2:$G$132,"")</f>
        <v>2.65</v>
      </c>
      <c r="S22" s="2" cm="1">
        <f t="array" ref="S22">_xlfn.XLOOKUP(1,('Zehnder Charleston'!$B$2:$B$132=S$2)*('Zehnder Charleston'!$D$2:$D$132=$B4),'Zehnder Charleston'!$G$2:$G$132,"")</f>
        <v>2.92</v>
      </c>
      <c r="T22" s="2" cm="1">
        <f t="array" ref="T22">_xlfn.XLOOKUP(1,('Zehnder Charleston'!$B$2:$B$132=T$2)*('Zehnder Charleston'!$D$2:$D$132=$B4),'Zehnder Charleston'!$G$2:$G$132,"")</f>
        <v>3.31</v>
      </c>
      <c r="U22" s="2" cm="1">
        <f t="array" ref="U22">_xlfn.XLOOKUP(1,('Zehnder Charleston'!$B$2:$B$132=U$2)*('Zehnder Charleston'!$D$2:$D$132=$B4),'Zehnder Charleston'!$G$2:$G$132,"")</f>
        <v>3.7</v>
      </c>
      <c r="V22" s="2" cm="1">
        <f t="array" ref="V22">_xlfn.XLOOKUP(1,('Zehnder Charleston'!$B$2:$B$132=V$2)*('Zehnder Charleston'!$D$2:$D$132=$B4),'Zehnder Charleston'!$G$2:$G$132,"")</f>
        <v>3.97</v>
      </c>
      <c r="AB22" s="2" t="str" cm="1">
        <f t="array" ref="AB22">_xlfn.XLOOKUP(1,('Zehnder Charleston'!$B$2:$B$138=V$3)*('Zehnder Charleston'!$D$2:$D$138=$B4),'Zehnder Charleston'!$G$2:$G$138,"")</f>
        <v/>
      </c>
    </row>
    <row r="23" spans="1:28" ht="12.75" customHeight="1" x14ac:dyDescent="0.2">
      <c r="B23" s="2">
        <f>B5</f>
        <v>100</v>
      </c>
      <c r="C23" s="2" cm="1">
        <f t="array" ref="C23">_xlfn.XLOOKUP(1,('Zehnder Charleston'!$B$2:$B$132=C$3)*('Zehnder Charleston'!$D$2:$D$132=$B5),'Zehnder Charleston'!$G$2:$G$132,"")</f>
        <v>0.56000000000000005</v>
      </c>
      <c r="D23" s="2" cm="1">
        <f t="array" ref="D23">_xlfn.XLOOKUP(1,('Zehnder Charleston'!$B$2:$B$132=D$3)*('Zehnder Charleston'!$D$2:$D$132=$B5),'Zehnder Charleston'!$G$2:$G$132,"")</f>
        <v>0.63</v>
      </c>
      <c r="E23" s="2" cm="1">
        <f t="array" ref="E23">_xlfn.XLOOKUP(1,('Zehnder Charleston'!$B$2:$B$132=E$3)*('Zehnder Charleston'!$D$2:$D$132=$B5),'Zehnder Charleston'!$G$2:$G$132,"")</f>
        <v>0.73</v>
      </c>
      <c r="F23" s="2" cm="1">
        <f t="array" ref="F23">_xlfn.XLOOKUP(1,('Zehnder Charleston'!$B$2:$B$132=F$3)*('Zehnder Charleston'!$D$2:$D$132=$B5),'Zehnder Charleston'!$G$2:$G$132,"")</f>
        <v>0.83</v>
      </c>
      <c r="G23" s="2" cm="1">
        <f t="array" ref="G23">_xlfn.XLOOKUP(1,('Zehnder Charleston'!$B$2:$B$132=G$3)*('Zehnder Charleston'!$D$2:$D$132=$B5),'Zehnder Charleston'!$G$2:$G$132,"")</f>
        <v>0.93</v>
      </c>
      <c r="H23" s="2" cm="1">
        <f t="array" ref="H23">_xlfn.XLOOKUP(1,('Zehnder Charleston'!$B$2:$B$132=H$3)*('Zehnder Charleston'!$D$2:$D$132=$B5),'Zehnder Charleston'!$G$2:$G$132,"")</f>
        <v>1.03</v>
      </c>
      <c r="I23" s="2" cm="1">
        <f t="array" ref="I23">_xlfn.XLOOKUP(1,('Zehnder Charleston'!$B$2:$B$132=I$3)*('Zehnder Charleston'!$D$2:$D$132=$B5),'Zehnder Charleston'!$G$2:$G$132,"")</f>
        <v>1.1299999999999999</v>
      </c>
      <c r="J23" s="2" cm="1">
        <f t="array" ref="J23">_xlfn.XLOOKUP(1,('Zehnder Charleston'!$B$2:$B$132=J$3)*('Zehnder Charleston'!$D$2:$D$132=$B5),'Zehnder Charleston'!$G$2:$G$132,"")</f>
        <v>1.23</v>
      </c>
      <c r="K23" s="2" cm="1">
        <f t="array" ref="K23">_xlfn.XLOOKUP(1,('Zehnder Charleston'!$B$2:$B$132=K$3)*('Zehnder Charleston'!$D$2:$D$132=$B5),'Zehnder Charleston'!$G$2:$G$132,"")</f>
        <v>1.52</v>
      </c>
      <c r="L23" s="2" cm="1">
        <f t="array" ref="L23">_xlfn.XLOOKUP(1,('Zehnder Charleston'!$B$2:$B$132=L$3)*('Zehnder Charleston'!$D$2:$D$132=$B5),'Zehnder Charleston'!$G$2:$G$132,"")</f>
        <v>1.81</v>
      </c>
      <c r="M23" s="2" cm="1">
        <f t="array" ref="M23">_xlfn.XLOOKUP(1,('Zehnder Charleston'!$B$2:$B$132=M$3)*('Zehnder Charleston'!$D$2:$D$132=$B5),'Zehnder Charleston'!$G$2:$G$132,"")</f>
        <v>2.0099999999999998</v>
      </c>
      <c r="N23" s="2" cm="1">
        <f t="array" ref="N23">_xlfn.XLOOKUP(1,('Zehnder Charleston'!$B$2:$B$132=N$3)*('Zehnder Charleston'!$D$2:$D$132=$B5),'Zehnder Charleston'!$G$2:$G$132,"")</f>
        <v>2.21</v>
      </c>
      <c r="O23" s="2" cm="1">
        <f t="array" ref="O23">_xlfn.XLOOKUP(1,('Zehnder Charleston'!$B$2:$B$132=O$3)*('Zehnder Charleston'!$D$2:$D$132=$B5),'Zehnder Charleston'!$G$2:$G$132,"")</f>
        <v>2.4</v>
      </c>
      <c r="P23" s="2" cm="1">
        <f t="array" ref="P23">_xlfn.XLOOKUP(1,('Zehnder Charleston'!$B$2:$B$132=P$3)*('Zehnder Charleston'!$D$2:$D$132=$B5),'Zehnder Charleston'!$G$2:$G$132,"")</f>
        <v>2.99</v>
      </c>
      <c r="Q23" s="2" cm="1">
        <f t="array" ref="Q23">_xlfn.XLOOKUP(1,('Zehnder Charleston'!$B$2:$B$132=Q$3)*('Zehnder Charleston'!$D$2:$D$132=$B5),'Zehnder Charleston'!$G$2:$G$132,"")</f>
        <v>3.58</v>
      </c>
      <c r="R23" s="2" cm="1">
        <f t="array" ref="R23">_xlfn.XLOOKUP(1,('Zehnder Charleston'!$B$2:$B$132=R$3)*('Zehnder Charleston'!$D$2:$D$132=$B5),'Zehnder Charleston'!$G$2:$G$132,"")</f>
        <v>3.97</v>
      </c>
      <c r="S23" s="2" cm="1">
        <f t="array" ref="S23">_xlfn.XLOOKUP(1,('Zehnder Charleston'!$B$2:$B$132=S$3)*('Zehnder Charleston'!$D$2:$D$132=$B5),'Zehnder Charleston'!$G$2:$G$132,"")</f>
        <v>4.3600000000000003</v>
      </c>
      <c r="T23" s="2" cm="1">
        <f t="array" ref="T23">_xlfn.XLOOKUP(1,('Zehnder Charleston'!$B$2:$B$132=T$3)*('Zehnder Charleston'!$D$2:$D$132=$B5),'Zehnder Charleston'!$G$2:$G$132,"")</f>
        <v>4.95</v>
      </c>
      <c r="U23" s="2" cm="1">
        <f t="array" ref="U23">_xlfn.XLOOKUP(1,('Zehnder Charleston'!$B$2:$B$132=U$3)*('Zehnder Charleston'!$D$2:$D$132=$B5),'Zehnder Charleston'!$G$2:$G$132,"")</f>
        <v>5.54</v>
      </c>
      <c r="V23" s="2" cm="1">
        <f t="array" ref="V23">_xlfn.XLOOKUP(1,('Zehnder Charleston'!$B$2:$B$132=V$3)*('Zehnder Charleston'!$D$2:$D$132=$B5),'Zehnder Charleston'!$G$2:$G$132,"")</f>
        <v>5.93</v>
      </c>
    </row>
    <row r="24" spans="1:28" ht="12.75" customHeight="1" x14ac:dyDescent="0.2">
      <c r="B24" s="2">
        <f>B6</f>
        <v>136</v>
      </c>
      <c r="C24" s="2" cm="1">
        <f t="array" ref="C24">_xlfn.XLOOKUP(1,('Zehnder Charleston'!$B$2:$B$132=C$3)*('Zehnder Charleston'!$D$2:$D$132=$B6),'Zehnder Charleston'!$G$2:$G$132,"")</f>
        <v>0.77</v>
      </c>
      <c r="D24" s="2" cm="1">
        <f t="array" ref="D24">_xlfn.XLOOKUP(1,('Zehnder Charleston'!$B$2:$B$132=D$3)*('Zehnder Charleston'!$D$2:$D$132=$B6),'Zehnder Charleston'!$G$2:$G$132,"")</f>
        <v>0.88</v>
      </c>
      <c r="E24" s="2" cm="1">
        <f t="array" ref="E24">_xlfn.XLOOKUP(1,('Zehnder Charleston'!$B$2:$B$132=E$3)*('Zehnder Charleston'!$D$2:$D$132=$B6),'Zehnder Charleston'!$G$2:$G$132,"")</f>
        <v>1.01</v>
      </c>
      <c r="F24" s="2" cm="1">
        <f t="array" ref="F24">_xlfn.XLOOKUP(1,('Zehnder Charleston'!$B$2:$B$132=F$3)*('Zehnder Charleston'!$D$2:$D$132=$B6),'Zehnder Charleston'!$G$2:$G$132,"")</f>
        <v>1.1599999999999999</v>
      </c>
      <c r="G24" s="2" cm="1">
        <f t="array" ref="G24">_xlfn.XLOOKUP(1,('Zehnder Charleston'!$B$2:$B$132=G$3)*('Zehnder Charleston'!$D$2:$D$132=$B6),'Zehnder Charleston'!$G$2:$G$132,"")</f>
        <v>1.29</v>
      </c>
      <c r="H24" s="2" cm="1">
        <f t="array" ref="H24">_xlfn.XLOOKUP(1,('Zehnder Charleston'!$B$2:$B$132=H$3)*('Zehnder Charleston'!$D$2:$D$132=$B6),'Zehnder Charleston'!$G$2:$G$132,"")</f>
        <v>1.42</v>
      </c>
      <c r="I24" s="2" cm="1">
        <f t="array" ref="I24">_xlfn.XLOOKUP(1,('Zehnder Charleston'!$B$2:$B$132=I$3)*('Zehnder Charleston'!$D$2:$D$132=$B6),'Zehnder Charleston'!$G$2:$G$132,"")</f>
        <v>1.55</v>
      </c>
      <c r="J24" s="2" cm="1">
        <f t="array" ref="J24">_xlfn.XLOOKUP(1,('Zehnder Charleston'!$B$2:$B$132=J$3)*('Zehnder Charleston'!$D$2:$D$132=$B6),'Zehnder Charleston'!$G$2:$G$132,"")</f>
        <v>1.67</v>
      </c>
      <c r="K24" s="2" cm="1">
        <f t="array" ref="K24">_xlfn.XLOOKUP(1,('Zehnder Charleston'!$B$2:$B$132=K$3)*('Zehnder Charleston'!$D$2:$D$132=$B6),'Zehnder Charleston'!$G$2:$G$132,"")</f>
        <v>2.06</v>
      </c>
      <c r="L24" s="2" cm="1">
        <f t="array" ref="L24">_xlfn.XLOOKUP(1,('Zehnder Charleston'!$B$2:$B$132=L$3)*('Zehnder Charleston'!$D$2:$D$132=$B6),'Zehnder Charleston'!$G$2:$G$132,"")</f>
        <v>2.4500000000000002</v>
      </c>
      <c r="M24" s="2" cm="1">
        <f t="array" ref="M24">_xlfn.XLOOKUP(1,('Zehnder Charleston'!$B$2:$B$132=M$3)*('Zehnder Charleston'!$D$2:$D$132=$B6),'Zehnder Charleston'!$G$2:$G$132,"")</f>
        <v>2.7</v>
      </c>
      <c r="N24" s="2" cm="1">
        <f t="array" ref="N24">_xlfn.XLOOKUP(1,('Zehnder Charleston'!$B$2:$B$132=N$3)*('Zehnder Charleston'!$D$2:$D$132=$B6),'Zehnder Charleston'!$G$2:$G$132,"")</f>
        <v>2.96</v>
      </c>
      <c r="O24" s="2" cm="1">
        <f t="array" ref="O24">_xlfn.XLOOKUP(1,('Zehnder Charleston'!$B$2:$B$132=O$3)*('Zehnder Charleston'!$D$2:$D$132=$B6),'Zehnder Charleston'!$G$2:$G$132,"")</f>
        <v>3.22</v>
      </c>
      <c r="P24" s="2" cm="1">
        <f t="array" ref="P24">_xlfn.XLOOKUP(1,('Zehnder Charleston'!$B$2:$B$132=P$3)*('Zehnder Charleston'!$D$2:$D$132=$B6),'Zehnder Charleston'!$G$2:$G$132,"")</f>
        <v>3.99</v>
      </c>
      <c r="Q24" s="2" cm="1">
        <f t="array" ref="Q24">_xlfn.XLOOKUP(1,('Zehnder Charleston'!$B$2:$B$132=Q$3)*('Zehnder Charleston'!$D$2:$D$132=$B6),'Zehnder Charleston'!$G$2:$G$132,"")</f>
        <v>4.76</v>
      </c>
      <c r="R24" s="2" cm="1">
        <f t="array" ref="R24">_xlfn.XLOOKUP(1,('Zehnder Charleston'!$B$2:$B$132=R$3)*('Zehnder Charleston'!$D$2:$D$132=$B6),'Zehnder Charleston'!$G$2:$G$132,"")</f>
        <v>5.28</v>
      </c>
      <c r="S24" s="2" cm="1">
        <f t="array" ref="S24">_xlfn.XLOOKUP(1,('Zehnder Charleston'!$B$2:$B$132=S$3)*('Zehnder Charleston'!$D$2:$D$132=$B6),'Zehnder Charleston'!$G$2:$G$132,"")</f>
        <v>5.79</v>
      </c>
      <c r="T24" s="2" cm="1">
        <f t="array" ref="T24">_xlfn.XLOOKUP(1,('Zehnder Charleston'!$B$2:$B$132=T$3)*('Zehnder Charleston'!$D$2:$D$132=$B6),'Zehnder Charleston'!$G$2:$G$132,"")</f>
        <v>6.56</v>
      </c>
      <c r="U24" s="2" cm="1">
        <f t="array" ref="U24">_xlfn.XLOOKUP(1,('Zehnder Charleston'!$B$2:$B$132=U$3)*('Zehnder Charleston'!$D$2:$D$132=$B6),'Zehnder Charleston'!$G$2:$G$132,"")</f>
        <v>7.33</v>
      </c>
      <c r="V24" s="2" cm="1">
        <f t="array" ref="V24">_xlfn.XLOOKUP(1,('Zehnder Charleston'!$B$2:$B$132=V$3)*('Zehnder Charleston'!$D$2:$D$132=$B6),'Zehnder Charleston'!$G$2:$G$132,"")</f>
        <v>7.85</v>
      </c>
    </row>
    <row r="25" spans="1:28" ht="12.75" customHeight="1" x14ac:dyDescent="0.2">
      <c r="B25" s="2">
        <f>B7</f>
        <v>173</v>
      </c>
      <c r="C25" s="2" cm="1">
        <f t="array" ref="C25">_xlfn.XLOOKUP(1,('Zehnder Charleston'!$B$2:$B$132=C$3)*('Zehnder Charleston'!$D$2:$D$132=$B7),'Zehnder Charleston'!$G$2:$G$132,"")</f>
        <v>0.88</v>
      </c>
      <c r="D25" s="2" cm="1">
        <f t="array" ref="D25">_xlfn.XLOOKUP(1,('Zehnder Charleston'!$B$2:$B$132=D$3)*('Zehnder Charleston'!$D$2:$D$132=$B7),'Zehnder Charleston'!$G$2:$G$132,"")</f>
        <v>1.01</v>
      </c>
      <c r="E25" s="2" cm="1">
        <f t="array" ref="E25">_xlfn.XLOOKUP(1,('Zehnder Charleston'!$B$2:$B$132=E$3)*('Zehnder Charleston'!$D$2:$D$132=$B7),'Zehnder Charleston'!$G$2:$G$132,"")</f>
        <v>1.18</v>
      </c>
      <c r="F25" s="2" cm="1">
        <f t="array" ref="F25">_xlfn.XLOOKUP(1,('Zehnder Charleston'!$B$2:$B$132=F$3)*('Zehnder Charleston'!$D$2:$D$132=$B7),'Zehnder Charleston'!$G$2:$G$132,"")</f>
        <v>1.51</v>
      </c>
      <c r="G25" s="2" cm="1">
        <f t="array" ref="G25">_xlfn.XLOOKUP(1,('Zehnder Charleston'!$B$2:$B$132=G$3)*('Zehnder Charleston'!$D$2:$D$132=$B7),'Zehnder Charleston'!$G$2:$G$132,"")</f>
        <v>1.67</v>
      </c>
      <c r="H25" s="2" cm="1">
        <f t="array" ref="H25">_xlfn.XLOOKUP(1,('Zehnder Charleston'!$B$2:$B$132=H$3)*('Zehnder Charleston'!$D$2:$D$132=$B7),'Zehnder Charleston'!$G$2:$G$132,"")</f>
        <v>1.83</v>
      </c>
      <c r="I25" s="2" cm="1">
        <f t="array" ref="I25">_xlfn.XLOOKUP(1,('Zehnder Charleston'!$B$2:$B$132=I$3)*('Zehnder Charleston'!$D$2:$D$132=$B7),'Zehnder Charleston'!$G$2:$G$132,"")</f>
        <v>2</v>
      </c>
      <c r="J25" s="2" cm="1">
        <f t="array" ref="J25">_xlfn.XLOOKUP(1,('Zehnder Charleston'!$B$2:$B$132=J$3)*('Zehnder Charleston'!$D$2:$D$132=$B7),'Zehnder Charleston'!$G$2:$G$132,"")</f>
        <v>2.16</v>
      </c>
      <c r="K25" s="2" cm="1">
        <f t="array" ref="K25">_xlfn.XLOOKUP(1,('Zehnder Charleston'!$B$2:$B$132=K$3)*('Zehnder Charleston'!$D$2:$D$132=$B7),'Zehnder Charleston'!$G$2:$G$132,"")</f>
        <v>2.65</v>
      </c>
      <c r="L25" s="2" cm="1">
        <f t="array" ref="L25">_xlfn.XLOOKUP(1,('Zehnder Charleston'!$B$2:$B$132=L$3)*('Zehnder Charleston'!$D$2:$D$132=$B7),'Zehnder Charleston'!$G$2:$G$132,"")</f>
        <v>3.14</v>
      </c>
      <c r="M25" s="2" cm="1">
        <f t="array" ref="M25">_xlfn.XLOOKUP(1,('Zehnder Charleston'!$B$2:$B$132=M$3)*('Zehnder Charleston'!$D$2:$D$132=$B7),'Zehnder Charleston'!$G$2:$G$132,"")</f>
        <v>3.47</v>
      </c>
      <c r="N25" s="2" cm="1">
        <f t="array" ref="N25">_xlfn.XLOOKUP(1,('Zehnder Charleston'!$B$2:$B$132=N$3)*('Zehnder Charleston'!$D$2:$D$132=$B7),'Zehnder Charleston'!$G$2:$G$132,"")</f>
        <v>3.79</v>
      </c>
      <c r="O25" s="2" cm="1">
        <f t="array" ref="O25">_xlfn.XLOOKUP(1,('Zehnder Charleston'!$B$2:$B$132=O$3)*('Zehnder Charleston'!$D$2:$D$132=$B7),'Zehnder Charleston'!$G$2:$G$132,"")</f>
        <v>4.12</v>
      </c>
      <c r="P25" s="2" cm="1">
        <f t="array" ref="P25">_xlfn.XLOOKUP(1,('Zehnder Charleston'!$B$2:$B$132=P$3)*('Zehnder Charleston'!$D$2:$D$132=$B7),'Zehnder Charleston'!$G$2:$G$132,"")</f>
        <v>5.0999999999999996</v>
      </c>
      <c r="Q25" s="2" cm="1">
        <f t="array" ref="Q25">_xlfn.XLOOKUP(1,('Zehnder Charleston'!$B$2:$B$132=Q$3)*('Zehnder Charleston'!$D$2:$D$132=$B7),'Zehnder Charleston'!$G$2:$G$132,"")</f>
        <v>6.08</v>
      </c>
      <c r="R25" s="2" cm="1">
        <f t="array" ref="R25">_xlfn.XLOOKUP(1,('Zehnder Charleston'!$B$2:$B$132=R$3)*('Zehnder Charleston'!$D$2:$D$132=$B7),'Zehnder Charleston'!$G$2:$G$132,"")</f>
        <v>6.73</v>
      </c>
      <c r="S25" s="2" cm="1">
        <f t="array" ref="S25">_xlfn.XLOOKUP(1,('Zehnder Charleston'!$B$2:$B$132=S$3)*('Zehnder Charleston'!$D$2:$D$132=$B7),'Zehnder Charleston'!$G$2:$G$132,"")</f>
        <v>7.39</v>
      </c>
      <c r="T25" s="2" cm="1">
        <f t="array" ref="T25">_xlfn.XLOOKUP(1,('Zehnder Charleston'!$B$2:$B$132=T$3)*('Zehnder Charleston'!$D$2:$D$132=$B7),'Zehnder Charleston'!$G$2:$G$132,"")</f>
        <v>8.3699999999999992</v>
      </c>
      <c r="U25" s="2" cm="1">
        <f t="array" ref="U25">_xlfn.XLOOKUP(1,('Zehnder Charleston'!$B$2:$B$132=U$3)*('Zehnder Charleston'!$D$2:$D$132=$B7),'Zehnder Charleston'!$G$2:$G$132,"")</f>
        <v>9.35</v>
      </c>
      <c r="V25" s="2" cm="1">
        <f t="array" ref="V25">_xlfn.XLOOKUP(1,('Zehnder Charleston'!$B$2:$B$132=V$3)*('Zehnder Charleston'!$D$2:$D$132=$B7),'Zehnder Charleston'!$G$2:$G$132,"")</f>
        <v>10</v>
      </c>
    </row>
    <row r="26" spans="1:28" x14ac:dyDescent="0.2">
      <c r="B26" s="2">
        <f>B8</f>
        <v>210</v>
      </c>
      <c r="C26" s="2" cm="1">
        <f t="array" ref="C26">_xlfn.XLOOKUP(1,('Zehnder Charleston'!$B$2:$B$132=C$3)*('Zehnder Charleston'!$D$2:$D$132=$B8),'Zehnder Charleston'!$G$2:$G$132,"")</f>
        <v>1.26</v>
      </c>
      <c r="D26" s="2" cm="1">
        <f t="array" ref="D26">_xlfn.XLOOKUP(1,('Zehnder Charleston'!$B$2:$B$132=D$3)*('Zehnder Charleston'!$D$2:$D$132=$B8),'Zehnder Charleston'!$G$2:$G$132,"")</f>
        <v>1.42</v>
      </c>
      <c r="E26" s="2" cm="1">
        <f t="array" ref="E26">_xlfn.XLOOKUP(1,('Zehnder Charleston'!$B$2:$B$132=E$3)*('Zehnder Charleston'!$D$2:$D$132=$B8),'Zehnder Charleston'!$G$2:$G$132,"")</f>
        <v>1.62</v>
      </c>
      <c r="F26" s="2" cm="1">
        <f t="array" ref="F26">_xlfn.XLOOKUP(1,('Zehnder Charleston'!$B$2:$B$132=F$3)*('Zehnder Charleston'!$D$2:$D$132=$B8),'Zehnder Charleston'!$G$2:$G$132,"")</f>
        <v>1.79</v>
      </c>
      <c r="G26" s="2" cm="1">
        <f t="array" ref="G26">_xlfn.XLOOKUP(1,('Zehnder Charleston'!$B$2:$B$132=G$3)*('Zehnder Charleston'!$D$2:$D$132=$B8),'Zehnder Charleston'!$G$2:$G$132,"")</f>
        <v>1.99</v>
      </c>
      <c r="H26" s="2" cm="1">
        <f t="array" ref="H26">_xlfn.XLOOKUP(1,('Zehnder Charleston'!$B$2:$B$132=H$3)*('Zehnder Charleston'!$D$2:$D$132=$B8),'Zehnder Charleston'!$G$2:$G$132,"")</f>
        <v>2.19</v>
      </c>
      <c r="I26" s="2" cm="1">
        <f t="array" ref="I26">_xlfn.XLOOKUP(1,('Zehnder Charleston'!$B$2:$B$132=I$3)*('Zehnder Charleston'!$D$2:$D$132=$B8),'Zehnder Charleston'!$G$2:$G$132,"")</f>
        <v>2.38</v>
      </c>
      <c r="J26" s="2" cm="1">
        <f t="array" ref="J26">_xlfn.XLOOKUP(1,('Zehnder Charleston'!$B$2:$B$132=J$3)*('Zehnder Charleston'!$D$2:$D$132=$B8),'Zehnder Charleston'!$G$2:$G$132,"")</f>
        <v>2.58</v>
      </c>
      <c r="K26" s="2" cm="1">
        <f t="array" ref="K26">_xlfn.XLOOKUP(1,('Zehnder Charleston'!$B$2:$B$132=K$3)*('Zehnder Charleston'!$D$2:$D$132=$B8),'Zehnder Charleston'!$G$2:$G$132,"")</f>
        <v>3.17</v>
      </c>
      <c r="L26" s="2" cm="1">
        <f t="array" ref="L26">_xlfn.XLOOKUP(1,('Zehnder Charleston'!$B$2:$B$132=L$3)*('Zehnder Charleston'!$D$2:$D$132=$B8),'Zehnder Charleston'!$G$2:$G$132,"")</f>
        <v>3.76</v>
      </c>
      <c r="M26" s="2" cm="1">
        <f t="array" ref="M26">_xlfn.XLOOKUP(1,('Zehnder Charleston'!$B$2:$B$132=M$3)*('Zehnder Charleston'!$D$2:$D$132=$B8),'Zehnder Charleston'!$G$2:$G$132,"")</f>
        <v>4.16</v>
      </c>
      <c r="N26" s="2" cm="1">
        <f t="array" ref="N26">_xlfn.XLOOKUP(1,('Zehnder Charleston'!$B$2:$B$132=N$3)*('Zehnder Charleston'!$D$2:$D$132=$B8),'Zehnder Charleston'!$G$2:$G$132,"")</f>
        <v>4.55</v>
      </c>
      <c r="O26" s="2" cm="1">
        <f t="array" ref="O26">_xlfn.XLOOKUP(1,('Zehnder Charleston'!$B$2:$B$132=O$3)*('Zehnder Charleston'!$D$2:$D$132=$B8),'Zehnder Charleston'!$G$2:$G$132,"")</f>
        <v>4.95</v>
      </c>
      <c r="P26" s="2" cm="1">
        <f t="array" ref="P26">_xlfn.XLOOKUP(1,('Zehnder Charleston'!$B$2:$B$132=P$3)*('Zehnder Charleston'!$D$2:$D$132=$B8),'Zehnder Charleston'!$G$2:$G$132,"")</f>
        <v>6.13</v>
      </c>
      <c r="Q26" s="2" cm="1">
        <f t="array" ref="Q26">_xlfn.XLOOKUP(1,('Zehnder Charleston'!$B$2:$B$132=Q$3)*('Zehnder Charleston'!$D$2:$D$132=$B8),'Zehnder Charleston'!$G$2:$G$132,"")</f>
        <v>7.31</v>
      </c>
      <c r="R26" s="2" cm="1">
        <f t="array" ref="R26">_xlfn.XLOOKUP(1,('Zehnder Charleston'!$B$2:$B$132=R$3)*('Zehnder Charleston'!$D$2:$D$132=$B8),'Zehnder Charleston'!$G$2:$G$132,"")</f>
        <v>8.1</v>
      </c>
      <c r="S26" s="2" cm="1">
        <f t="array" ref="S26">_xlfn.XLOOKUP(1,('Zehnder Charleston'!$B$2:$B$132=S$3)*('Zehnder Charleston'!$D$2:$D$132=$B8),'Zehnder Charleston'!$G$2:$G$132,"")</f>
        <v>8.89</v>
      </c>
      <c r="T26" s="2" cm="1">
        <f t="array" ref="T26">_xlfn.XLOOKUP(1,('Zehnder Charleston'!$B$2:$B$132=T$3)*('Zehnder Charleston'!$D$2:$D$132=$B8),'Zehnder Charleston'!$G$2:$G$132,"")</f>
        <v>10.07</v>
      </c>
      <c r="U26" s="2" cm="1">
        <f t="array" ref="U26">_xlfn.XLOOKUP(1,('Zehnder Charleston'!$B$2:$B$132=U$3)*('Zehnder Charleston'!$D$2:$D$132=$B8),'Zehnder Charleston'!$G$2:$G$132,"")</f>
        <v>11.25</v>
      </c>
      <c r="V26" s="2" cm="1">
        <f t="array" ref="V26">_xlfn.XLOOKUP(1,('Zehnder Charleston'!$B$2:$B$132=V$3)*('Zehnder Charleston'!$D$2:$D$132=$B8),'Zehnder Charleston'!$G$2:$G$132,"")</f>
        <v>12.04</v>
      </c>
    </row>
    <row r="27" spans="1:28" x14ac:dyDescent="0.2">
      <c r="C27" s="8"/>
      <c r="D27" s="8"/>
      <c r="E27" s="8"/>
      <c r="F27" s="8"/>
      <c r="G27" s="8"/>
      <c r="H27" s="8"/>
      <c r="I27" s="8"/>
      <c r="J27" s="8"/>
      <c r="K27" s="8"/>
      <c r="L27" s="8"/>
      <c r="M27"/>
      <c r="N27"/>
      <c r="O27"/>
      <c r="P27"/>
      <c r="Q27"/>
    </row>
    <row r="28" spans="1:28" ht="40.5" x14ac:dyDescent="0.25">
      <c r="A28" s="57" t="s">
        <v>153</v>
      </c>
      <c r="C28" s="4" t="s">
        <v>2</v>
      </c>
      <c r="M28"/>
      <c r="N28"/>
      <c r="O28"/>
      <c r="P28"/>
      <c r="Q28"/>
    </row>
    <row r="29" spans="1:28" x14ac:dyDescent="0.2">
      <c r="A29" s="1" t="s">
        <v>154</v>
      </c>
      <c r="B29" s="1"/>
      <c r="C29" s="164">
        <v>260</v>
      </c>
      <c r="D29" s="164">
        <v>292</v>
      </c>
      <c r="E29" s="164">
        <v>342</v>
      </c>
      <c r="F29" s="164">
        <v>392</v>
      </c>
      <c r="G29" s="164">
        <v>442</v>
      </c>
      <c r="H29" s="164">
        <v>492</v>
      </c>
      <c r="I29" s="164">
        <v>542</v>
      </c>
      <c r="J29" s="164">
        <v>592</v>
      </c>
      <c r="K29" s="164">
        <v>742</v>
      </c>
      <c r="L29" s="164">
        <v>892</v>
      </c>
      <c r="M29" s="164">
        <v>992</v>
      </c>
      <c r="N29" s="164">
        <v>1092</v>
      </c>
      <c r="O29" s="164">
        <v>1192</v>
      </c>
      <c r="P29" s="164">
        <v>1492</v>
      </c>
      <c r="Q29" s="164">
        <v>1792</v>
      </c>
      <c r="R29" s="165">
        <v>1992</v>
      </c>
      <c r="S29" s="165">
        <v>2192</v>
      </c>
      <c r="T29" s="165">
        <v>2492</v>
      </c>
      <c r="U29" s="165">
        <v>2792</v>
      </c>
      <c r="V29" s="165">
        <v>2992</v>
      </c>
    </row>
    <row r="30" spans="1:28" x14ac:dyDescent="0.2">
      <c r="A30" s="1"/>
      <c r="C30" s="5">
        <f t="shared" ref="C30:V30" si="2">C$3</f>
        <v>260</v>
      </c>
      <c r="D30" s="5">
        <f t="shared" si="2"/>
        <v>300</v>
      </c>
      <c r="E30" s="5">
        <f t="shared" si="2"/>
        <v>350</v>
      </c>
      <c r="F30" s="5">
        <f t="shared" si="2"/>
        <v>400</v>
      </c>
      <c r="G30" s="5">
        <f t="shared" si="2"/>
        <v>450</v>
      </c>
      <c r="H30" s="5">
        <f t="shared" si="2"/>
        <v>500</v>
      </c>
      <c r="I30" s="5">
        <f t="shared" si="2"/>
        <v>550</v>
      </c>
      <c r="J30" s="5">
        <f t="shared" si="2"/>
        <v>600</v>
      </c>
      <c r="K30" s="5">
        <f t="shared" si="2"/>
        <v>750</v>
      </c>
      <c r="L30" s="5">
        <f t="shared" si="2"/>
        <v>900</v>
      </c>
      <c r="M30" s="5">
        <f t="shared" si="2"/>
        <v>1000</v>
      </c>
      <c r="N30" s="5">
        <f t="shared" si="2"/>
        <v>1100</v>
      </c>
      <c r="O30" s="5">
        <f t="shared" si="2"/>
        <v>1200</v>
      </c>
      <c r="P30" s="5">
        <f t="shared" si="2"/>
        <v>1500</v>
      </c>
      <c r="Q30" s="5">
        <f t="shared" si="2"/>
        <v>1800</v>
      </c>
      <c r="R30" s="5">
        <f t="shared" si="2"/>
        <v>2000</v>
      </c>
      <c r="S30" s="5">
        <f t="shared" si="2"/>
        <v>2200</v>
      </c>
      <c r="T30" s="5">
        <f t="shared" si="2"/>
        <v>2500</v>
      </c>
      <c r="U30" s="5">
        <f t="shared" si="2"/>
        <v>2800</v>
      </c>
      <c r="V30" s="5">
        <f t="shared" si="2"/>
        <v>3000</v>
      </c>
    </row>
    <row r="31" spans="1:28" ht="13.5" x14ac:dyDescent="0.25">
      <c r="A31" s="4" t="s">
        <v>3</v>
      </c>
      <c r="B31" s="2">
        <f>B4</f>
        <v>62</v>
      </c>
      <c r="C31" s="2" cm="1">
        <f t="array" ref="C31">_xlfn.XLOOKUP(1,('Zehnder Charleston'!$B$2:$B$132=C$3)*('Zehnder Charleston'!$D$2:$D$132=$B4),'Zehnder Charleston'!$E$2:$E$132,"")</f>
        <v>0.04</v>
      </c>
      <c r="D31" s="2" cm="1">
        <f t="array" ref="D31">_xlfn.XLOOKUP(1,('Zehnder Charleston'!$B$2:$B$132=D$2)*('Zehnder Charleston'!$D$2:$D$132=$B4),'Zehnder Charleston'!$E$2:$E$132,"")</f>
        <v>0.04</v>
      </c>
      <c r="E31" s="2" cm="1">
        <f t="array" ref="E31">_xlfn.XLOOKUP(1,('Zehnder Charleston'!$B$2:$B$132=E$2)*('Zehnder Charleston'!$D$2:$D$132=$B4),'Zehnder Charleston'!$E$2:$E$132,"")</f>
        <v>0.05</v>
      </c>
      <c r="F31" s="2" cm="1">
        <f t="array" ref="F31">_xlfn.XLOOKUP(1,('Zehnder Charleston'!$B$2:$B$132=F$2)*('Zehnder Charleston'!$D$2:$D$132=$B4),'Zehnder Charleston'!$E$2:$E$132,"")</f>
        <v>0.06</v>
      </c>
      <c r="G31" s="2" cm="1">
        <f t="array" ref="G31">_xlfn.XLOOKUP(1,('Zehnder Charleston'!$B$2:$B$132=G$2)*('Zehnder Charleston'!$D$2:$D$132=$B4),'Zehnder Charleston'!$E$2:$E$132,"")</f>
        <v>7.0000000000000007E-2</v>
      </c>
      <c r="H31" s="2" cm="1">
        <f t="array" ref="H31">_xlfn.XLOOKUP(1,('Zehnder Charleston'!$B$2:$B$132=H$2)*('Zehnder Charleston'!$D$2:$D$132=$B4),'Zehnder Charleston'!$E$2:$E$132,"")</f>
        <v>7.0000000000000007E-2</v>
      </c>
      <c r="I31" s="2" cm="1">
        <f t="array" ref="I31">_xlfn.XLOOKUP(1,('Zehnder Charleston'!$B$2:$B$132=I$2)*('Zehnder Charleston'!$D$2:$D$132=$B4),'Zehnder Charleston'!$E$2:$E$132,"")</f>
        <v>0.08</v>
      </c>
      <c r="J31" s="2" cm="1">
        <f t="array" ref="J31">_xlfn.XLOOKUP(1,('Zehnder Charleston'!$B$2:$B$132=J$2)*('Zehnder Charleston'!$D$2:$D$132=$B4),'Zehnder Charleston'!$E$2:$E$132,"")</f>
        <v>0.09</v>
      </c>
      <c r="K31" s="2" cm="1">
        <f t="array" ref="K31">_xlfn.XLOOKUP(1,('Zehnder Charleston'!$B$2:$B$132=K$2)*('Zehnder Charleston'!$D$2:$D$132=$B4),'Zehnder Charleston'!$E$2:$E$132,"")</f>
        <v>0.11</v>
      </c>
      <c r="L31" s="2" cm="1">
        <f t="array" ref="L31">_xlfn.XLOOKUP(1,('Zehnder Charleston'!$B$2:$B$132=L$2)*('Zehnder Charleston'!$D$2:$D$132=$B4),'Zehnder Charleston'!$E$2:$E$132,"")</f>
        <v>0.14000000000000001</v>
      </c>
      <c r="M31" s="2" cm="1">
        <f t="array" ref="M31">_xlfn.XLOOKUP(1,('Zehnder Charleston'!$B$2:$B$132=M$2)*('Zehnder Charleston'!$D$2:$D$132=$B4),'Zehnder Charleston'!$E$2:$E$132,"")</f>
        <v>0.15</v>
      </c>
      <c r="N31" s="2" cm="1">
        <f t="array" ref="N31">_xlfn.XLOOKUP(1,('Zehnder Charleston'!$B$2:$B$132=N$2)*('Zehnder Charleston'!$D$2:$D$132=$B4),'Zehnder Charleston'!$E$2:$E$132,"")</f>
        <v>0.17</v>
      </c>
      <c r="O31" s="2" cm="1">
        <f t="array" ref="O31">_xlfn.XLOOKUP(1,('Zehnder Charleston'!$B$2:$B$132=O$2)*('Zehnder Charleston'!$D$2:$D$132=$B4),'Zehnder Charleston'!$E$2:$E$132,"")</f>
        <v>0.18</v>
      </c>
      <c r="P31" s="2" cm="1">
        <f t="array" ref="P31">_xlfn.XLOOKUP(1,('Zehnder Charleston'!$B$2:$B$132=P$2)*('Zehnder Charleston'!$D$2:$D$132=$B4),'Zehnder Charleston'!$E$2:$E$132,"")</f>
        <v>0.23</v>
      </c>
      <c r="Q31" s="2" cm="1">
        <f t="array" ref="Q31">_xlfn.XLOOKUP(1,('Zehnder Charleston'!$B$2:$B$132=Q$2)*('Zehnder Charleston'!$D$2:$D$132=$B4),'Zehnder Charleston'!$E$2:$E$132,"")</f>
        <v>0.28000000000000003</v>
      </c>
      <c r="R31" s="2" cm="1">
        <f t="array" ref="R31">_xlfn.XLOOKUP(1,('Zehnder Charleston'!$B$2:$B$132=R$2)*('Zehnder Charleston'!$D$2:$D$132=$B4),'Zehnder Charleston'!$E$2:$E$132,"")</f>
        <v>0.31</v>
      </c>
      <c r="S31" s="2" cm="1">
        <f t="array" ref="S31">_xlfn.XLOOKUP(1,('Zehnder Charleston'!$B$2:$B$132=S$2)*('Zehnder Charleston'!$D$2:$D$132=$B4),'Zehnder Charleston'!$E$2:$E$132,"")</f>
        <v>0.34</v>
      </c>
      <c r="T31" s="2" cm="1">
        <f t="array" ref="T31">_xlfn.XLOOKUP(1,('Zehnder Charleston'!$B$2:$B$132=T$2)*('Zehnder Charleston'!$D$2:$D$132=$B4),'Zehnder Charleston'!$E$2:$E$132,"")</f>
        <v>0.39</v>
      </c>
      <c r="U31" s="2" cm="1">
        <f t="array" ref="U31">_xlfn.XLOOKUP(1,('Zehnder Charleston'!$B$2:$B$132=U$2)*('Zehnder Charleston'!$D$2:$D$132=$B4),'Zehnder Charleston'!$E$2:$E$132,"")</f>
        <v>0.44</v>
      </c>
      <c r="V31" s="2" cm="1">
        <f t="array" ref="V31">_xlfn.XLOOKUP(1,('Zehnder Charleston'!$B$2:$B$132=V$2)*('Zehnder Charleston'!$D$2:$D$132=$B4),'Zehnder Charleston'!$E$2:$E$132,"")</f>
        <v>0.47</v>
      </c>
    </row>
    <row r="32" spans="1:28" x14ac:dyDescent="0.2">
      <c r="B32" s="2">
        <f>B5</f>
        <v>100</v>
      </c>
      <c r="C32" s="2" cm="1">
        <f t="array" ref="C32">_xlfn.XLOOKUP(1,('Zehnder Charleston'!$B$2:$B$132=C$3)*('Zehnder Charleston'!$D$2:$D$132=$B5),'Zehnder Charleston'!$E$2:$E$132,"")</f>
        <v>0.06</v>
      </c>
      <c r="D32" s="2" cm="1">
        <f t="array" ref="D32">_xlfn.XLOOKUP(1,('Zehnder Charleston'!$B$2:$B$132=D$3)*('Zehnder Charleston'!$D$2:$D$132=$B5),'Zehnder Charleston'!$E$2:$E$132,"")</f>
        <v>7.0000000000000007E-2</v>
      </c>
      <c r="E32" s="2" cm="1">
        <f t="array" ref="E32">_xlfn.XLOOKUP(1,('Zehnder Charleston'!$B$2:$B$132=E$3)*('Zehnder Charleston'!$D$2:$D$132=$B5),'Zehnder Charleston'!$E$2:$E$132,"")</f>
        <v>0.08</v>
      </c>
      <c r="F32" s="2" cm="1">
        <f t="array" ref="F32">_xlfn.XLOOKUP(1,('Zehnder Charleston'!$B$2:$B$132=F$3)*('Zehnder Charleston'!$D$2:$D$132=$B5),'Zehnder Charleston'!$E$2:$E$132,"")</f>
        <v>0.09</v>
      </c>
      <c r="G32" s="2" cm="1">
        <f t="array" ref="G32">_xlfn.XLOOKUP(1,('Zehnder Charleston'!$B$2:$B$132=G$3)*('Zehnder Charleston'!$D$2:$D$132=$B5),'Zehnder Charleston'!$E$2:$E$132,"")</f>
        <v>0.1</v>
      </c>
      <c r="H32" s="2" cm="1">
        <f t="array" ref="H32">_xlfn.XLOOKUP(1,('Zehnder Charleston'!$B$2:$B$132=H$3)*('Zehnder Charleston'!$D$2:$D$132=$B5),'Zehnder Charleston'!$E$2:$E$132,"")</f>
        <v>0.11</v>
      </c>
      <c r="I32" s="2" cm="1">
        <f t="array" ref="I32">_xlfn.XLOOKUP(1,('Zehnder Charleston'!$B$2:$B$132=I$3)*('Zehnder Charleston'!$D$2:$D$132=$B5),'Zehnder Charleston'!$E$2:$E$132,"")</f>
        <v>0.12</v>
      </c>
      <c r="J32" s="2" cm="1">
        <f t="array" ref="J32">_xlfn.XLOOKUP(1,('Zehnder Charleston'!$B$2:$B$132=J$3)*('Zehnder Charleston'!$D$2:$D$132=$B5),'Zehnder Charleston'!$E$2:$E$132,"")</f>
        <v>0.14000000000000001</v>
      </c>
      <c r="K32" s="2" cm="1">
        <f t="array" ref="K32">_xlfn.XLOOKUP(1,('Zehnder Charleston'!$B$2:$B$132=K$3)*('Zehnder Charleston'!$D$2:$D$132=$B5),'Zehnder Charleston'!$E$2:$E$132,"")</f>
        <v>0.17</v>
      </c>
      <c r="L32" s="2" cm="1">
        <f t="array" ref="L32">_xlfn.XLOOKUP(1,('Zehnder Charleston'!$B$2:$B$132=L$3)*('Zehnder Charleston'!$D$2:$D$132=$B5),'Zehnder Charleston'!$E$2:$E$132,"")</f>
        <v>0.21</v>
      </c>
      <c r="M32" s="2" cm="1">
        <f t="array" ref="M32">_xlfn.XLOOKUP(1,('Zehnder Charleston'!$B$2:$B$132=M$3)*('Zehnder Charleston'!$D$2:$D$132=$B5),'Zehnder Charleston'!$E$2:$E$132,"")</f>
        <v>0.23</v>
      </c>
      <c r="N32" s="2" cm="1">
        <f t="array" ref="N32">_xlfn.XLOOKUP(1,('Zehnder Charleston'!$B$2:$B$132=N$3)*('Zehnder Charleston'!$D$2:$D$132=$B5),'Zehnder Charleston'!$E$2:$E$132,"")</f>
        <v>0.25</v>
      </c>
      <c r="O32" s="2" cm="1">
        <f t="array" ref="O32">_xlfn.XLOOKUP(1,('Zehnder Charleston'!$B$2:$B$132=O$3)*('Zehnder Charleston'!$D$2:$D$132=$B5),'Zehnder Charleston'!$E$2:$E$132,"")</f>
        <v>0.28000000000000003</v>
      </c>
      <c r="P32" s="2" cm="1">
        <f t="array" ref="P32">_xlfn.XLOOKUP(1,('Zehnder Charleston'!$B$2:$B$132=P$3)*('Zehnder Charleston'!$D$2:$D$132=$B5),'Zehnder Charleston'!$E$2:$E$132,"")</f>
        <v>0.35</v>
      </c>
      <c r="Q32" s="2" cm="1">
        <f t="array" ref="Q32">_xlfn.XLOOKUP(1,('Zehnder Charleston'!$B$2:$B$132=Q$3)*('Zehnder Charleston'!$D$2:$D$132=$B5),'Zehnder Charleston'!$E$2:$E$132,"")</f>
        <v>0.42</v>
      </c>
      <c r="R32" s="2" cm="1">
        <f t="array" ref="R32">_xlfn.XLOOKUP(1,('Zehnder Charleston'!$B$2:$B$132=R$3)*('Zehnder Charleston'!$D$2:$D$132=$B5),'Zehnder Charleston'!$E$2:$E$132,"")</f>
        <v>0.47</v>
      </c>
      <c r="S32" s="2" cm="1">
        <f t="array" ref="S32">_xlfn.XLOOKUP(1,('Zehnder Charleston'!$B$2:$B$132=S$3)*('Zehnder Charleston'!$D$2:$D$132=$B5),'Zehnder Charleston'!$E$2:$E$132,"")</f>
        <v>0.51</v>
      </c>
      <c r="T32" s="2" cm="1">
        <f t="array" ref="T32">_xlfn.XLOOKUP(1,('Zehnder Charleston'!$B$2:$B$132=T$3)*('Zehnder Charleston'!$D$2:$D$132=$B5),'Zehnder Charleston'!$E$2:$E$132,"")</f>
        <v>0.57999999999999996</v>
      </c>
      <c r="U32" s="2" cm="1">
        <f t="array" ref="U32">_xlfn.XLOOKUP(1,('Zehnder Charleston'!$B$2:$B$132=U$3)*('Zehnder Charleston'!$D$2:$D$132=$B5),'Zehnder Charleston'!$E$2:$E$132,"")</f>
        <v>0.65</v>
      </c>
      <c r="V32" s="2" cm="1">
        <f t="array" ref="V32">_xlfn.XLOOKUP(1,('Zehnder Charleston'!$B$2:$B$132=V$3)*('Zehnder Charleston'!$D$2:$D$132=$B5),'Zehnder Charleston'!$E$2:$E$132,"")</f>
        <v>0.7</v>
      </c>
    </row>
    <row r="33" spans="1:35" x14ac:dyDescent="0.2">
      <c r="B33" s="2">
        <f>B6</f>
        <v>136</v>
      </c>
      <c r="C33" s="2" cm="1">
        <f t="array" ref="C33">_xlfn.XLOOKUP(1,('Zehnder Charleston'!$B$2:$B$132=C$3)*('Zehnder Charleston'!$D$2:$D$132=$B6),'Zehnder Charleston'!$E$2:$E$132,"")</f>
        <v>0.08</v>
      </c>
      <c r="D33" s="2" cm="1">
        <f t="array" ref="D33">_xlfn.XLOOKUP(1,('Zehnder Charleston'!$B$2:$B$132=D$3)*('Zehnder Charleston'!$D$2:$D$132=$B6),'Zehnder Charleston'!$E$2:$E$132,"")</f>
        <v>0.09</v>
      </c>
      <c r="E33" s="2" cm="1">
        <f t="array" ref="E33">_xlfn.XLOOKUP(1,('Zehnder Charleston'!$B$2:$B$132=E$3)*('Zehnder Charleston'!$D$2:$D$132=$B6),'Zehnder Charleston'!$E$2:$E$132,"")</f>
        <v>0.11</v>
      </c>
      <c r="F33" s="2" cm="1">
        <f t="array" ref="F33">_xlfn.XLOOKUP(1,('Zehnder Charleston'!$B$2:$B$132=F$3)*('Zehnder Charleston'!$D$2:$D$132=$B6),'Zehnder Charleston'!$E$2:$E$132,"")</f>
        <v>0.12</v>
      </c>
      <c r="G33" s="2" cm="1">
        <f t="array" ref="G33">_xlfn.XLOOKUP(1,('Zehnder Charleston'!$B$2:$B$132=G$3)*('Zehnder Charleston'!$D$2:$D$132=$B6),'Zehnder Charleston'!$E$2:$E$132,"")</f>
        <v>0.14000000000000001</v>
      </c>
      <c r="H33" s="2" cm="1">
        <f t="array" ref="H33">_xlfn.XLOOKUP(1,('Zehnder Charleston'!$B$2:$B$132=H$3)*('Zehnder Charleston'!$D$2:$D$132=$B6),'Zehnder Charleston'!$E$2:$E$132,"")</f>
        <v>0.15</v>
      </c>
      <c r="I33" s="2" cm="1">
        <f t="array" ref="I33">_xlfn.XLOOKUP(1,('Zehnder Charleston'!$B$2:$B$132=I$3)*('Zehnder Charleston'!$D$2:$D$132=$B6),'Zehnder Charleston'!$E$2:$E$132,"")</f>
        <v>0.17</v>
      </c>
      <c r="J33" s="2" cm="1">
        <f t="array" ref="J33">_xlfn.XLOOKUP(1,('Zehnder Charleston'!$B$2:$B$132=J$3)*('Zehnder Charleston'!$D$2:$D$132=$B6),'Zehnder Charleston'!$E$2:$E$132,"")</f>
        <v>0.19</v>
      </c>
      <c r="K33" s="2" cm="1">
        <f t="array" ref="K33">_xlfn.XLOOKUP(1,('Zehnder Charleston'!$B$2:$B$132=K$3)*('Zehnder Charleston'!$D$2:$D$132=$B6),'Zehnder Charleston'!$E$2:$E$132,"")</f>
        <v>0.23</v>
      </c>
      <c r="L33" s="2" cm="1">
        <f t="array" ref="L33">_xlfn.XLOOKUP(1,('Zehnder Charleston'!$B$2:$B$132=L$3)*('Zehnder Charleston'!$D$2:$D$132=$B6),'Zehnder Charleston'!$E$2:$E$132,"")</f>
        <v>0.28000000000000003</v>
      </c>
      <c r="M33" s="2" cm="1">
        <f t="array" ref="M33">_xlfn.XLOOKUP(1,('Zehnder Charleston'!$B$2:$B$132=M$3)*('Zehnder Charleston'!$D$2:$D$132=$B6),'Zehnder Charleston'!$E$2:$E$132,"")</f>
        <v>0.31</v>
      </c>
      <c r="N33" s="2" cm="1">
        <f t="array" ref="N33">_xlfn.XLOOKUP(1,('Zehnder Charleston'!$B$2:$B$132=N$3)*('Zehnder Charleston'!$D$2:$D$132=$B6),'Zehnder Charleston'!$E$2:$E$132,"")</f>
        <v>0.34</v>
      </c>
      <c r="O33" s="2" cm="1">
        <f t="array" ref="O33">_xlfn.XLOOKUP(1,('Zehnder Charleston'!$B$2:$B$132=O$3)*('Zehnder Charleston'!$D$2:$D$132=$B6),'Zehnder Charleston'!$E$2:$E$132,"")</f>
        <v>0.37</v>
      </c>
      <c r="P33" s="2" cm="1">
        <f t="array" ref="P33">_xlfn.XLOOKUP(1,('Zehnder Charleston'!$B$2:$B$132=P$3)*('Zehnder Charleston'!$D$2:$D$132=$B6),'Zehnder Charleston'!$E$2:$E$132,"")</f>
        <v>0.47</v>
      </c>
      <c r="Q33" s="2" cm="1">
        <f t="array" ref="Q33">_xlfn.XLOOKUP(1,('Zehnder Charleston'!$B$2:$B$132=Q$3)*('Zehnder Charleston'!$D$2:$D$132=$B6),'Zehnder Charleston'!$E$2:$E$132,"")</f>
        <v>0.56000000000000005</v>
      </c>
      <c r="R33" s="2" cm="1">
        <f t="array" ref="R33">_xlfn.XLOOKUP(1,('Zehnder Charleston'!$B$2:$B$132=R$3)*('Zehnder Charleston'!$D$2:$D$132=$B6),'Zehnder Charleston'!$E$2:$E$132,"")</f>
        <v>0.63</v>
      </c>
      <c r="S33" s="2" cm="1">
        <f t="array" ref="S33">_xlfn.XLOOKUP(1,('Zehnder Charleston'!$B$2:$B$132=S$3)*('Zehnder Charleston'!$D$2:$D$132=$B6),'Zehnder Charleston'!$E$2:$E$132,"")</f>
        <v>0.69</v>
      </c>
      <c r="T33" s="2" cm="1">
        <f t="array" ref="T33">_xlfn.XLOOKUP(1,('Zehnder Charleston'!$B$2:$B$132=T$3)*('Zehnder Charleston'!$D$2:$D$132=$B6),'Zehnder Charleston'!$E$2:$E$132,"")</f>
        <v>0.78</v>
      </c>
      <c r="U33" s="2" cm="1">
        <f t="array" ref="U33">_xlfn.XLOOKUP(1,('Zehnder Charleston'!$B$2:$B$132=U$3)*('Zehnder Charleston'!$D$2:$D$132=$B6),'Zehnder Charleston'!$E$2:$E$132,"")</f>
        <v>0.88</v>
      </c>
      <c r="V33" s="2" cm="1">
        <f t="array" ref="V33">_xlfn.XLOOKUP(1,('Zehnder Charleston'!$B$2:$B$132=V$3)*('Zehnder Charleston'!$D$2:$D$132=$B6),'Zehnder Charleston'!$E$2:$E$132,"")</f>
        <v>0.94</v>
      </c>
    </row>
    <row r="34" spans="1:35" x14ac:dyDescent="0.2">
      <c r="B34" s="2">
        <f>B7</f>
        <v>173</v>
      </c>
      <c r="C34" s="2" cm="1">
        <f t="array" ref="C34">_xlfn.XLOOKUP(1,('Zehnder Charleston'!$B$2:$B$132=C$3)*('Zehnder Charleston'!$D$2:$D$132=$B7),'Zehnder Charleston'!$E$2:$E$132,"")</f>
        <v>0.1</v>
      </c>
      <c r="D34" s="2" cm="1">
        <f t="array" ref="D34">_xlfn.XLOOKUP(1,('Zehnder Charleston'!$B$2:$B$132=D$3)*('Zehnder Charleston'!$D$2:$D$132=$B7),'Zehnder Charleston'!$E$2:$E$132,"")</f>
        <v>0.12</v>
      </c>
      <c r="E34" s="2" cm="1">
        <f t="array" ref="E34">_xlfn.XLOOKUP(1,('Zehnder Charleston'!$B$2:$B$132=E$3)*('Zehnder Charleston'!$D$2:$D$132=$B7),'Zehnder Charleston'!$E$2:$E$132,"")</f>
        <v>0.13</v>
      </c>
      <c r="F34" s="2" cm="1">
        <f t="array" ref="F34">_xlfn.XLOOKUP(1,('Zehnder Charleston'!$B$2:$B$132=F$3)*('Zehnder Charleston'!$D$2:$D$132=$B7),'Zehnder Charleston'!$E$2:$E$132,"")</f>
        <v>0.15</v>
      </c>
      <c r="G34" s="2" cm="1">
        <f t="array" ref="G34">_xlfn.XLOOKUP(1,('Zehnder Charleston'!$B$2:$B$132=G$3)*('Zehnder Charleston'!$D$2:$D$132=$B7),'Zehnder Charleston'!$E$2:$E$132,"")</f>
        <v>0.17</v>
      </c>
      <c r="H34" s="2" cm="1">
        <f t="array" ref="H34">_xlfn.XLOOKUP(1,('Zehnder Charleston'!$B$2:$B$132=H$3)*('Zehnder Charleston'!$D$2:$D$132=$B7),'Zehnder Charleston'!$E$2:$E$132,"")</f>
        <v>0.19</v>
      </c>
      <c r="I34" s="2" cm="1">
        <f t="array" ref="I34">_xlfn.XLOOKUP(1,('Zehnder Charleston'!$B$2:$B$132=I$3)*('Zehnder Charleston'!$D$2:$D$132=$B7),'Zehnder Charleston'!$E$2:$E$132,"")</f>
        <v>0.2</v>
      </c>
      <c r="J34" s="2" cm="1">
        <f t="array" ref="J34">_xlfn.XLOOKUP(1,('Zehnder Charleston'!$B$2:$B$132=J$3)*('Zehnder Charleston'!$D$2:$D$132=$B7),'Zehnder Charleston'!$E$2:$E$132,"")</f>
        <v>0.23</v>
      </c>
      <c r="K34" s="2" cm="1">
        <f t="array" ref="K34">_xlfn.XLOOKUP(1,('Zehnder Charleston'!$B$2:$B$132=K$3)*('Zehnder Charleston'!$D$2:$D$132=$B7),'Zehnder Charleston'!$E$2:$E$132,"")</f>
        <v>0.28999999999999998</v>
      </c>
      <c r="L34" s="2" cm="1">
        <f t="array" ref="L34">_xlfn.XLOOKUP(1,('Zehnder Charleston'!$B$2:$B$132=L$3)*('Zehnder Charleston'!$D$2:$D$132=$B7),'Zehnder Charleston'!$E$2:$E$132,"")</f>
        <v>0.35</v>
      </c>
      <c r="M34" s="2" cm="1">
        <f t="array" ref="M34">_xlfn.XLOOKUP(1,('Zehnder Charleston'!$B$2:$B$132=M$3)*('Zehnder Charleston'!$D$2:$D$132=$B7),'Zehnder Charleston'!$E$2:$E$132,"")</f>
        <v>0.39</v>
      </c>
      <c r="N34" s="2" cm="1">
        <f t="array" ref="N34">_xlfn.XLOOKUP(1,('Zehnder Charleston'!$B$2:$B$132=N$3)*('Zehnder Charleston'!$D$2:$D$132=$B7),'Zehnder Charleston'!$E$2:$E$132,"")</f>
        <v>0.43</v>
      </c>
      <c r="O34" s="2" cm="1">
        <f t="array" ref="O34">_xlfn.XLOOKUP(1,('Zehnder Charleston'!$B$2:$B$132=O$3)*('Zehnder Charleston'!$D$2:$D$132=$B7),'Zehnder Charleston'!$E$2:$E$132,"")</f>
        <v>0.47</v>
      </c>
      <c r="P34" s="2" cm="1">
        <f t="array" ref="P34">_xlfn.XLOOKUP(1,('Zehnder Charleston'!$B$2:$B$132=P$3)*('Zehnder Charleston'!$D$2:$D$132=$B7),'Zehnder Charleston'!$E$2:$E$132,"")</f>
        <v>0.59</v>
      </c>
      <c r="Q34" s="2" cm="1">
        <f t="array" ref="Q34">_xlfn.XLOOKUP(1,('Zehnder Charleston'!$B$2:$B$132=Q$3)*('Zehnder Charleston'!$D$2:$D$132=$B7),'Zehnder Charleston'!$E$2:$E$132,"")</f>
        <v>0.7</v>
      </c>
      <c r="R34" s="2" cm="1">
        <f t="array" ref="R34">_xlfn.XLOOKUP(1,('Zehnder Charleston'!$B$2:$B$132=R$3)*('Zehnder Charleston'!$D$2:$D$132=$B7),'Zehnder Charleston'!$E$2:$E$132,"")</f>
        <v>0.78</v>
      </c>
      <c r="S34" s="2" cm="1">
        <f t="array" ref="S34">_xlfn.XLOOKUP(1,('Zehnder Charleston'!$B$2:$B$132=S$3)*('Zehnder Charleston'!$D$2:$D$132=$B7),'Zehnder Charleston'!$E$2:$E$132,"")</f>
        <v>0.86</v>
      </c>
      <c r="T34" s="2" cm="1">
        <f t="array" ref="T34">_xlfn.XLOOKUP(1,('Zehnder Charleston'!$B$2:$B$132=T$3)*('Zehnder Charleston'!$D$2:$D$132=$B7),'Zehnder Charleston'!$E$2:$E$132,"")</f>
        <v>0.98</v>
      </c>
      <c r="U34" s="2" cm="1">
        <f t="array" ref="U34">_xlfn.XLOOKUP(1,('Zehnder Charleston'!$B$2:$B$132=U$3)*('Zehnder Charleston'!$D$2:$D$132=$B7),'Zehnder Charleston'!$E$2:$E$132,"")</f>
        <v>1.1000000000000001</v>
      </c>
      <c r="V34" s="2" cm="1">
        <f t="array" ref="V34">_xlfn.XLOOKUP(1,('Zehnder Charleston'!$B$2:$B$132=V$3)*('Zehnder Charleston'!$D$2:$D$132=$B7),'Zehnder Charleston'!$E$2:$E$132,"")</f>
        <v>1.18</v>
      </c>
    </row>
    <row r="35" spans="1:35" x14ac:dyDescent="0.2">
      <c r="B35" s="2">
        <f>B8</f>
        <v>210</v>
      </c>
      <c r="C35" s="2" cm="1">
        <f t="array" ref="C35">_xlfn.XLOOKUP(1,('Zehnder Charleston'!$B$2:$B$132=C$3)*('Zehnder Charleston'!$D$2:$D$132=$B8),'Zehnder Charleston'!$E$2:$E$132,"")</f>
        <v>0.12</v>
      </c>
      <c r="D35" s="2" cm="1">
        <f t="array" ref="D35">_xlfn.XLOOKUP(1,('Zehnder Charleston'!$B$2:$B$132=D$3)*('Zehnder Charleston'!$D$2:$D$132=$B8),'Zehnder Charleston'!$E$2:$E$132,"")</f>
        <v>0.14000000000000001</v>
      </c>
      <c r="E35" s="2" cm="1">
        <f t="array" ref="E35">_xlfn.XLOOKUP(1,('Zehnder Charleston'!$B$2:$B$132=E$3)*('Zehnder Charleston'!$D$2:$D$132=$B8),'Zehnder Charleston'!$E$2:$E$132,"")</f>
        <v>0.16</v>
      </c>
      <c r="F35" s="2" cm="1">
        <f t="array" ref="F35">_xlfn.XLOOKUP(1,('Zehnder Charleston'!$B$2:$B$132=F$3)*('Zehnder Charleston'!$D$2:$D$132=$B8),'Zehnder Charleston'!$E$2:$E$132,"")</f>
        <v>0.19</v>
      </c>
      <c r="G35" s="2" cm="1">
        <f t="array" ref="G35">_xlfn.XLOOKUP(1,('Zehnder Charleston'!$B$2:$B$132=G$3)*('Zehnder Charleston'!$D$2:$D$132=$B8),'Zehnder Charleston'!$E$2:$E$132,"")</f>
        <v>0.21</v>
      </c>
      <c r="H35" s="2" cm="1">
        <f t="array" ref="H35">_xlfn.XLOOKUP(1,('Zehnder Charleston'!$B$2:$B$132=H$3)*('Zehnder Charleston'!$D$2:$D$132=$B8),'Zehnder Charleston'!$E$2:$E$132,"")</f>
        <v>0.23</v>
      </c>
      <c r="I35" s="2" cm="1">
        <f t="array" ref="I35">_xlfn.XLOOKUP(1,('Zehnder Charleston'!$B$2:$B$132=I$3)*('Zehnder Charleston'!$D$2:$D$132=$B8),'Zehnder Charleston'!$E$2:$E$132,"")</f>
        <v>0.26</v>
      </c>
      <c r="J35" s="2" cm="1">
        <f t="array" ref="J35">_xlfn.XLOOKUP(1,('Zehnder Charleston'!$B$2:$B$132=J$3)*('Zehnder Charleston'!$D$2:$D$132=$B8),'Zehnder Charleston'!$E$2:$E$132,"")</f>
        <v>0.28000000000000003</v>
      </c>
      <c r="K35" s="2" cm="1">
        <f t="array" ref="K35">_xlfn.XLOOKUP(1,('Zehnder Charleston'!$B$2:$B$132=K$3)*('Zehnder Charleston'!$D$2:$D$132=$B8),'Zehnder Charleston'!$E$2:$E$132,"")</f>
        <v>0.35</v>
      </c>
      <c r="L35" s="2" cm="1">
        <f t="array" ref="L35">_xlfn.XLOOKUP(1,('Zehnder Charleston'!$B$2:$B$132=L$3)*('Zehnder Charleston'!$D$2:$D$132=$B8),'Zehnder Charleston'!$E$2:$E$132,"")</f>
        <v>0.42</v>
      </c>
      <c r="M35" s="2" cm="1">
        <f t="array" ref="M35">_xlfn.XLOOKUP(1,('Zehnder Charleston'!$B$2:$B$132=M$3)*('Zehnder Charleston'!$D$2:$D$132=$B8),'Zehnder Charleston'!$E$2:$E$132,"")</f>
        <v>0.47</v>
      </c>
      <c r="N35" s="2" cm="1">
        <f t="array" ref="N35">_xlfn.XLOOKUP(1,('Zehnder Charleston'!$B$2:$B$132=N$3)*('Zehnder Charleston'!$D$2:$D$132=$B8),'Zehnder Charleston'!$E$2:$E$132,"")</f>
        <v>0.52</v>
      </c>
      <c r="O35" s="2" cm="1">
        <f t="array" ref="O35">_xlfn.XLOOKUP(1,('Zehnder Charleston'!$B$2:$B$132=O$3)*('Zehnder Charleston'!$D$2:$D$132=$B8),'Zehnder Charleston'!$E$2:$E$132,"")</f>
        <v>0.56000000000000005</v>
      </c>
      <c r="P35" s="2" cm="1">
        <f t="array" ref="P35">_xlfn.XLOOKUP(1,('Zehnder Charleston'!$B$2:$B$132=P$3)*('Zehnder Charleston'!$D$2:$D$132=$B8),'Zehnder Charleston'!$E$2:$E$132,"")</f>
        <v>0.7</v>
      </c>
      <c r="Q35" s="2" cm="1">
        <f t="array" ref="Q35">_xlfn.XLOOKUP(1,('Zehnder Charleston'!$B$2:$B$132=Q$3)*('Zehnder Charleston'!$D$2:$D$132=$B8),'Zehnder Charleston'!$E$2:$E$132,"")</f>
        <v>0.85</v>
      </c>
      <c r="R35" s="2" cm="1">
        <f t="array" ref="R35">_xlfn.XLOOKUP(1,('Zehnder Charleston'!$B$2:$B$132=R$3)*('Zehnder Charleston'!$D$2:$D$132=$B8),'Zehnder Charleston'!$E$2:$E$132,"")</f>
        <v>0.94</v>
      </c>
      <c r="S35" s="2" cm="1">
        <f t="array" ref="S35">_xlfn.XLOOKUP(1,('Zehnder Charleston'!$B$2:$B$132=S$3)*('Zehnder Charleston'!$D$2:$D$132=$B8),'Zehnder Charleston'!$E$2:$E$132,"")</f>
        <v>1.03</v>
      </c>
      <c r="T35" s="2" cm="1">
        <f t="array" ref="T35">_xlfn.XLOOKUP(1,('Zehnder Charleston'!$B$2:$B$132=T$3)*('Zehnder Charleston'!$D$2:$D$132=$B8),'Zehnder Charleston'!$E$2:$E$132,"")</f>
        <v>1.18</v>
      </c>
      <c r="U35" s="2" cm="1">
        <f t="array" ref="U35">_xlfn.XLOOKUP(1,('Zehnder Charleston'!$B$2:$B$132=U$3)*('Zehnder Charleston'!$D$2:$D$132=$B8),'Zehnder Charleston'!$E$2:$E$132,"")</f>
        <v>1.33</v>
      </c>
      <c r="V35" s="2" cm="1">
        <f t="array" ref="V35">_xlfn.XLOOKUP(1,('Zehnder Charleston'!$B$2:$B$132=V$3)*('Zehnder Charleston'!$D$2:$D$132=$B8),'Zehnder Charleston'!$E$2:$E$132,"")</f>
        <v>1.41</v>
      </c>
    </row>
    <row r="36" spans="1:35" x14ac:dyDescent="0.2">
      <c r="C36" s="8"/>
      <c r="D36" s="8"/>
      <c r="E36" s="8"/>
      <c r="F36" s="8"/>
      <c r="G36" s="8"/>
      <c r="H36" s="8"/>
      <c r="I36" s="8"/>
      <c r="J36" s="8"/>
      <c r="K36" s="8"/>
      <c r="L36" s="8"/>
      <c r="M36"/>
      <c r="N36"/>
      <c r="O36"/>
      <c r="P36"/>
      <c r="Q36"/>
    </row>
    <row r="37" spans="1:35" ht="39" x14ac:dyDescent="0.25">
      <c r="A37" s="57" t="s">
        <v>155</v>
      </c>
      <c r="C37" s="4" t="s">
        <v>2</v>
      </c>
      <c r="M37"/>
      <c r="N37"/>
      <c r="O37"/>
      <c r="P37"/>
      <c r="Q37"/>
    </row>
    <row r="38" spans="1:35" x14ac:dyDescent="0.2">
      <c r="A38" s="57"/>
      <c r="B38" s="1"/>
      <c r="C38" s="164">
        <v>260</v>
      </c>
      <c r="D38" s="164">
        <v>292</v>
      </c>
      <c r="E38" s="164">
        <v>342</v>
      </c>
      <c r="F38" s="164">
        <v>392</v>
      </c>
      <c r="G38" s="164">
        <v>442</v>
      </c>
      <c r="H38" s="164">
        <v>492</v>
      </c>
      <c r="I38" s="164">
        <v>542</v>
      </c>
      <c r="J38" s="164">
        <v>592</v>
      </c>
      <c r="K38" s="164">
        <v>742</v>
      </c>
      <c r="L38" s="164">
        <v>892</v>
      </c>
      <c r="M38" s="164">
        <v>992</v>
      </c>
      <c r="N38" s="164">
        <v>1092</v>
      </c>
      <c r="O38" s="164">
        <v>1192</v>
      </c>
      <c r="P38" s="164">
        <v>1492</v>
      </c>
      <c r="Q38" s="164">
        <v>1792</v>
      </c>
      <c r="R38" s="165">
        <v>1992</v>
      </c>
      <c r="S38" s="165">
        <v>2192</v>
      </c>
      <c r="T38" s="165">
        <v>2492</v>
      </c>
      <c r="U38" s="165">
        <v>2792</v>
      </c>
      <c r="V38" s="165">
        <v>2992</v>
      </c>
    </row>
    <row r="39" spans="1:35" x14ac:dyDescent="0.2">
      <c r="A39" s="57" t="s">
        <v>156</v>
      </c>
      <c r="C39" s="5">
        <f t="shared" ref="C39:V39" si="3">C$3</f>
        <v>260</v>
      </c>
      <c r="D39" s="5">
        <f t="shared" si="3"/>
        <v>300</v>
      </c>
      <c r="E39" s="5">
        <f t="shared" si="3"/>
        <v>350</v>
      </c>
      <c r="F39" s="5">
        <f t="shared" si="3"/>
        <v>400</v>
      </c>
      <c r="G39" s="5">
        <f t="shared" si="3"/>
        <v>450</v>
      </c>
      <c r="H39" s="5">
        <f t="shared" si="3"/>
        <v>500</v>
      </c>
      <c r="I39" s="5">
        <f t="shared" si="3"/>
        <v>550</v>
      </c>
      <c r="J39" s="5">
        <f t="shared" si="3"/>
        <v>600</v>
      </c>
      <c r="K39" s="5">
        <f t="shared" si="3"/>
        <v>750</v>
      </c>
      <c r="L39" s="5">
        <f t="shared" si="3"/>
        <v>900</v>
      </c>
      <c r="M39" s="5">
        <f t="shared" si="3"/>
        <v>1000</v>
      </c>
      <c r="N39" s="5">
        <f t="shared" si="3"/>
        <v>1100</v>
      </c>
      <c r="O39" s="5">
        <f t="shared" si="3"/>
        <v>1200</v>
      </c>
      <c r="P39" s="5">
        <f t="shared" si="3"/>
        <v>1500</v>
      </c>
      <c r="Q39" s="5">
        <f t="shared" si="3"/>
        <v>1800</v>
      </c>
      <c r="R39" s="5">
        <f t="shared" si="3"/>
        <v>2000</v>
      </c>
      <c r="S39" s="5">
        <f t="shared" si="3"/>
        <v>2200</v>
      </c>
      <c r="T39" s="5">
        <f t="shared" si="3"/>
        <v>2500</v>
      </c>
      <c r="U39" s="5">
        <f t="shared" si="3"/>
        <v>2800</v>
      </c>
      <c r="V39" s="5">
        <f t="shared" si="3"/>
        <v>3000</v>
      </c>
      <c r="AB39" s="5"/>
      <c r="AC39" s="5"/>
      <c r="AD39" s="5"/>
      <c r="AE39" s="5"/>
      <c r="AF39" s="5"/>
      <c r="AG39" s="5"/>
      <c r="AH39" s="5"/>
      <c r="AI39" s="5"/>
    </row>
    <row r="40" spans="1:35" ht="13.5" x14ac:dyDescent="0.25">
      <c r="A40" s="4" t="s">
        <v>3</v>
      </c>
      <c r="B40" s="2">
        <f>B4</f>
        <v>62</v>
      </c>
      <c r="C40" s="2" cm="1">
        <f t="array" ref="C40">_xlfn.XLOOKUP(1,('Zehnder Charleston'!$B$2:$B$132=C$3)*('Zehnder Charleston'!$D$2:$D$132=$B4),'Zehnder Charleston'!$F$2:$F$132,"")</f>
        <v>0.3</v>
      </c>
      <c r="D40" s="2" cm="1">
        <f t="array" ref="D40">_xlfn.XLOOKUP(1,('Zehnder Charleston'!$B$2:$B$132=D$2)*('Zehnder Charleston'!$D$2:$D$132=$B4),'Zehnder Charleston'!$F$2:$F$132,"")</f>
        <v>0.4</v>
      </c>
      <c r="E40" s="2" cm="1">
        <f t="array" ref="E40">_xlfn.XLOOKUP(1,('Zehnder Charleston'!$B$2:$B$132=E$2)*('Zehnder Charleston'!$D$2:$D$132=$B4),'Zehnder Charleston'!$F$2:$F$132,"")</f>
        <v>0.4</v>
      </c>
      <c r="F40" s="2" cm="1">
        <f t="array" ref="F40">_xlfn.XLOOKUP(1,('Zehnder Charleston'!$B$2:$B$132=F$2)*('Zehnder Charleston'!$D$2:$D$132=$B4),'Zehnder Charleston'!$F$2:$F$132,"")</f>
        <v>0.4</v>
      </c>
      <c r="G40" s="2" cm="1">
        <f t="array" ref="G40">_xlfn.XLOOKUP(1,('Zehnder Charleston'!$B$2:$B$132=G$2)*('Zehnder Charleston'!$D$2:$D$132=$B4),'Zehnder Charleston'!$F$2:$F$132,"")</f>
        <v>0.5</v>
      </c>
      <c r="H40" s="2" cm="1">
        <f t="array" ref="H40">_xlfn.XLOOKUP(1,('Zehnder Charleston'!$B$2:$B$132=H$2)*('Zehnder Charleston'!$D$2:$D$132=$B4),'Zehnder Charleston'!$F$2:$F$132,"")</f>
        <v>0.5</v>
      </c>
      <c r="I40" s="2" cm="1">
        <f t="array" ref="I40">_xlfn.XLOOKUP(1,('Zehnder Charleston'!$B$2:$B$132=I$2)*('Zehnder Charleston'!$D$2:$D$132=$B4),'Zehnder Charleston'!$F$2:$F$132,"")</f>
        <v>0.6</v>
      </c>
      <c r="J40" s="2" cm="1">
        <f t="array" ref="J40">_xlfn.XLOOKUP(1,('Zehnder Charleston'!$B$2:$B$132=J$2)*('Zehnder Charleston'!$D$2:$D$132=$B4),'Zehnder Charleston'!$F$2:$F$132,"")</f>
        <v>0.6</v>
      </c>
      <c r="K40" s="2" cm="1">
        <f t="array" ref="K40">_xlfn.XLOOKUP(1,('Zehnder Charleston'!$B$2:$B$132=K$2)*('Zehnder Charleston'!$D$2:$D$132=$B4),'Zehnder Charleston'!$F$2:$F$132,"")</f>
        <v>0.7</v>
      </c>
      <c r="L40" s="2" cm="1">
        <f t="array" ref="L40">_xlfn.XLOOKUP(1,('Zehnder Charleston'!$B$2:$B$132=L$2)*('Zehnder Charleston'!$D$2:$D$132=$B4),'Zehnder Charleston'!$F$2:$F$132,"")</f>
        <v>0.8</v>
      </c>
      <c r="M40" s="2" cm="1">
        <f t="array" ref="M40">_xlfn.XLOOKUP(1,('Zehnder Charleston'!$B$2:$B$132=M$2)*('Zehnder Charleston'!$D$2:$D$132=$B4),'Zehnder Charleston'!$F$2:$F$132,"")</f>
        <v>0.9</v>
      </c>
      <c r="N40" s="2" cm="1">
        <f t="array" ref="N40">_xlfn.XLOOKUP(1,('Zehnder Charleston'!$B$2:$B$132=N$2)*('Zehnder Charleston'!$D$2:$D$132=$B4),'Zehnder Charleston'!$F$2:$F$132,"")</f>
        <v>1</v>
      </c>
      <c r="O40" s="2" cm="1">
        <f t="array" ref="O40">_xlfn.XLOOKUP(1,('Zehnder Charleston'!$B$2:$B$132=O$2)*('Zehnder Charleston'!$D$2:$D$132=$B4),'Zehnder Charleston'!$F$2:$F$132,"")</f>
        <v>1.1000000000000001</v>
      </c>
      <c r="P40" s="2" cm="1">
        <f t="array" ref="P40">_xlfn.XLOOKUP(1,('Zehnder Charleston'!$B$2:$B$132=P$2)*('Zehnder Charleston'!$D$2:$D$132=$B4),'Zehnder Charleston'!$F$2:$F$132,"")</f>
        <v>1.3</v>
      </c>
      <c r="Q40" s="2" cm="1">
        <f t="array" ref="Q40">_xlfn.XLOOKUP(1,('Zehnder Charleston'!$B$2:$B$132=Q$2)*('Zehnder Charleston'!$D$2:$D$132=$B4),'Zehnder Charleston'!$F$2:$F$132,"")</f>
        <v>1.5</v>
      </c>
      <c r="R40" s="2" cm="1">
        <f t="array" ref="R40">_xlfn.XLOOKUP(1,('Zehnder Charleston'!$B$2:$B$132=R$2)*('Zehnder Charleston'!$D$2:$D$132=$B4),'Zehnder Charleston'!$F$2:$F$132,"")</f>
        <v>1.7</v>
      </c>
      <c r="S40" s="2" cm="1">
        <f t="array" ref="S40">_xlfn.XLOOKUP(1,('Zehnder Charleston'!$B$2:$B$132=S$2)*('Zehnder Charleston'!$D$2:$D$132=$B4),'Zehnder Charleston'!$F$2:$F$132,"")</f>
        <v>1.9</v>
      </c>
      <c r="T40" s="2" cm="1">
        <f t="array" ref="T40">_xlfn.XLOOKUP(1,('Zehnder Charleston'!$B$2:$B$132=T$2)*('Zehnder Charleston'!$D$2:$D$132=$B4),'Zehnder Charleston'!$F$2:$F$132,"")</f>
        <v>2.1</v>
      </c>
      <c r="U40" s="2" cm="1">
        <f t="array" ref="U40">_xlfn.XLOOKUP(1,('Zehnder Charleston'!$B$2:$B$132=U$2)*('Zehnder Charleston'!$D$2:$D$132=$B4),'Zehnder Charleston'!$F$2:$F$132,"")</f>
        <v>2.4</v>
      </c>
      <c r="V40" s="2" cm="1">
        <f t="array" ref="V40">_xlfn.XLOOKUP(1,('Zehnder Charleston'!$B$2:$B$132=V$2)*('Zehnder Charleston'!$D$2:$D$132=$B4),'Zehnder Charleston'!$F$2:$F$132,"")</f>
        <v>2.5</v>
      </c>
      <c r="AB40" s="2" t="str" cm="1">
        <f t="array" ref="AB40">_xlfn.XLOOKUP(1,('Zehnder Charleston'!$B$2:$B$138=V$3)*('Zehnder Charleston'!$D$2:$D$138=$B4),'Zehnder Charleston'!$F$2:$F$138,"")</f>
        <v/>
      </c>
    </row>
    <row r="41" spans="1:35" x14ac:dyDescent="0.2">
      <c r="B41" s="2">
        <f>B5</f>
        <v>100</v>
      </c>
      <c r="C41" s="2" cm="1">
        <f t="array" ref="C41">_xlfn.XLOOKUP(1,('Zehnder Charleston'!$B$2:$B$132=C$3)*('Zehnder Charleston'!$D$2:$D$132=$B5),'Zehnder Charleston'!$F$2:$F$132,"")</f>
        <v>0.5</v>
      </c>
      <c r="D41" s="2" cm="1">
        <f t="array" ref="D41">_xlfn.XLOOKUP(1,('Zehnder Charleston'!$B$2:$B$132=D$3)*('Zehnder Charleston'!$D$2:$D$132=$B5),'Zehnder Charleston'!$F$2:$F$132,"")</f>
        <v>0.6</v>
      </c>
      <c r="E41" s="2" cm="1">
        <f t="array" ref="E41">_xlfn.XLOOKUP(1,('Zehnder Charleston'!$B$2:$B$132=E$3)*('Zehnder Charleston'!$D$2:$D$132=$B5),'Zehnder Charleston'!$F$2:$F$132,"")</f>
        <v>0.6</v>
      </c>
      <c r="F41" s="2" cm="1">
        <f t="array" ref="F41">_xlfn.XLOOKUP(1,('Zehnder Charleston'!$B$2:$B$132=F$3)*('Zehnder Charleston'!$D$2:$D$132=$B5),'Zehnder Charleston'!$F$2:$F$132,"")</f>
        <v>0.7</v>
      </c>
      <c r="G41" s="2" cm="1">
        <f t="array" ref="G41">_xlfn.XLOOKUP(1,('Zehnder Charleston'!$B$2:$B$132=G$3)*('Zehnder Charleston'!$D$2:$D$132=$B5),'Zehnder Charleston'!$F$2:$F$132,"")</f>
        <v>0.7</v>
      </c>
      <c r="H41" s="2" cm="1">
        <f t="array" ref="H41">_xlfn.XLOOKUP(1,('Zehnder Charleston'!$B$2:$B$132=H$3)*('Zehnder Charleston'!$D$2:$D$132=$B5),'Zehnder Charleston'!$F$2:$F$132,"")</f>
        <v>0.8</v>
      </c>
      <c r="I41" s="2" cm="1">
        <f t="array" ref="I41">_xlfn.XLOOKUP(1,('Zehnder Charleston'!$B$2:$B$132=I$3)*('Zehnder Charleston'!$D$2:$D$132=$B5),'Zehnder Charleston'!$F$2:$F$132,"")</f>
        <v>0.9</v>
      </c>
      <c r="J41" s="2" cm="1">
        <f t="array" ref="J41">_xlfn.XLOOKUP(1,('Zehnder Charleston'!$B$2:$B$132=J$3)*('Zehnder Charleston'!$D$2:$D$132=$B5),'Zehnder Charleston'!$F$2:$F$132,"")</f>
        <v>0.9</v>
      </c>
      <c r="K41" s="2" cm="1">
        <f t="array" ref="K41">_xlfn.XLOOKUP(1,('Zehnder Charleston'!$B$2:$B$132=K$3)*('Zehnder Charleston'!$D$2:$D$132=$B5),'Zehnder Charleston'!$F$2:$F$132,"")</f>
        <v>1.1000000000000001</v>
      </c>
      <c r="L41" s="2" cm="1">
        <f t="array" ref="L41">_xlfn.XLOOKUP(1,('Zehnder Charleston'!$B$2:$B$132=L$3)*('Zehnder Charleston'!$D$2:$D$132=$B5),'Zehnder Charleston'!$F$2:$F$132,"")</f>
        <v>1.3</v>
      </c>
      <c r="M41" s="2" cm="1">
        <f t="array" ref="M41">_xlfn.XLOOKUP(1,('Zehnder Charleston'!$B$2:$B$132=M$3)*('Zehnder Charleston'!$D$2:$D$132=$B5),'Zehnder Charleston'!$F$2:$F$132,"")</f>
        <v>1.4</v>
      </c>
      <c r="N41" s="2" cm="1">
        <f t="array" ref="N41">_xlfn.XLOOKUP(1,('Zehnder Charleston'!$B$2:$B$132=N$3)*('Zehnder Charleston'!$D$2:$D$132=$B5),'Zehnder Charleston'!$F$2:$F$132,"")</f>
        <v>1.5</v>
      </c>
      <c r="O41" s="2" cm="1">
        <f t="array" ref="O41">_xlfn.XLOOKUP(1,('Zehnder Charleston'!$B$2:$B$132=O$3)*('Zehnder Charleston'!$D$2:$D$132=$B5),'Zehnder Charleston'!$F$2:$F$132,"")</f>
        <v>1.6</v>
      </c>
      <c r="P41" s="2" cm="1">
        <f t="array" ref="P41">_xlfn.XLOOKUP(1,('Zehnder Charleston'!$B$2:$B$132=P$3)*('Zehnder Charleston'!$D$2:$D$132=$B5),'Zehnder Charleston'!$F$2:$F$132,"")</f>
        <v>2</v>
      </c>
      <c r="Q41" s="2" cm="1">
        <f t="array" ref="Q41">_xlfn.XLOOKUP(1,('Zehnder Charleston'!$B$2:$B$132=Q$3)*('Zehnder Charleston'!$D$2:$D$132=$B5),'Zehnder Charleston'!$F$2:$F$132,"")</f>
        <v>2.4</v>
      </c>
      <c r="R41" s="2" cm="1">
        <f t="array" ref="R41">_xlfn.XLOOKUP(1,('Zehnder Charleston'!$B$2:$B$132=R$3)*('Zehnder Charleston'!$D$2:$D$132=$B5),'Zehnder Charleston'!$F$2:$F$132,"")</f>
        <v>2.6</v>
      </c>
      <c r="S41" s="2" cm="1">
        <f t="array" ref="S41">_xlfn.XLOOKUP(1,('Zehnder Charleston'!$B$2:$B$132=S$3)*('Zehnder Charleston'!$D$2:$D$132=$B5),'Zehnder Charleston'!$F$2:$F$132,"")</f>
        <v>2.9</v>
      </c>
      <c r="T41" s="2" cm="1">
        <f t="array" ref="T41">_xlfn.XLOOKUP(1,('Zehnder Charleston'!$B$2:$B$132=T$3)*('Zehnder Charleston'!$D$2:$D$132=$B5),'Zehnder Charleston'!$F$2:$F$132,"")</f>
        <v>3.2</v>
      </c>
      <c r="U41" s="2" cm="1">
        <f t="array" ref="U41">_xlfn.XLOOKUP(1,('Zehnder Charleston'!$B$2:$B$132=U$3)*('Zehnder Charleston'!$D$2:$D$132=$B5),'Zehnder Charleston'!$F$2:$F$132,"")</f>
        <v>3.6</v>
      </c>
      <c r="V41" s="2" cm="1">
        <f t="array" ref="V41">_xlfn.XLOOKUP(1,('Zehnder Charleston'!$B$2:$B$132=V$3)*('Zehnder Charleston'!$D$2:$D$132=$B5),'Zehnder Charleston'!$F$2:$F$132,"")</f>
        <v>3.9</v>
      </c>
    </row>
    <row r="42" spans="1:35" x14ac:dyDescent="0.2">
      <c r="B42" s="2">
        <f>B6</f>
        <v>136</v>
      </c>
      <c r="C42" s="2" cm="1">
        <f t="array" ref="C42">_xlfn.XLOOKUP(1,('Zehnder Charleston'!$B$2:$B$132=C$3)*('Zehnder Charleston'!$D$2:$D$132=$B6),'Zehnder Charleston'!$F$2:$F$132,"")</f>
        <v>0.7</v>
      </c>
      <c r="D42" s="2" cm="1">
        <f t="array" ref="D42">_xlfn.XLOOKUP(1,('Zehnder Charleston'!$B$2:$B$132=D$3)*('Zehnder Charleston'!$D$2:$D$132=$B6),'Zehnder Charleston'!$F$2:$F$132,"")</f>
        <v>0.7</v>
      </c>
      <c r="E42" s="2" cm="1">
        <f t="array" ref="E42">_xlfn.XLOOKUP(1,('Zehnder Charleston'!$B$2:$B$132=E$3)*('Zehnder Charleston'!$D$2:$D$132=$B6),'Zehnder Charleston'!$F$2:$F$132,"")</f>
        <v>0.8</v>
      </c>
      <c r="F42" s="2" cm="1">
        <f t="array" ref="F42">_xlfn.XLOOKUP(1,('Zehnder Charleston'!$B$2:$B$132=F$3)*('Zehnder Charleston'!$D$2:$D$132=$B6),'Zehnder Charleston'!$F$2:$F$132,"")</f>
        <v>0.9</v>
      </c>
      <c r="G42" s="2" cm="1">
        <f t="array" ref="G42">_xlfn.XLOOKUP(1,('Zehnder Charleston'!$B$2:$B$132=G$3)*('Zehnder Charleston'!$D$2:$D$132=$B6),'Zehnder Charleston'!$F$2:$F$132,"")</f>
        <v>1</v>
      </c>
      <c r="H42" s="2" cm="1">
        <f t="array" ref="H42">_xlfn.XLOOKUP(1,('Zehnder Charleston'!$B$2:$B$132=H$3)*('Zehnder Charleston'!$D$2:$D$132=$B6),'Zehnder Charleston'!$F$2:$F$132,"")</f>
        <v>1</v>
      </c>
      <c r="I42" s="2" cm="1">
        <f t="array" ref="I42">_xlfn.XLOOKUP(1,('Zehnder Charleston'!$B$2:$B$132=I$3)*('Zehnder Charleston'!$D$2:$D$132=$B6),'Zehnder Charleston'!$F$2:$F$132,"")</f>
        <v>1.1000000000000001</v>
      </c>
      <c r="J42" s="2" cm="1">
        <f t="array" ref="J42">_xlfn.XLOOKUP(1,('Zehnder Charleston'!$B$2:$B$132=J$3)*('Zehnder Charleston'!$D$2:$D$132=$B6),'Zehnder Charleston'!$F$2:$F$132,"")</f>
        <v>1.2</v>
      </c>
      <c r="K42" s="2" cm="1">
        <f t="array" ref="K42">_xlfn.XLOOKUP(1,('Zehnder Charleston'!$B$2:$B$132=K$3)*('Zehnder Charleston'!$D$2:$D$132=$B6),'Zehnder Charleston'!$F$2:$F$132,"")</f>
        <v>1.4</v>
      </c>
      <c r="L42" s="2" cm="1">
        <f t="array" ref="L42">_xlfn.XLOOKUP(1,('Zehnder Charleston'!$B$2:$B$132=L$3)*('Zehnder Charleston'!$D$2:$D$132=$B6),'Zehnder Charleston'!$F$2:$F$132,"")</f>
        <v>1.7</v>
      </c>
      <c r="M42" s="2" cm="1">
        <f t="array" ref="M42">_xlfn.XLOOKUP(1,('Zehnder Charleston'!$B$2:$B$132=M$3)*('Zehnder Charleston'!$D$2:$D$132=$B6),'Zehnder Charleston'!$F$2:$F$132,"")</f>
        <v>1.8</v>
      </c>
      <c r="N42" s="2" cm="1">
        <f t="array" ref="N42">_xlfn.XLOOKUP(1,('Zehnder Charleston'!$B$2:$B$132=N$3)*('Zehnder Charleston'!$D$2:$D$132=$B6),'Zehnder Charleston'!$F$2:$F$132,"")</f>
        <v>2</v>
      </c>
      <c r="O42" s="2" cm="1">
        <f t="array" ref="O42">_xlfn.XLOOKUP(1,('Zehnder Charleston'!$B$2:$B$132=O$3)*('Zehnder Charleston'!$D$2:$D$132=$B6),'Zehnder Charleston'!$F$2:$F$132,"")</f>
        <v>2.1</v>
      </c>
      <c r="P42" s="2" cm="1">
        <f t="array" ref="P42">_xlfn.XLOOKUP(1,('Zehnder Charleston'!$B$2:$B$132=P$3)*('Zehnder Charleston'!$D$2:$D$132=$B6),'Zehnder Charleston'!$F$2:$F$132,"")</f>
        <v>2.6</v>
      </c>
      <c r="Q42" s="2" cm="1">
        <f t="array" ref="Q42">_xlfn.XLOOKUP(1,('Zehnder Charleston'!$B$2:$B$132=Q$3)*('Zehnder Charleston'!$D$2:$D$132=$B6),'Zehnder Charleston'!$F$2:$F$132,"")</f>
        <v>3.1</v>
      </c>
      <c r="R42" s="2" cm="1">
        <f t="array" ref="R42">_xlfn.XLOOKUP(1,('Zehnder Charleston'!$B$2:$B$132=R$3)*('Zehnder Charleston'!$D$2:$D$132=$B6),'Zehnder Charleston'!$F$2:$F$132,"")</f>
        <v>3.4</v>
      </c>
      <c r="S42" s="2" cm="1">
        <f t="array" ref="S42">_xlfn.XLOOKUP(1,('Zehnder Charleston'!$B$2:$B$132=S$3)*('Zehnder Charleston'!$D$2:$D$132=$B6),'Zehnder Charleston'!$F$2:$F$132,"")</f>
        <v>3.8</v>
      </c>
      <c r="T42" s="2" cm="1">
        <f t="array" ref="T42">_xlfn.XLOOKUP(1,('Zehnder Charleston'!$B$2:$B$132=T$3)*('Zehnder Charleston'!$D$2:$D$132=$B6),'Zehnder Charleston'!$F$2:$F$132,"")</f>
        <v>4.3</v>
      </c>
      <c r="U42" s="2" cm="1">
        <f t="array" ref="U42">_xlfn.XLOOKUP(1,('Zehnder Charleston'!$B$2:$B$132=U$3)*('Zehnder Charleston'!$D$2:$D$132=$B6),'Zehnder Charleston'!$F$2:$F$132,"")</f>
        <v>4.8</v>
      </c>
      <c r="V42" s="2" cm="1">
        <f t="array" ref="V42">_xlfn.XLOOKUP(1,('Zehnder Charleston'!$B$2:$B$132=V$3)*('Zehnder Charleston'!$D$2:$D$132=$B6),'Zehnder Charleston'!$F$2:$F$132,"")</f>
        <v>5.0999999999999996</v>
      </c>
    </row>
    <row r="43" spans="1:35" x14ac:dyDescent="0.2">
      <c r="B43" s="2">
        <f>B7</f>
        <v>173</v>
      </c>
      <c r="C43" s="2" cm="1">
        <f t="array" ref="C43">_xlfn.XLOOKUP(1,('Zehnder Charleston'!$B$2:$B$132=C$3)*('Zehnder Charleston'!$D$2:$D$132=$B7),'Zehnder Charleston'!$F$2:$F$132,"")</f>
        <v>0.8</v>
      </c>
      <c r="D43" s="2" cm="1">
        <f t="array" ref="D43">_xlfn.XLOOKUP(1,('Zehnder Charleston'!$B$2:$B$132=D$3)*('Zehnder Charleston'!$D$2:$D$132=$B7),'Zehnder Charleston'!$F$2:$F$132,"")</f>
        <v>0.9</v>
      </c>
      <c r="E43" s="2" cm="1">
        <f t="array" ref="E43">_xlfn.XLOOKUP(1,('Zehnder Charleston'!$B$2:$B$132=E$3)*('Zehnder Charleston'!$D$2:$D$132=$B7),'Zehnder Charleston'!$F$2:$F$132,"")</f>
        <v>1</v>
      </c>
      <c r="F43" s="2" cm="1">
        <f t="array" ref="F43">_xlfn.XLOOKUP(1,('Zehnder Charleston'!$B$2:$B$132=F$3)*('Zehnder Charleston'!$D$2:$D$132=$B7),'Zehnder Charleston'!$F$2:$F$132,"")</f>
        <v>1.1000000000000001</v>
      </c>
      <c r="G43" s="2" cm="1">
        <f t="array" ref="G43">_xlfn.XLOOKUP(1,('Zehnder Charleston'!$B$2:$B$132=G$3)*('Zehnder Charleston'!$D$2:$D$132=$B7),'Zehnder Charleston'!$F$2:$F$132,"")</f>
        <v>1.2</v>
      </c>
      <c r="H43" s="2" cm="1">
        <f t="array" ref="H43">_xlfn.XLOOKUP(1,('Zehnder Charleston'!$B$2:$B$132=H$3)*('Zehnder Charleston'!$D$2:$D$132=$B7),'Zehnder Charleston'!$F$2:$F$132,"")</f>
        <v>1.3</v>
      </c>
      <c r="I43" s="2" cm="1">
        <f t="array" ref="I43">_xlfn.XLOOKUP(1,('Zehnder Charleston'!$B$2:$B$132=I$3)*('Zehnder Charleston'!$D$2:$D$132=$B7),'Zehnder Charleston'!$F$2:$F$132,"")</f>
        <v>1.3</v>
      </c>
      <c r="J43" s="2" cm="1">
        <f t="array" ref="J43">_xlfn.XLOOKUP(1,('Zehnder Charleston'!$B$2:$B$132=J$3)*('Zehnder Charleston'!$D$2:$D$132=$B7),'Zehnder Charleston'!$F$2:$F$132,"")</f>
        <v>1.5</v>
      </c>
      <c r="K43" s="2" cm="1">
        <f t="array" ref="K43">_xlfn.XLOOKUP(1,('Zehnder Charleston'!$B$2:$B$132=K$3)*('Zehnder Charleston'!$D$2:$D$132=$B7),'Zehnder Charleston'!$F$2:$F$132,"")</f>
        <v>1.8</v>
      </c>
      <c r="L43" s="2" cm="1">
        <f t="array" ref="L43">_xlfn.XLOOKUP(1,('Zehnder Charleston'!$B$2:$B$132=L$3)*('Zehnder Charleston'!$D$2:$D$132=$B7),'Zehnder Charleston'!$F$2:$F$132,"")</f>
        <v>2.1</v>
      </c>
      <c r="M43" s="2" cm="1">
        <f t="array" ref="M43">_xlfn.XLOOKUP(1,('Zehnder Charleston'!$B$2:$B$132=M$3)*('Zehnder Charleston'!$D$2:$D$132=$B7),'Zehnder Charleston'!$F$2:$F$132,"")</f>
        <v>2.2999999999999998</v>
      </c>
      <c r="N43" s="2" cm="1">
        <f t="array" ref="N43">_xlfn.XLOOKUP(1,('Zehnder Charleston'!$B$2:$B$132=N$3)*('Zehnder Charleston'!$D$2:$D$132=$B7),'Zehnder Charleston'!$F$2:$F$132,"")</f>
        <v>2.5</v>
      </c>
      <c r="O43" s="2" cm="1">
        <f t="array" ref="O43">_xlfn.XLOOKUP(1,('Zehnder Charleston'!$B$2:$B$132=O$3)*('Zehnder Charleston'!$D$2:$D$132=$B7),'Zehnder Charleston'!$F$2:$F$132,"")</f>
        <v>2.7</v>
      </c>
      <c r="P43" s="2" cm="1">
        <f t="array" ref="P43">_xlfn.XLOOKUP(1,('Zehnder Charleston'!$B$2:$B$132=P$3)*('Zehnder Charleston'!$D$2:$D$132=$B7),'Zehnder Charleston'!$F$2:$F$132,"")</f>
        <v>3.3</v>
      </c>
      <c r="Q43" s="2" cm="1">
        <f t="array" ref="Q43">_xlfn.XLOOKUP(1,('Zehnder Charleston'!$B$2:$B$132=Q$3)*('Zehnder Charleston'!$D$2:$D$132=$B7),'Zehnder Charleston'!$F$2:$F$132,"")</f>
        <v>3.9</v>
      </c>
      <c r="R43" s="2" cm="1">
        <f t="array" ref="R43">_xlfn.XLOOKUP(1,('Zehnder Charleston'!$B$2:$B$132=R$3)*('Zehnder Charleston'!$D$2:$D$132=$B7),'Zehnder Charleston'!$F$2:$F$132,"")</f>
        <v>4.3</v>
      </c>
      <c r="S43" s="2" cm="1">
        <f t="array" ref="S43">_xlfn.XLOOKUP(1,('Zehnder Charleston'!$B$2:$B$132=S$3)*('Zehnder Charleston'!$D$2:$D$132=$B7),'Zehnder Charleston'!$F$2:$F$132,"")</f>
        <v>4.7</v>
      </c>
      <c r="T43" s="2" cm="1">
        <f t="array" ref="T43">_xlfn.XLOOKUP(1,('Zehnder Charleston'!$B$2:$B$132=T$3)*('Zehnder Charleston'!$D$2:$D$132=$B7),'Zehnder Charleston'!$F$2:$F$132,"")</f>
        <v>5.3</v>
      </c>
      <c r="U43" s="2" cm="1">
        <f t="array" ref="U43">_xlfn.XLOOKUP(1,('Zehnder Charleston'!$B$2:$B$132=U$3)*('Zehnder Charleston'!$D$2:$D$132=$B7),'Zehnder Charleston'!$F$2:$F$132,"")</f>
        <v>5.9</v>
      </c>
      <c r="V43" s="2" cm="1">
        <f t="array" ref="V43">_xlfn.XLOOKUP(1,('Zehnder Charleston'!$B$2:$B$132=V$3)*('Zehnder Charleston'!$D$2:$D$132=$B7),'Zehnder Charleston'!$F$2:$F$132,"")</f>
        <v>6.4</v>
      </c>
    </row>
    <row r="44" spans="1:35" x14ac:dyDescent="0.2">
      <c r="B44" s="2">
        <f>B8</f>
        <v>210</v>
      </c>
      <c r="C44" s="2" cm="1">
        <f t="array" ref="C44">_xlfn.XLOOKUP(1,('Zehnder Charleston'!$B$2:$B$132=C$3)*('Zehnder Charleston'!$D$2:$D$132=$B8),'Zehnder Charleston'!$F$2:$F$132,"")</f>
        <v>1</v>
      </c>
      <c r="D44" s="2" cm="1">
        <f t="array" ref="D44">_xlfn.XLOOKUP(1,('Zehnder Charleston'!$B$2:$B$132=D$3)*('Zehnder Charleston'!$D$2:$D$132=$B8),'Zehnder Charleston'!$F$2:$F$132,"")</f>
        <v>1.1000000000000001</v>
      </c>
      <c r="E44" s="2" cm="1">
        <f t="array" ref="E44">_xlfn.XLOOKUP(1,('Zehnder Charleston'!$B$2:$B$132=E$3)*('Zehnder Charleston'!$D$2:$D$132=$B8),'Zehnder Charleston'!$F$2:$F$132,"")</f>
        <v>1.2</v>
      </c>
      <c r="F44" s="2" cm="1">
        <f t="array" ref="F44">_xlfn.XLOOKUP(1,('Zehnder Charleston'!$B$2:$B$132=F$3)*('Zehnder Charleston'!$D$2:$D$132=$B8),'Zehnder Charleston'!$F$2:$F$132,"")</f>
        <v>1.3</v>
      </c>
      <c r="G44" s="2" cm="1">
        <f t="array" ref="G44">_xlfn.XLOOKUP(1,('Zehnder Charleston'!$B$2:$B$132=G$3)*('Zehnder Charleston'!$D$2:$D$132=$B8),'Zehnder Charleston'!$F$2:$F$132,"")</f>
        <v>1.4</v>
      </c>
      <c r="H44" s="2" cm="1">
        <f t="array" ref="H44">_xlfn.XLOOKUP(1,('Zehnder Charleston'!$B$2:$B$132=H$3)*('Zehnder Charleston'!$D$2:$D$132=$B8),'Zehnder Charleston'!$F$2:$F$132,"")</f>
        <v>1.5</v>
      </c>
      <c r="I44" s="2" cm="1">
        <f t="array" ref="I44">_xlfn.XLOOKUP(1,('Zehnder Charleston'!$B$2:$B$132=I$3)*('Zehnder Charleston'!$D$2:$D$132=$B8),'Zehnder Charleston'!$F$2:$F$132,"")</f>
        <v>1.6</v>
      </c>
      <c r="J44" s="2" cm="1">
        <f t="array" ref="J44">_xlfn.XLOOKUP(1,('Zehnder Charleston'!$B$2:$B$132=J$3)*('Zehnder Charleston'!$D$2:$D$132=$B8),'Zehnder Charleston'!$F$2:$F$132,"")</f>
        <v>1.8</v>
      </c>
      <c r="K44" s="2" cm="1">
        <f t="array" ref="K44">_xlfn.XLOOKUP(1,('Zehnder Charleston'!$B$2:$B$132=K$3)*('Zehnder Charleston'!$D$2:$D$132=$B8),'Zehnder Charleston'!$F$2:$F$132,"")</f>
        <v>2.1</v>
      </c>
      <c r="L44" s="2" cm="1">
        <f t="array" ref="L44">_xlfn.XLOOKUP(1,('Zehnder Charleston'!$B$2:$B$132=L$3)*('Zehnder Charleston'!$D$2:$D$132=$B8),'Zehnder Charleston'!$F$2:$F$132,"")</f>
        <v>2.5</v>
      </c>
      <c r="M44" s="2" cm="1">
        <f t="array" ref="M44">_xlfn.XLOOKUP(1,('Zehnder Charleston'!$B$2:$B$132=M$3)*('Zehnder Charleston'!$D$2:$D$132=$B8),'Zehnder Charleston'!$F$2:$F$132,"")</f>
        <v>2.7</v>
      </c>
      <c r="N44" s="2" cm="1">
        <f t="array" ref="N44">_xlfn.XLOOKUP(1,('Zehnder Charleston'!$B$2:$B$132=N$3)*('Zehnder Charleston'!$D$2:$D$132=$B8),'Zehnder Charleston'!$F$2:$F$132,"")</f>
        <v>3</v>
      </c>
      <c r="O44" s="2" cm="1">
        <f t="array" ref="O44">_xlfn.XLOOKUP(1,('Zehnder Charleston'!$B$2:$B$132=O$3)*('Zehnder Charleston'!$D$2:$D$132=$B8),'Zehnder Charleston'!$F$2:$F$132,"")</f>
        <v>3.2</v>
      </c>
      <c r="P44" s="2" cm="1">
        <f t="array" ref="P44">_xlfn.XLOOKUP(1,('Zehnder Charleston'!$B$2:$B$132=P$3)*('Zehnder Charleston'!$D$2:$D$132=$B8),'Zehnder Charleston'!$F$2:$F$132,"")</f>
        <v>4</v>
      </c>
      <c r="Q44" s="2" cm="1">
        <f t="array" ref="Q44">_xlfn.XLOOKUP(1,('Zehnder Charleston'!$B$2:$B$132=Q$3)*('Zehnder Charleston'!$D$2:$D$132=$B8),'Zehnder Charleston'!$F$2:$F$132,"")</f>
        <v>4.7</v>
      </c>
      <c r="R44" s="2" cm="1">
        <f t="array" ref="R44">_xlfn.XLOOKUP(1,('Zehnder Charleston'!$B$2:$B$132=R$3)*('Zehnder Charleston'!$D$2:$D$132=$B8),'Zehnder Charleston'!$F$2:$F$132,"")</f>
        <v>5.2</v>
      </c>
      <c r="S44" s="2" cm="1">
        <f t="array" ref="S44">_xlfn.XLOOKUP(1,('Zehnder Charleston'!$B$2:$B$132=S$3)*('Zehnder Charleston'!$D$2:$D$132=$B8),'Zehnder Charleston'!$F$2:$F$132,"")</f>
        <v>5.6</v>
      </c>
      <c r="T44" s="2" cm="1">
        <f t="array" ref="T44">_xlfn.XLOOKUP(1,('Zehnder Charleston'!$B$2:$B$132=T$3)*('Zehnder Charleston'!$D$2:$D$132=$B8),'Zehnder Charleston'!$F$2:$F$132,"")</f>
        <v>6.3</v>
      </c>
      <c r="U44" s="2" cm="1">
        <f t="array" ref="U44">_xlfn.XLOOKUP(1,('Zehnder Charleston'!$B$2:$B$132=U$3)*('Zehnder Charleston'!$D$2:$D$132=$B8),'Zehnder Charleston'!$F$2:$F$132,"")</f>
        <v>7</v>
      </c>
      <c r="V44" s="2" cm="1">
        <f t="array" ref="V44">_xlfn.XLOOKUP(1,('Zehnder Charleston'!$B$2:$B$132=V$3)*('Zehnder Charleston'!$D$2:$D$132=$B8),'Zehnder Charleston'!$F$2:$F$132,"")</f>
        <v>7.5</v>
      </c>
    </row>
    <row r="45" spans="1:35" x14ac:dyDescent="0.2">
      <c r="M45"/>
      <c r="N45"/>
      <c r="O45"/>
      <c r="P45"/>
      <c r="Q45"/>
    </row>
    <row r="46" spans="1:35" ht="51.75" x14ac:dyDescent="0.25">
      <c r="A46" s="57" t="s">
        <v>157</v>
      </c>
      <c r="C46" s="4" t="s">
        <v>2</v>
      </c>
      <c r="M46"/>
      <c r="N46"/>
      <c r="O46"/>
      <c r="P46"/>
      <c r="Q46"/>
    </row>
    <row r="47" spans="1:35" x14ac:dyDescent="0.2">
      <c r="A47" s="57"/>
      <c r="B47" s="1"/>
      <c r="C47" s="164">
        <v>260</v>
      </c>
      <c r="D47" s="164">
        <v>292</v>
      </c>
      <c r="E47" s="164">
        <v>342</v>
      </c>
      <c r="F47" s="164">
        <v>392</v>
      </c>
      <c r="G47" s="164">
        <v>442</v>
      </c>
      <c r="H47" s="164">
        <v>492</v>
      </c>
      <c r="I47" s="164">
        <v>542</v>
      </c>
      <c r="J47" s="164">
        <v>592</v>
      </c>
      <c r="K47" s="164">
        <v>742</v>
      </c>
      <c r="L47" s="164">
        <v>892</v>
      </c>
      <c r="M47" s="164">
        <v>992</v>
      </c>
      <c r="N47" s="164">
        <v>1092</v>
      </c>
      <c r="O47" s="164">
        <v>1192</v>
      </c>
      <c r="P47" s="164">
        <v>1492</v>
      </c>
      <c r="Q47" s="164">
        <v>1792</v>
      </c>
      <c r="R47" s="165">
        <v>1992</v>
      </c>
      <c r="S47" s="165">
        <v>2192</v>
      </c>
      <c r="T47" s="165">
        <v>2492</v>
      </c>
      <c r="U47" s="165">
        <v>2792</v>
      </c>
      <c r="V47" s="165">
        <v>2992</v>
      </c>
    </row>
    <row r="48" spans="1:35" x14ac:dyDescent="0.2">
      <c r="A48" s="57" t="s">
        <v>158</v>
      </c>
      <c r="C48" s="5">
        <f t="shared" ref="C48:V48" si="4">C$3</f>
        <v>260</v>
      </c>
      <c r="D48" s="5">
        <f t="shared" si="4"/>
        <v>300</v>
      </c>
      <c r="E48" s="5">
        <f t="shared" si="4"/>
        <v>350</v>
      </c>
      <c r="F48" s="5">
        <f t="shared" si="4"/>
        <v>400</v>
      </c>
      <c r="G48" s="5">
        <f t="shared" si="4"/>
        <v>450</v>
      </c>
      <c r="H48" s="5">
        <f t="shared" si="4"/>
        <v>500</v>
      </c>
      <c r="I48" s="5">
        <f t="shared" si="4"/>
        <v>550</v>
      </c>
      <c r="J48" s="5">
        <f t="shared" si="4"/>
        <v>600</v>
      </c>
      <c r="K48" s="5">
        <f t="shared" si="4"/>
        <v>750</v>
      </c>
      <c r="L48" s="5">
        <f t="shared" si="4"/>
        <v>900</v>
      </c>
      <c r="M48" s="5">
        <f t="shared" si="4"/>
        <v>1000</v>
      </c>
      <c r="N48" s="5">
        <f t="shared" si="4"/>
        <v>1100</v>
      </c>
      <c r="O48" s="5">
        <f t="shared" si="4"/>
        <v>1200</v>
      </c>
      <c r="P48" s="5">
        <f t="shared" si="4"/>
        <v>1500</v>
      </c>
      <c r="Q48" s="5">
        <f t="shared" si="4"/>
        <v>1800</v>
      </c>
      <c r="R48" s="5">
        <f t="shared" si="4"/>
        <v>2000</v>
      </c>
      <c r="S48" s="5">
        <f t="shared" si="4"/>
        <v>2200</v>
      </c>
      <c r="T48" s="5">
        <f t="shared" si="4"/>
        <v>2500</v>
      </c>
      <c r="U48" s="5">
        <f t="shared" si="4"/>
        <v>2800</v>
      </c>
      <c r="V48" s="5">
        <f t="shared" si="4"/>
        <v>3000</v>
      </c>
    </row>
    <row r="49" spans="1:28" ht="13.5" x14ac:dyDescent="0.25">
      <c r="A49" s="4" t="s">
        <v>3</v>
      </c>
      <c r="B49" s="2">
        <f>B4</f>
        <v>62</v>
      </c>
      <c r="C49" s="2" cm="1">
        <f t="array" ref="C49">_xlfn.XLOOKUP(1,('Zehnder Charleston'!$B$2:$B$132=C$3)*('Zehnder Charleston'!$D$2:$D$132=$B4),'Zehnder Charleston'!$I$2:$I$132,"")</f>
        <v>1.8</v>
      </c>
      <c r="D49" s="2" cm="1">
        <f t="array" ref="D49">_xlfn.XLOOKUP(1,('Zehnder Charleston'!$B$2:$B$132=D$2)*('Zehnder Charleston'!$D$2:$D$132=$B4),'Zehnder Charleston'!$I$2:$I$132,"")</f>
        <v>2</v>
      </c>
      <c r="E49" s="2" cm="1">
        <f t="array" ref="E49">_xlfn.XLOOKUP(1,('Zehnder Charleston'!$B$2:$B$132=E$2)*('Zehnder Charleston'!$D$2:$D$132=$B4),'Zehnder Charleston'!$I$2:$I$132,"")</f>
        <v>2.4</v>
      </c>
      <c r="F49" s="2" cm="1">
        <f t="array" ref="F49">_xlfn.XLOOKUP(1,('Zehnder Charleston'!$B$2:$B$132=F$2)*('Zehnder Charleston'!$D$2:$D$132=$B4),'Zehnder Charleston'!$I$2:$I$132,"")</f>
        <v>2.7</v>
      </c>
      <c r="G49" s="2" cm="1">
        <f t="array" ref="G49">_xlfn.XLOOKUP(1,('Zehnder Charleston'!$B$2:$B$132=G$2)*('Zehnder Charleston'!$D$2:$D$132=$B4),'Zehnder Charleston'!$I$2:$I$132,"")</f>
        <v>3</v>
      </c>
      <c r="H49" s="2" cm="1">
        <f t="array" ref="H49">_xlfn.XLOOKUP(1,('Zehnder Charleston'!$B$2:$B$132=H$2)*('Zehnder Charleston'!$D$2:$D$132=$B4),'Zehnder Charleston'!$I$2:$I$132,"")</f>
        <v>3.3</v>
      </c>
      <c r="I49" s="2" cm="1">
        <f t="array" ref="I49">_xlfn.XLOOKUP(1,('Zehnder Charleston'!$B$2:$B$132=I$2)*('Zehnder Charleston'!$D$2:$D$132=$B4),'Zehnder Charleston'!$I$2:$I$132,"")</f>
        <v>3.6</v>
      </c>
      <c r="J49" s="2" cm="1">
        <f t="array" ref="J49">_xlfn.XLOOKUP(1,('Zehnder Charleston'!$B$2:$B$132=J$2)*('Zehnder Charleston'!$D$2:$D$132=$B4),'Zehnder Charleston'!$I$2:$I$132,"")</f>
        <v>3.9</v>
      </c>
      <c r="K49" s="2" cm="1">
        <f t="array" ref="K49">_xlfn.XLOOKUP(1,('Zehnder Charleston'!$B$2:$B$132=K$2)*('Zehnder Charleston'!$D$2:$D$132=$B4),'Zehnder Charleston'!$I$2:$I$132,"")</f>
        <v>4.7</v>
      </c>
      <c r="L49" s="2" cm="1">
        <f t="array" ref="L49">_xlfn.XLOOKUP(1,('Zehnder Charleston'!$B$2:$B$132=L$2)*('Zehnder Charleston'!$D$2:$D$132=$B4),'Zehnder Charleston'!$I$2:$I$132,"")</f>
        <v>5.5</v>
      </c>
      <c r="M49" s="2" cm="1">
        <f t="array" ref="M49">_xlfn.XLOOKUP(1,('Zehnder Charleston'!$B$2:$B$132=M$2)*('Zehnder Charleston'!$D$2:$D$132=$B4),'Zehnder Charleston'!$I$2:$I$132,"")</f>
        <v>6</v>
      </c>
      <c r="N49" s="2" cm="1">
        <f t="array" ref="N49">_xlfn.XLOOKUP(1,('Zehnder Charleston'!$B$2:$B$132=N$2)*('Zehnder Charleston'!$D$2:$D$132=$B4),'Zehnder Charleston'!$I$2:$I$132,"")</f>
        <v>6.4</v>
      </c>
      <c r="O49" s="2" cm="1">
        <f t="array" ref="O49">_xlfn.XLOOKUP(1,('Zehnder Charleston'!$B$2:$B$132=O$2)*('Zehnder Charleston'!$D$2:$D$132=$B4),'Zehnder Charleston'!$I$2:$I$132,"")</f>
        <v>7.1</v>
      </c>
      <c r="P49" s="2" cm="1">
        <f t="array" ref="P49">_xlfn.XLOOKUP(1,('Zehnder Charleston'!$B$2:$B$132=P$2)*('Zehnder Charleston'!$D$2:$D$132=$B4),'Zehnder Charleston'!$I$2:$I$132,"")</f>
        <v>8.9</v>
      </c>
      <c r="Q49" s="2" cm="1">
        <f t="array" ref="Q49">_xlfn.XLOOKUP(1,('Zehnder Charleston'!$B$2:$B$132=Q$2)*('Zehnder Charleston'!$D$2:$D$132=$B4),'Zehnder Charleston'!$I$2:$I$132,"")</f>
        <v>10.7</v>
      </c>
      <c r="R49" s="2" cm="1">
        <f t="array" ref="R49">_xlfn.XLOOKUP(1,('Zehnder Charleston'!$B$2:$B$132=R$2)*('Zehnder Charleston'!$D$2:$D$132=$B4),'Zehnder Charleston'!$I$2:$I$132,"")</f>
        <v>11.9</v>
      </c>
      <c r="S49" s="2" cm="1">
        <f t="array" ref="S49">_xlfn.XLOOKUP(1,('Zehnder Charleston'!$B$2:$B$132=S$2)*('Zehnder Charleston'!$D$2:$D$132=$B4),'Zehnder Charleston'!$I$2:$I$132,"")</f>
        <v>13</v>
      </c>
      <c r="T49" s="2" cm="1">
        <f t="array" ref="T49">_xlfn.XLOOKUP(1,('Zehnder Charleston'!$B$2:$B$132=T$2)*('Zehnder Charleston'!$D$2:$D$132=$B4),'Zehnder Charleston'!$I$2:$I$132,"")</f>
        <v>14.7</v>
      </c>
      <c r="U49" s="2" cm="1">
        <f t="array" ref="U49">_xlfn.XLOOKUP(1,('Zehnder Charleston'!$B$2:$B$132=U$2)*('Zehnder Charleston'!$D$2:$D$132=$B4),'Zehnder Charleston'!$I$2:$I$132,"")</f>
        <v>16.3</v>
      </c>
      <c r="V49" s="2" cm="1">
        <f t="array" ref="V49">_xlfn.XLOOKUP(1,('Zehnder Charleston'!$B$2:$B$132=V$2)*('Zehnder Charleston'!$D$2:$D$132=$B4),'Zehnder Charleston'!$I$2:$I$132,"")</f>
        <v>17.3</v>
      </c>
      <c r="AB49" s="2" t="str" cm="1">
        <f t="array" ref="AB49">_xlfn.XLOOKUP(1,('Zehnder Charleston'!$B$2:$B$138=V$3)*('Zehnder Charleston'!$D$2:$D$138=$B4),'Zehnder Charleston'!$I$2:$I$138,"")</f>
        <v/>
      </c>
    </row>
    <row r="50" spans="1:28" ht="12.75" customHeight="1" x14ac:dyDescent="0.2">
      <c r="B50" s="2">
        <f>B5</f>
        <v>100</v>
      </c>
      <c r="C50" s="2" cm="1">
        <f t="array" ref="C50">_xlfn.XLOOKUP(1,('Zehnder Charleston'!$B$2:$B$132=C$3)*('Zehnder Charleston'!$D$2:$D$132=$B5),'Zehnder Charleston'!$I$2:$I$132,"")</f>
        <v>2.4</v>
      </c>
      <c r="D50" s="2" cm="1">
        <f t="array" ref="D50">_xlfn.XLOOKUP(1,('Zehnder Charleston'!$B$2:$B$132=D$3)*('Zehnder Charleston'!$D$2:$D$132=$B5),'Zehnder Charleston'!$I$2:$I$132,"")</f>
        <v>2.8</v>
      </c>
      <c r="E50" s="2" cm="1">
        <f t="array" ref="E50">_xlfn.XLOOKUP(1,('Zehnder Charleston'!$B$2:$B$132=E$3)*('Zehnder Charleston'!$D$2:$D$132=$B5),'Zehnder Charleston'!$I$2:$I$132,"")</f>
        <v>3.2</v>
      </c>
      <c r="F50" s="2" cm="1">
        <f t="array" ref="F50">_xlfn.XLOOKUP(1,('Zehnder Charleston'!$B$2:$B$132=F$3)*('Zehnder Charleston'!$D$2:$D$132=$B5),'Zehnder Charleston'!$I$2:$I$132,"")</f>
        <v>3.6</v>
      </c>
      <c r="G50" s="2" cm="1">
        <f t="array" ref="G50">_xlfn.XLOOKUP(1,('Zehnder Charleston'!$B$2:$B$132=G$3)*('Zehnder Charleston'!$D$2:$D$132=$B5),'Zehnder Charleston'!$I$2:$I$132,"")</f>
        <v>4</v>
      </c>
      <c r="H50" s="2" cm="1">
        <f t="array" ref="H50">_xlfn.XLOOKUP(1,('Zehnder Charleston'!$B$2:$B$132=H$3)*('Zehnder Charleston'!$D$2:$D$132=$B5),'Zehnder Charleston'!$I$2:$I$132,"")</f>
        <v>4.4000000000000004</v>
      </c>
      <c r="I50" s="2" cm="1">
        <f t="array" ref="I50">_xlfn.XLOOKUP(1,('Zehnder Charleston'!$B$2:$B$132=I$3)*('Zehnder Charleston'!$D$2:$D$132=$B5),'Zehnder Charleston'!$I$2:$I$132,"")</f>
        <v>4.8</v>
      </c>
      <c r="J50" s="2" cm="1">
        <f t="array" ref="J50">_xlfn.XLOOKUP(1,('Zehnder Charleston'!$B$2:$B$132=J$3)*('Zehnder Charleston'!$D$2:$D$132=$B5),'Zehnder Charleston'!$I$2:$I$132,"")</f>
        <v>5.2</v>
      </c>
      <c r="K50" s="2" cm="1">
        <f t="array" ref="K50">_xlfn.XLOOKUP(1,('Zehnder Charleston'!$B$2:$B$132=K$3)*('Zehnder Charleston'!$D$2:$D$132=$B5),'Zehnder Charleston'!$I$2:$I$132,"")</f>
        <v>6.4</v>
      </c>
      <c r="L50" s="2" cm="1">
        <f t="array" ref="L50">_xlfn.XLOOKUP(1,('Zehnder Charleston'!$B$2:$B$132=L$3)*('Zehnder Charleston'!$D$2:$D$132=$B5),'Zehnder Charleston'!$I$2:$I$132,"")</f>
        <v>7.5</v>
      </c>
      <c r="M50" s="2" cm="1">
        <f t="array" ref="M50">_xlfn.XLOOKUP(1,('Zehnder Charleston'!$B$2:$B$132=M$3)*('Zehnder Charleston'!$D$2:$D$132=$B5),'Zehnder Charleston'!$I$2:$I$132,"")</f>
        <v>8.1999999999999993</v>
      </c>
      <c r="N50" s="2" cm="1">
        <f t="array" ref="N50">_xlfn.XLOOKUP(1,('Zehnder Charleston'!$B$2:$B$132=N$3)*('Zehnder Charleston'!$D$2:$D$132=$B5),'Zehnder Charleston'!$I$2:$I$132,"")</f>
        <v>8.9</v>
      </c>
      <c r="O50" s="2" cm="1">
        <f t="array" ref="O50">_xlfn.XLOOKUP(1,('Zehnder Charleston'!$B$2:$B$132=O$3)*('Zehnder Charleston'!$D$2:$D$132=$B5),'Zehnder Charleston'!$I$2:$I$132,"")</f>
        <v>9.9</v>
      </c>
      <c r="P50" s="2" cm="1">
        <f t="array" ref="P50">_xlfn.XLOOKUP(1,('Zehnder Charleston'!$B$2:$B$132=P$3)*('Zehnder Charleston'!$D$2:$D$132=$B5),'Zehnder Charleston'!$I$2:$I$132,"")</f>
        <v>12</v>
      </c>
      <c r="Q50" s="2" cm="1">
        <f t="array" ref="Q50">_xlfn.XLOOKUP(1,('Zehnder Charleston'!$B$2:$B$132=Q$3)*('Zehnder Charleston'!$D$2:$D$132=$B5),'Zehnder Charleston'!$I$2:$I$132,"")</f>
        <v>14.3</v>
      </c>
      <c r="R50" s="2" cm="1">
        <f t="array" ref="R50">_xlfn.XLOOKUP(1,('Zehnder Charleston'!$B$2:$B$132=R$3)*('Zehnder Charleston'!$D$2:$D$132=$B5),'Zehnder Charleston'!$I$2:$I$132,"")</f>
        <v>15.7</v>
      </c>
      <c r="S50" s="2" cm="1">
        <f t="array" ref="S50">_xlfn.XLOOKUP(1,('Zehnder Charleston'!$B$2:$B$132=S$3)*('Zehnder Charleston'!$D$2:$D$132=$B5),'Zehnder Charleston'!$I$2:$I$132,"")</f>
        <v>17.2</v>
      </c>
      <c r="T50" s="2" cm="1">
        <f t="array" ref="T50">_xlfn.XLOOKUP(1,('Zehnder Charleston'!$B$2:$B$132=T$3)*('Zehnder Charleston'!$D$2:$D$132=$B5),'Zehnder Charleston'!$I$2:$I$132,"")</f>
        <v>19.399999999999999</v>
      </c>
      <c r="U50" s="2" cm="1">
        <f t="array" ref="U50">_xlfn.XLOOKUP(1,('Zehnder Charleston'!$B$2:$B$132=U$3)*('Zehnder Charleston'!$D$2:$D$132=$B5),'Zehnder Charleston'!$I$2:$I$132,"")</f>
        <v>21.6</v>
      </c>
      <c r="V50" s="2" cm="1">
        <f t="array" ref="V50">_xlfn.XLOOKUP(1,('Zehnder Charleston'!$B$2:$B$132=V$3)*('Zehnder Charleston'!$D$2:$D$132=$B5),'Zehnder Charleston'!$I$2:$I$132,"")</f>
        <v>23.1</v>
      </c>
    </row>
    <row r="51" spans="1:28" ht="12.75" customHeight="1" x14ac:dyDescent="0.2">
      <c r="B51" s="2">
        <f>B6</f>
        <v>136</v>
      </c>
      <c r="C51" s="2" cm="1">
        <f t="array" ref="C51">_xlfn.XLOOKUP(1,('Zehnder Charleston'!$B$2:$B$132=C$3)*('Zehnder Charleston'!$D$2:$D$132=$B6),'Zehnder Charleston'!$I$2:$I$132,"")</f>
        <v>3.1</v>
      </c>
      <c r="D51" s="2" cm="1">
        <f t="array" ref="D51">_xlfn.XLOOKUP(1,('Zehnder Charleston'!$B$2:$B$132=D$3)*('Zehnder Charleston'!$D$2:$D$132=$B6),'Zehnder Charleston'!$I$2:$I$132,"")</f>
        <v>3.6</v>
      </c>
      <c r="E51" s="2" cm="1">
        <f t="array" ref="E51">_xlfn.XLOOKUP(1,('Zehnder Charleston'!$B$2:$B$132=E$3)*('Zehnder Charleston'!$D$2:$D$132=$B6),'Zehnder Charleston'!$I$2:$I$132,"")</f>
        <v>4.2</v>
      </c>
      <c r="F51" s="2" cm="1">
        <f t="array" ref="F51">_xlfn.XLOOKUP(1,('Zehnder Charleston'!$B$2:$B$132=F$3)*('Zehnder Charleston'!$D$2:$D$132=$B6),'Zehnder Charleston'!$I$2:$I$132,"")</f>
        <v>4.7</v>
      </c>
      <c r="G51" s="2" cm="1">
        <f t="array" ref="G51">_xlfn.XLOOKUP(1,('Zehnder Charleston'!$B$2:$B$132=G$3)*('Zehnder Charleston'!$D$2:$D$132=$B6),'Zehnder Charleston'!$I$2:$I$132,"")</f>
        <v>5.3</v>
      </c>
      <c r="H51" s="2" cm="1">
        <f t="array" ref="H51">_xlfn.XLOOKUP(1,('Zehnder Charleston'!$B$2:$B$132=H$3)*('Zehnder Charleston'!$D$2:$D$132=$B6),'Zehnder Charleston'!$I$2:$I$132,"")</f>
        <v>5.8</v>
      </c>
      <c r="I51" s="2" cm="1">
        <f t="array" ref="I51">_xlfn.XLOOKUP(1,('Zehnder Charleston'!$B$2:$B$132=I$3)*('Zehnder Charleston'!$D$2:$D$132=$B6),'Zehnder Charleston'!$I$2:$I$132,"")</f>
        <v>6.3</v>
      </c>
      <c r="J51" s="2" cm="1">
        <f t="array" ref="J51">_xlfn.XLOOKUP(1,('Zehnder Charleston'!$B$2:$B$132=J$3)*('Zehnder Charleston'!$D$2:$D$132=$B6),'Zehnder Charleston'!$I$2:$I$132,"")</f>
        <v>6.9</v>
      </c>
      <c r="K51" s="2" cm="1">
        <f t="array" ref="K51">_xlfn.XLOOKUP(1,('Zehnder Charleston'!$B$2:$B$132=K$3)*('Zehnder Charleston'!$D$2:$D$132=$B6),'Zehnder Charleston'!$I$2:$I$132,"")</f>
        <v>8.4</v>
      </c>
      <c r="L51" s="2" cm="1">
        <f t="array" ref="L51">_xlfn.XLOOKUP(1,('Zehnder Charleston'!$B$2:$B$132=L$3)*('Zehnder Charleston'!$D$2:$D$132=$B6),'Zehnder Charleston'!$I$2:$I$132,"")</f>
        <v>9.8000000000000007</v>
      </c>
      <c r="M51" s="2" cm="1">
        <f t="array" ref="M51">_xlfn.XLOOKUP(1,('Zehnder Charleston'!$B$2:$B$132=M$3)*('Zehnder Charleston'!$D$2:$D$132=$B6),'Zehnder Charleston'!$I$2:$I$132,"")</f>
        <v>10.8</v>
      </c>
      <c r="N51" s="2" cm="1">
        <f t="array" ref="N51">_xlfn.XLOOKUP(1,('Zehnder Charleston'!$B$2:$B$132=N$3)*('Zehnder Charleston'!$D$2:$D$132=$B6),'Zehnder Charleston'!$I$2:$I$132,"")</f>
        <v>11.6</v>
      </c>
      <c r="O51" s="2" cm="1">
        <f t="array" ref="O51">_xlfn.XLOOKUP(1,('Zehnder Charleston'!$B$2:$B$132=O$3)*('Zehnder Charleston'!$D$2:$D$132=$B6),'Zehnder Charleston'!$I$2:$I$132,"")</f>
        <v>12.6</v>
      </c>
      <c r="P51" s="2" cm="1">
        <f t="array" ref="P51">_xlfn.XLOOKUP(1,('Zehnder Charleston'!$B$2:$B$132=P$3)*('Zehnder Charleston'!$D$2:$D$132=$B6),'Zehnder Charleston'!$I$2:$I$132,"")</f>
        <v>15.5</v>
      </c>
      <c r="Q51" s="2" cm="1">
        <f t="array" ref="Q51">_xlfn.XLOOKUP(1,('Zehnder Charleston'!$B$2:$B$132=Q$3)*('Zehnder Charleston'!$D$2:$D$132=$B6),'Zehnder Charleston'!$I$2:$I$132,"")</f>
        <v>18.3</v>
      </c>
      <c r="R51" s="2" cm="1">
        <f t="array" ref="R51">_xlfn.XLOOKUP(1,('Zehnder Charleston'!$B$2:$B$132=R$3)*('Zehnder Charleston'!$D$2:$D$132=$B6),'Zehnder Charleston'!$I$2:$I$132,"")</f>
        <v>20.100000000000001</v>
      </c>
      <c r="S51" s="2" cm="1">
        <f t="array" ref="S51">_xlfn.XLOOKUP(1,('Zehnder Charleston'!$B$2:$B$132=S$3)*('Zehnder Charleston'!$D$2:$D$132=$B6),'Zehnder Charleston'!$I$2:$I$132,"")</f>
        <v>22</v>
      </c>
      <c r="T51" s="2" cm="1">
        <f t="array" ref="T51">_xlfn.XLOOKUP(1,('Zehnder Charleston'!$B$2:$B$132=T$3)*('Zehnder Charleston'!$D$2:$D$132=$B6),'Zehnder Charleston'!$I$2:$I$132,"")</f>
        <v>24.9</v>
      </c>
      <c r="U51" s="2" cm="1">
        <f t="array" ref="U51">_xlfn.XLOOKUP(1,('Zehnder Charleston'!$B$2:$B$132=U$3)*('Zehnder Charleston'!$D$2:$D$132=$B6),'Zehnder Charleston'!$I$2:$I$132,"")</f>
        <v>27.8</v>
      </c>
      <c r="V51" s="2" cm="1">
        <f t="array" ref="V51">_xlfn.XLOOKUP(1,('Zehnder Charleston'!$B$2:$B$132=V$3)*('Zehnder Charleston'!$D$2:$D$132=$B6),'Zehnder Charleston'!$I$2:$I$132,"")</f>
        <v>29.7</v>
      </c>
    </row>
    <row r="52" spans="1:28" x14ac:dyDescent="0.2">
      <c r="B52" s="2">
        <f>B7</f>
        <v>173</v>
      </c>
      <c r="C52" s="2" cm="1">
        <f t="array" ref="C52">_xlfn.XLOOKUP(1,('Zehnder Charleston'!$B$2:$B$132=C$3)*('Zehnder Charleston'!$D$2:$D$132=$B7),'Zehnder Charleston'!$I$2:$I$132,"")</f>
        <v>3.9</v>
      </c>
      <c r="D52" s="2" cm="1">
        <f t="array" ref="D52">_xlfn.XLOOKUP(1,('Zehnder Charleston'!$B$2:$B$132=D$3)*('Zehnder Charleston'!$D$2:$D$132=$B7),'Zehnder Charleston'!$I$2:$I$132,"")</f>
        <v>4.5</v>
      </c>
      <c r="E52" s="2" cm="1">
        <f t="array" ref="E52">_xlfn.XLOOKUP(1,('Zehnder Charleston'!$B$2:$B$132=E$3)*('Zehnder Charleston'!$D$2:$D$132=$B7),'Zehnder Charleston'!$I$2:$I$132,"")</f>
        <v>5.2</v>
      </c>
      <c r="F52" s="2" cm="1">
        <f t="array" ref="F52">_xlfn.XLOOKUP(1,('Zehnder Charleston'!$B$2:$B$132=F$3)*('Zehnder Charleston'!$D$2:$D$132=$B7),'Zehnder Charleston'!$I$2:$I$132,"")</f>
        <v>5.8</v>
      </c>
      <c r="G52" s="2" cm="1">
        <f t="array" ref="G52">_xlfn.XLOOKUP(1,('Zehnder Charleston'!$B$2:$B$132=G$3)*('Zehnder Charleston'!$D$2:$D$132=$B7),'Zehnder Charleston'!$I$2:$I$132,"")</f>
        <v>6.5</v>
      </c>
      <c r="H52" s="2" cm="1">
        <f t="array" ref="H52">_xlfn.XLOOKUP(1,('Zehnder Charleston'!$B$2:$B$132=H$3)*('Zehnder Charleston'!$D$2:$D$132=$B7),'Zehnder Charleston'!$I$2:$I$132,"")</f>
        <v>7.2</v>
      </c>
      <c r="I52" s="2" cm="1">
        <f t="array" ref="I52">_xlfn.XLOOKUP(1,('Zehnder Charleston'!$B$2:$B$132=I$3)*('Zehnder Charleston'!$D$2:$D$132=$B7),'Zehnder Charleston'!$I$2:$I$132,"")</f>
        <v>7.8</v>
      </c>
      <c r="J52" s="2" cm="1">
        <f t="array" ref="J52">_xlfn.XLOOKUP(1,('Zehnder Charleston'!$B$2:$B$132=J$3)*('Zehnder Charleston'!$D$2:$D$132=$B7),'Zehnder Charleston'!$I$2:$I$132,"")</f>
        <v>8.5</v>
      </c>
      <c r="K52" s="2" cm="1">
        <f t="array" ref="K52">_xlfn.XLOOKUP(1,('Zehnder Charleston'!$B$2:$B$132=K$3)*('Zehnder Charleston'!$D$2:$D$132=$B7),'Zehnder Charleston'!$I$2:$I$132,"")</f>
        <v>10.3</v>
      </c>
      <c r="L52" s="2" cm="1">
        <f t="array" ref="L52">_xlfn.XLOOKUP(1,('Zehnder Charleston'!$B$2:$B$132=L$3)*('Zehnder Charleston'!$D$2:$D$132=$B7),'Zehnder Charleston'!$I$2:$I$132,"")</f>
        <v>12.1</v>
      </c>
      <c r="M52" s="2" cm="1">
        <f t="array" ref="M52">_xlfn.XLOOKUP(1,('Zehnder Charleston'!$B$2:$B$132=M$3)*('Zehnder Charleston'!$D$2:$D$132=$B7),'Zehnder Charleston'!$I$2:$I$132,"")</f>
        <v>13.2</v>
      </c>
      <c r="N52" s="2" cm="1">
        <f t="array" ref="N52">_xlfn.XLOOKUP(1,('Zehnder Charleston'!$B$2:$B$132=N$3)*('Zehnder Charleston'!$D$2:$D$132=$B7),'Zehnder Charleston'!$I$2:$I$132,"")</f>
        <v>14.4</v>
      </c>
      <c r="O52" s="2" cm="1">
        <f t="array" ref="O52">_xlfn.XLOOKUP(1,('Zehnder Charleston'!$B$2:$B$132=O$3)*('Zehnder Charleston'!$D$2:$D$132=$B7),'Zehnder Charleston'!$I$2:$I$132,"")</f>
        <v>15.4</v>
      </c>
      <c r="P52" s="2" cm="1">
        <f t="array" ref="P52">_xlfn.XLOOKUP(1,('Zehnder Charleston'!$B$2:$B$132=P$3)*('Zehnder Charleston'!$D$2:$D$132=$B7),'Zehnder Charleston'!$I$2:$I$132,"")</f>
        <v>18.8</v>
      </c>
      <c r="Q52" s="2" cm="1">
        <f t="array" ref="Q52">_xlfn.XLOOKUP(1,('Zehnder Charleston'!$B$2:$B$132=Q$3)*('Zehnder Charleston'!$D$2:$D$132=$B7),'Zehnder Charleston'!$I$2:$I$132,"")</f>
        <v>22.3</v>
      </c>
      <c r="R52" s="2" cm="1">
        <f t="array" ref="R52">_xlfn.XLOOKUP(1,('Zehnder Charleston'!$B$2:$B$132=R$3)*('Zehnder Charleston'!$D$2:$D$132=$B7),'Zehnder Charleston'!$I$2:$I$132,"")</f>
        <v>24.5</v>
      </c>
      <c r="S52" s="2" cm="1">
        <f t="array" ref="S52">_xlfn.XLOOKUP(1,('Zehnder Charleston'!$B$2:$B$132=S$3)*('Zehnder Charleston'!$D$2:$D$132=$B7),'Zehnder Charleston'!$I$2:$I$132,"")</f>
        <v>26.8</v>
      </c>
      <c r="T52" s="2" cm="1">
        <f t="array" ref="T52">_xlfn.XLOOKUP(1,('Zehnder Charleston'!$B$2:$B$132=T$3)*('Zehnder Charleston'!$D$2:$D$132=$B7),'Zehnder Charleston'!$I$2:$I$132,"")</f>
        <v>30.3</v>
      </c>
      <c r="U52" s="2" cm="1">
        <f t="array" ref="U52">_xlfn.XLOOKUP(1,('Zehnder Charleston'!$B$2:$B$132=U$3)*('Zehnder Charleston'!$D$2:$D$132=$B7),'Zehnder Charleston'!$I$2:$I$132,"")</f>
        <v>33.700000000000003</v>
      </c>
      <c r="V52" s="2" cm="1">
        <f t="array" ref="V52">_xlfn.XLOOKUP(1,('Zehnder Charleston'!$B$2:$B$132=V$3)*('Zehnder Charleston'!$D$2:$D$132=$B7),'Zehnder Charleston'!$I$2:$I$132,"")</f>
        <v>36.1</v>
      </c>
    </row>
    <row r="53" spans="1:28" x14ac:dyDescent="0.2">
      <c r="B53" s="2">
        <f>B8</f>
        <v>210</v>
      </c>
      <c r="C53" s="2" cm="1">
        <f t="array" ref="C53">_xlfn.XLOOKUP(1,('Zehnder Charleston'!$B$2:$B$132=C$3)*('Zehnder Charleston'!$D$2:$D$132=$B8),'Zehnder Charleston'!$I$2:$I$132,"")</f>
        <v>4.5999999999999996</v>
      </c>
      <c r="D53" s="2" cm="1">
        <f t="array" ref="D53">_xlfn.XLOOKUP(1,('Zehnder Charleston'!$B$2:$B$132=D$3)*('Zehnder Charleston'!$D$2:$D$132=$B8),'Zehnder Charleston'!$I$2:$I$132,"")</f>
        <v>5.3</v>
      </c>
      <c r="E53" s="2" cm="1">
        <f t="array" ref="E53">_xlfn.XLOOKUP(1,('Zehnder Charleston'!$B$2:$B$132=E$3)*('Zehnder Charleston'!$D$2:$D$132=$B8),'Zehnder Charleston'!$I$2:$I$132,"")</f>
        <v>6.1</v>
      </c>
      <c r="F53" s="2" cm="1">
        <f t="array" ref="F53">_xlfn.XLOOKUP(1,('Zehnder Charleston'!$B$2:$B$132=F$3)*('Zehnder Charleston'!$D$2:$D$132=$B8),'Zehnder Charleston'!$I$2:$I$132,"")</f>
        <v>6.9</v>
      </c>
      <c r="G53" s="2" cm="1">
        <f t="array" ref="G53">_xlfn.XLOOKUP(1,('Zehnder Charleston'!$B$2:$B$132=G$3)*('Zehnder Charleston'!$D$2:$D$132=$B8),'Zehnder Charleston'!$I$2:$I$132,"")</f>
        <v>7.7</v>
      </c>
      <c r="H53" s="2" cm="1">
        <f t="array" ref="H53">_xlfn.XLOOKUP(1,('Zehnder Charleston'!$B$2:$B$132=H$3)*('Zehnder Charleston'!$D$2:$D$132=$B8),'Zehnder Charleston'!$I$2:$I$132,"")</f>
        <v>8.5</v>
      </c>
      <c r="I53" s="2" cm="1">
        <f t="array" ref="I53">_xlfn.XLOOKUP(1,('Zehnder Charleston'!$B$2:$B$132=I$3)*('Zehnder Charleston'!$D$2:$D$132=$B8),'Zehnder Charleston'!$I$2:$I$132,"")</f>
        <v>9.3000000000000007</v>
      </c>
      <c r="J53" s="2" cm="1">
        <f t="array" ref="J53">_xlfn.XLOOKUP(1,('Zehnder Charleston'!$B$2:$B$132=J$3)*('Zehnder Charleston'!$D$2:$D$132=$B8),'Zehnder Charleston'!$I$2:$I$132,"")</f>
        <v>10.1</v>
      </c>
      <c r="K53" s="2" cm="1">
        <f t="array" ref="K53">_xlfn.XLOOKUP(1,('Zehnder Charleston'!$B$2:$B$132=K$3)*('Zehnder Charleston'!$D$2:$D$132=$B8),'Zehnder Charleston'!$I$2:$I$132,"")</f>
        <v>12.3</v>
      </c>
      <c r="L53" s="2" cm="1">
        <f t="array" ref="L53">_xlfn.XLOOKUP(1,('Zehnder Charleston'!$B$2:$B$132=L$3)*('Zehnder Charleston'!$D$2:$D$132=$B8),'Zehnder Charleston'!$I$2:$I$132,"")</f>
        <v>14.4</v>
      </c>
      <c r="M53" s="2" cm="1">
        <f t="array" ref="M53">_xlfn.XLOOKUP(1,('Zehnder Charleston'!$B$2:$B$132=M$3)*('Zehnder Charleston'!$D$2:$D$132=$B8),'Zehnder Charleston'!$I$2:$I$132,"")</f>
        <v>15.7</v>
      </c>
      <c r="N53" s="2" cm="1">
        <f t="array" ref="N53">_xlfn.XLOOKUP(1,('Zehnder Charleston'!$B$2:$B$132=N$3)*('Zehnder Charleston'!$D$2:$D$132=$B8),'Zehnder Charleston'!$I$2:$I$132,"")</f>
        <v>17</v>
      </c>
      <c r="O53" s="2" cm="1">
        <f t="array" ref="O53">_xlfn.XLOOKUP(1,('Zehnder Charleston'!$B$2:$B$132=O$3)*('Zehnder Charleston'!$D$2:$D$132=$B8),'Zehnder Charleston'!$I$2:$I$132,"")</f>
        <v>18.100000000000001</v>
      </c>
      <c r="P53" s="2" cm="1">
        <f t="array" ref="P53">_xlfn.XLOOKUP(1,('Zehnder Charleston'!$B$2:$B$132=P$3)*('Zehnder Charleston'!$D$2:$D$132=$B8),'Zehnder Charleston'!$I$2:$I$132,"")</f>
        <v>22</v>
      </c>
      <c r="Q53" s="2" cm="1">
        <f t="array" ref="Q53">_xlfn.XLOOKUP(1,('Zehnder Charleston'!$B$2:$B$132=Q$3)*('Zehnder Charleston'!$D$2:$D$132=$B8),'Zehnder Charleston'!$I$2:$I$132,"")</f>
        <v>26.1</v>
      </c>
      <c r="R53" s="2" cm="1">
        <f t="array" ref="R53">_xlfn.XLOOKUP(1,('Zehnder Charleston'!$B$2:$B$132=R$3)*('Zehnder Charleston'!$D$2:$D$132=$B8),'Zehnder Charleston'!$I$2:$I$132,"")</f>
        <v>28.7</v>
      </c>
      <c r="S53" s="2" cm="1">
        <f t="array" ref="S53">_xlfn.XLOOKUP(1,('Zehnder Charleston'!$B$2:$B$132=S$3)*('Zehnder Charleston'!$D$2:$D$132=$B8),'Zehnder Charleston'!$I$2:$I$132,"")</f>
        <v>31.4</v>
      </c>
      <c r="T53" s="2" cm="1">
        <f t="array" ref="T53">_xlfn.XLOOKUP(1,('Zehnder Charleston'!$B$2:$B$132=T$3)*('Zehnder Charleston'!$D$2:$D$132=$B8),'Zehnder Charleston'!$I$2:$I$132,"")</f>
        <v>35.4</v>
      </c>
      <c r="U53" s="2" cm="1">
        <f t="array" ref="U53">_xlfn.XLOOKUP(1,('Zehnder Charleston'!$B$2:$B$132=U$3)*('Zehnder Charleston'!$D$2:$D$132=$B8),'Zehnder Charleston'!$I$2:$I$132,"")</f>
        <v>39.5</v>
      </c>
      <c r="V53" s="2" cm="1">
        <f t="array" ref="V53">_xlfn.XLOOKUP(1,('Zehnder Charleston'!$B$2:$B$132=V$3)*('Zehnder Charleston'!$D$2:$D$132=$B8),'Zehnder Charleston'!$I$2:$I$132,"")</f>
        <v>42.2</v>
      </c>
    </row>
    <row r="54" spans="1:28" x14ac:dyDescent="0.2">
      <c r="C54" s="8"/>
      <c r="D54" s="8"/>
      <c r="E54" s="8"/>
      <c r="F54" s="8"/>
      <c r="G54" s="8"/>
      <c r="H54" s="8"/>
      <c r="I54" s="8"/>
      <c r="J54" s="8"/>
      <c r="K54" s="8"/>
      <c r="L54" s="8"/>
      <c r="M54"/>
      <c r="N54"/>
      <c r="O54"/>
      <c r="P54"/>
      <c r="Q54"/>
    </row>
    <row r="55" spans="1:28" ht="26.25" x14ac:dyDescent="0.25">
      <c r="A55" s="57" t="s">
        <v>159</v>
      </c>
      <c r="C55" s="4" t="s">
        <v>2</v>
      </c>
      <c r="M55"/>
      <c r="N55"/>
      <c r="O55"/>
      <c r="P55"/>
      <c r="Q55"/>
    </row>
    <row r="56" spans="1:28" x14ac:dyDescent="0.2">
      <c r="A56" s="57"/>
      <c r="B56" s="1"/>
      <c r="C56" s="164">
        <v>260</v>
      </c>
      <c r="D56" s="164">
        <v>292</v>
      </c>
      <c r="E56" s="164">
        <v>342</v>
      </c>
      <c r="F56" s="164">
        <v>392</v>
      </c>
      <c r="G56" s="164">
        <v>442</v>
      </c>
      <c r="H56" s="164">
        <v>492</v>
      </c>
      <c r="I56" s="164">
        <v>542</v>
      </c>
      <c r="J56" s="164">
        <v>592</v>
      </c>
      <c r="K56" s="164">
        <v>742</v>
      </c>
      <c r="L56" s="164">
        <v>892</v>
      </c>
      <c r="M56" s="164">
        <v>992</v>
      </c>
      <c r="N56" s="164">
        <v>1092</v>
      </c>
      <c r="O56" s="164">
        <v>1192</v>
      </c>
      <c r="P56" s="164">
        <v>1492</v>
      </c>
      <c r="Q56" s="164">
        <v>1792</v>
      </c>
      <c r="R56" s="165">
        <v>1992</v>
      </c>
      <c r="S56" s="165">
        <v>2192</v>
      </c>
      <c r="T56" s="165">
        <v>2492</v>
      </c>
      <c r="U56" s="165">
        <v>2792</v>
      </c>
      <c r="V56" s="165">
        <v>2992</v>
      </c>
    </row>
    <row r="57" spans="1:28" x14ac:dyDescent="0.2">
      <c r="A57" s="57" t="s">
        <v>160</v>
      </c>
      <c r="C57" s="5">
        <f t="shared" ref="C57:V57" si="5">C$3</f>
        <v>260</v>
      </c>
      <c r="D57" s="5">
        <f t="shared" si="5"/>
        <v>300</v>
      </c>
      <c r="E57" s="5">
        <f t="shared" si="5"/>
        <v>350</v>
      </c>
      <c r="F57" s="5">
        <f t="shared" si="5"/>
        <v>400</v>
      </c>
      <c r="G57" s="5">
        <f t="shared" si="5"/>
        <v>450</v>
      </c>
      <c r="H57" s="5">
        <f t="shared" si="5"/>
        <v>500</v>
      </c>
      <c r="I57" s="5">
        <f t="shared" si="5"/>
        <v>550</v>
      </c>
      <c r="J57" s="5">
        <f t="shared" si="5"/>
        <v>600</v>
      </c>
      <c r="K57" s="5">
        <f t="shared" si="5"/>
        <v>750</v>
      </c>
      <c r="L57" s="5">
        <f t="shared" si="5"/>
        <v>900</v>
      </c>
      <c r="M57" s="5">
        <f t="shared" si="5"/>
        <v>1000</v>
      </c>
      <c r="N57" s="5">
        <f t="shared" si="5"/>
        <v>1100</v>
      </c>
      <c r="O57" s="5">
        <f t="shared" si="5"/>
        <v>1200</v>
      </c>
      <c r="P57" s="5">
        <f t="shared" si="5"/>
        <v>1500</v>
      </c>
      <c r="Q57" s="5">
        <f t="shared" si="5"/>
        <v>1800</v>
      </c>
      <c r="R57" s="5">
        <f t="shared" si="5"/>
        <v>2000</v>
      </c>
      <c r="S57" s="5">
        <f t="shared" si="5"/>
        <v>2200</v>
      </c>
      <c r="T57" s="5">
        <f t="shared" si="5"/>
        <v>2500</v>
      </c>
      <c r="U57" s="5">
        <f t="shared" si="5"/>
        <v>2800</v>
      </c>
      <c r="V57" s="5">
        <f t="shared" si="5"/>
        <v>3000</v>
      </c>
    </row>
    <row r="58" spans="1:28" ht="13.5" x14ac:dyDescent="0.25">
      <c r="A58" s="4" t="s">
        <v>3</v>
      </c>
      <c r="B58" s="2">
        <f>B4</f>
        <v>62</v>
      </c>
      <c r="C58" s="27" cm="1">
        <f t="array" ref="C58">_xlfn.XLOOKUP(1,('Zehnder Charleston'!$B$2:$B$132=C$3)*('Zehnder Charleston'!$D$2:$D$132=$B4),'Zehnder Charleston'!$H$2:$H$132,"")</f>
        <v>25</v>
      </c>
      <c r="D58" s="27" cm="1">
        <f t="array" ref="D58">_xlfn.XLOOKUP(1,('Zehnder Charleston'!$B$2:$B$132=D$2)*('Zehnder Charleston'!$D$2:$D$132=$B4),'Zehnder Charleston'!$H$2:$H$132,"")</f>
        <v>25</v>
      </c>
      <c r="E58" s="27" cm="1">
        <f t="array" ref="E58">_xlfn.XLOOKUP(1,('Zehnder Charleston'!$B$2:$B$132=E$2)*('Zehnder Charleston'!$D$2:$D$132=$B4),'Zehnder Charleston'!$H$2:$H$132,"")</f>
        <v>24</v>
      </c>
      <c r="F58" s="27" cm="1">
        <f t="array" ref="F58">_xlfn.XLOOKUP(1,('Zehnder Charleston'!$B$2:$B$132=F$2)*('Zehnder Charleston'!$D$2:$D$132=$B4),'Zehnder Charleston'!$H$2:$H$132,"")</f>
        <v>25</v>
      </c>
      <c r="G58" s="27" cm="1">
        <f t="array" ref="G58">_xlfn.XLOOKUP(1,('Zehnder Charleston'!$B$2:$B$132=G$2)*('Zehnder Charleston'!$D$2:$D$132=$B4),'Zehnder Charleston'!$H$2:$H$132,"")</f>
        <v>24</v>
      </c>
      <c r="H58" s="27" cm="1">
        <f t="array" ref="H58">_xlfn.XLOOKUP(1,('Zehnder Charleston'!$B$2:$B$132=H$2)*('Zehnder Charleston'!$D$2:$D$132=$B4),'Zehnder Charleston'!$H$2:$H$132,"")</f>
        <v>23</v>
      </c>
      <c r="I58" s="27" cm="1">
        <f t="array" ref="I58">_xlfn.XLOOKUP(1,('Zehnder Charleston'!$B$2:$B$132=I$2)*('Zehnder Charleston'!$D$2:$D$132=$B4),'Zehnder Charleston'!$H$2:$H$132,"")</f>
        <v>23</v>
      </c>
      <c r="J58" s="27" cm="1">
        <f t="array" ref="J58">_xlfn.XLOOKUP(1,('Zehnder Charleston'!$B$2:$B$132=J$2)*('Zehnder Charleston'!$D$2:$D$132=$B4),'Zehnder Charleston'!$H$2:$H$132,"")</f>
        <v>23</v>
      </c>
      <c r="K58" s="27" cm="1">
        <f t="array" ref="K58">_xlfn.XLOOKUP(1,('Zehnder Charleston'!$B$2:$B$132=K$2)*('Zehnder Charleston'!$D$2:$D$132=$B4),'Zehnder Charleston'!$H$2:$H$132,"")</f>
        <v>22</v>
      </c>
      <c r="L58" s="27" cm="1">
        <f t="array" ref="L58">_xlfn.XLOOKUP(1,('Zehnder Charleston'!$B$2:$B$132=L$2)*('Zehnder Charleston'!$D$2:$D$132=$B4),'Zehnder Charleston'!$H$2:$H$132,"")</f>
        <v>22</v>
      </c>
      <c r="M58" s="27" cm="1">
        <f t="array" ref="M58">_xlfn.XLOOKUP(1,('Zehnder Charleston'!$B$2:$B$132=M$2)*('Zehnder Charleston'!$D$2:$D$132=$B4),'Zehnder Charleston'!$H$2:$H$132,"")</f>
        <v>22</v>
      </c>
      <c r="N58" s="27" cm="1">
        <f t="array" ref="N58">_xlfn.XLOOKUP(1,('Zehnder Charleston'!$B$2:$B$132=N$2)*('Zehnder Charleston'!$D$2:$D$132=$B4),'Zehnder Charleston'!$H$2:$H$132,"")</f>
        <v>22</v>
      </c>
      <c r="O58" s="27" cm="1">
        <f t="array" ref="O58">_xlfn.XLOOKUP(1,('Zehnder Charleston'!$B$2:$B$132=O$2)*('Zehnder Charleston'!$D$2:$D$132=$B4),'Zehnder Charleston'!$H$2:$H$132,"")</f>
        <v>22</v>
      </c>
      <c r="P58" s="27" cm="1">
        <f t="array" ref="P58">_xlfn.XLOOKUP(1,('Zehnder Charleston'!$B$2:$B$132=P$2)*('Zehnder Charleston'!$D$2:$D$132=$B4),'Zehnder Charleston'!$H$2:$H$132,"")</f>
        <v>23</v>
      </c>
      <c r="Q58" s="27" cm="1">
        <f t="array" ref="Q58">_xlfn.XLOOKUP(1,('Zehnder Charleston'!$B$2:$B$132=Q$2)*('Zehnder Charleston'!$D$2:$D$132=$B4),'Zehnder Charleston'!$H$2:$H$132,"")</f>
        <v>23</v>
      </c>
      <c r="R58" s="27" cm="1">
        <f t="array" ref="R58">_xlfn.XLOOKUP(1,('Zehnder Charleston'!$B$2:$B$132=R$2)*('Zehnder Charleston'!$D$2:$D$132=$B4),'Zehnder Charleston'!$H$2:$H$132,"")</f>
        <v>23</v>
      </c>
      <c r="S58" s="27" cm="1">
        <f t="array" ref="S58">_xlfn.XLOOKUP(1,('Zehnder Charleston'!$B$2:$B$132=S$2)*('Zehnder Charleston'!$D$2:$D$132=$B4),'Zehnder Charleston'!$H$2:$H$132,"")</f>
        <v>23</v>
      </c>
      <c r="T58" s="27" cm="1">
        <f t="array" ref="T58">_xlfn.XLOOKUP(1,('Zehnder Charleston'!$B$2:$B$132=T$2)*('Zehnder Charleston'!$D$2:$D$132=$B4),'Zehnder Charleston'!$H$2:$H$132,"")</f>
        <v>23</v>
      </c>
      <c r="U58" s="27" cm="1">
        <f t="array" ref="U58">_xlfn.XLOOKUP(1,('Zehnder Charleston'!$B$2:$B$132=U$2)*('Zehnder Charleston'!$D$2:$D$132=$B4),'Zehnder Charleston'!$H$2:$H$132,"")</f>
        <v>23</v>
      </c>
      <c r="V58" s="27" cm="1">
        <f t="array" ref="V58">_xlfn.XLOOKUP(1,('Zehnder Charleston'!$B$2:$B$132=V$2)*('Zehnder Charleston'!$D$2:$D$132=$B4),'Zehnder Charleston'!$H$2:$H$132,"")</f>
        <v>23</v>
      </c>
      <c r="AB58" s="27" t="str" cm="1">
        <f t="array" ref="AB58">_xlfn.XLOOKUP(1,('Zehnder Charleston'!$B$2:$B$138=V$3)*('Zehnder Charleston'!$D$2:$D$138=$B4),'Zehnder Charleston'!$H$2:$H$138,"")</f>
        <v/>
      </c>
    </row>
    <row r="59" spans="1:28" x14ac:dyDescent="0.2">
      <c r="B59" s="2">
        <f>B5</f>
        <v>100</v>
      </c>
      <c r="C59" s="27" cm="1">
        <f t="array" ref="C59">_xlfn.XLOOKUP(1,('Zehnder Charleston'!$B$2:$B$132=C$3)*('Zehnder Charleston'!$D$2:$D$132=$B5),'Zehnder Charleston'!$H$2:$H$132,"")</f>
        <v>21</v>
      </c>
      <c r="D59" s="27" cm="1">
        <f t="array" ref="D59">_xlfn.XLOOKUP(1,('Zehnder Charleston'!$B$2:$B$132=D$3)*('Zehnder Charleston'!$D$2:$D$132=$B5),'Zehnder Charleston'!$H$2:$H$132,"")</f>
        <v>20</v>
      </c>
      <c r="E59" s="27" cm="1">
        <f t="array" ref="E59">_xlfn.XLOOKUP(1,('Zehnder Charleston'!$B$2:$B$132=E$3)*('Zehnder Charleston'!$D$2:$D$132=$B5),'Zehnder Charleston'!$H$2:$H$132,"")</f>
        <v>20</v>
      </c>
      <c r="F59" s="27" cm="1">
        <f t="array" ref="F59">_xlfn.XLOOKUP(1,('Zehnder Charleston'!$B$2:$B$132=F$3)*('Zehnder Charleston'!$D$2:$D$132=$B5),'Zehnder Charleston'!$H$2:$H$132,"")</f>
        <v>19</v>
      </c>
      <c r="G59" s="27" cm="1">
        <f t="array" ref="G59">_xlfn.XLOOKUP(1,('Zehnder Charleston'!$B$2:$B$132=G$3)*('Zehnder Charleston'!$D$2:$D$132=$B5),'Zehnder Charleston'!$H$2:$H$132,"")</f>
        <v>19</v>
      </c>
      <c r="H59" s="27" cm="1">
        <f t="array" ref="H59">_xlfn.XLOOKUP(1,('Zehnder Charleston'!$B$2:$B$132=H$3)*('Zehnder Charleston'!$D$2:$D$132=$B5),'Zehnder Charleston'!$H$2:$H$132,"")</f>
        <v>18</v>
      </c>
      <c r="I59" s="27" cm="1">
        <f t="array" ref="I59">_xlfn.XLOOKUP(1,('Zehnder Charleston'!$B$2:$B$132=I$3)*('Zehnder Charleston'!$D$2:$D$132=$B5),'Zehnder Charleston'!$H$2:$H$132,"")</f>
        <v>18</v>
      </c>
      <c r="J59" s="27" cm="1">
        <f t="array" ref="J59">_xlfn.XLOOKUP(1,('Zehnder Charleston'!$B$2:$B$132=J$3)*('Zehnder Charleston'!$D$2:$D$132=$B5),'Zehnder Charleston'!$H$2:$H$132,"")</f>
        <v>18</v>
      </c>
      <c r="K59" s="27" cm="1">
        <f t="array" ref="K59">_xlfn.XLOOKUP(1,('Zehnder Charleston'!$B$2:$B$132=K$3)*('Zehnder Charleston'!$D$2:$D$132=$B5),'Zehnder Charleston'!$H$2:$H$132,"")</f>
        <v>18</v>
      </c>
      <c r="L59" s="27" cm="1">
        <f t="array" ref="L59">_xlfn.XLOOKUP(1,('Zehnder Charleston'!$B$2:$B$132=L$3)*('Zehnder Charleston'!$D$2:$D$132=$B5),'Zehnder Charleston'!$H$2:$H$132,"")</f>
        <v>18</v>
      </c>
      <c r="M59" s="27" cm="1">
        <f t="array" ref="M59">_xlfn.XLOOKUP(1,('Zehnder Charleston'!$B$2:$B$132=M$3)*('Zehnder Charleston'!$D$2:$D$132=$B5),'Zehnder Charleston'!$H$2:$H$132,"")</f>
        <v>18</v>
      </c>
      <c r="N59" s="27" cm="1">
        <f t="array" ref="N59">_xlfn.XLOOKUP(1,('Zehnder Charleston'!$B$2:$B$132=N$3)*('Zehnder Charleston'!$D$2:$D$132=$B5),'Zehnder Charleston'!$H$2:$H$132,"")</f>
        <v>18</v>
      </c>
      <c r="O59" s="27" cm="1">
        <f t="array" ref="O59">_xlfn.XLOOKUP(1,('Zehnder Charleston'!$B$2:$B$132=O$3)*('Zehnder Charleston'!$D$2:$D$132=$B5),'Zehnder Charleston'!$H$2:$H$132,"")</f>
        <v>18</v>
      </c>
      <c r="P59" s="27" cm="1">
        <f t="array" ref="P59">_xlfn.XLOOKUP(1,('Zehnder Charleston'!$B$2:$B$132=P$3)*('Zehnder Charleston'!$D$2:$D$132=$B5),'Zehnder Charleston'!$H$2:$H$132,"")</f>
        <v>18</v>
      </c>
      <c r="Q59" s="27" cm="1">
        <f t="array" ref="Q59">_xlfn.XLOOKUP(1,('Zehnder Charleston'!$B$2:$B$132=Q$3)*('Zehnder Charleston'!$D$2:$D$132=$B5),'Zehnder Charleston'!$H$2:$H$132,"")</f>
        <v>18</v>
      </c>
      <c r="R59" s="27" cm="1">
        <f t="array" ref="R59">_xlfn.XLOOKUP(1,('Zehnder Charleston'!$B$2:$B$132=R$3)*('Zehnder Charleston'!$D$2:$D$132=$B5),'Zehnder Charleston'!$H$2:$H$132,"")</f>
        <v>18</v>
      </c>
      <c r="S59" s="27" cm="1">
        <f t="array" ref="S59">_xlfn.XLOOKUP(1,('Zehnder Charleston'!$B$2:$B$132=S$3)*('Zehnder Charleston'!$D$2:$D$132=$B5),'Zehnder Charleston'!$H$2:$H$132,"")</f>
        <v>18</v>
      </c>
      <c r="T59" s="27" cm="1">
        <f t="array" ref="T59">_xlfn.XLOOKUP(1,('Zehnder Charleston'!$B$2:$B$132=T$3)*('Zehnder Charleston'!$D$2:$D$132=$B5),'Zehnder Charleston'!$H$2:$H$132,"")</f>
        <v>18</v>
      </c>
      <c r="U59" s="27" cm="1">
        <f t="array" ref="U59">_xlfn.XLOOKUP(1,('Zehnder Charleston'!$B$2:$B$132=U$3)*('Zehnder Charleston'!$D$2:$D$132=$B5),'Zehnder Charleston'!$H$2:$H$132,"")</f>
        <v>18</v>
      </c>
      <c r="V59" s="27" cm="1">
        <f t="array" ref="V59">_xlfn.XLOOKUP(1,('Zehnder Charleston'!$B$2:$B$132=V$3)*('Zehnder Charleston'!$D$2:$D$132=$B5),'Zehnder Charleston'!$H$2:$H$132,"")</f>
        <v>18</v>
      </c>
    </row>
    <row r="60" spans="1:28" x14ac:dyDescent="0.2">
      <c r="B60" s="2">
        <f>B6</f>
        <v>136</v>
      </c>
      <c r="C60" s="27" cm="1">
        <f t="array" ref="C60">_xlfn.XLOOKUP(1,('Zehnder Charleston'!$B$2:$B$132=C$3)*('Zehnder Charleston'!$D$2:$D$132=$B6),'Zehnder Charleston'!$H$2:$H$132,"")</f>
        <v>18</v>
      </c>
      <c r="D60" s="27" cm="1">
        <f t="array" ref="D60">_xlfn.XLOOKUP(1,('Zehnder Charleston'!$B$2:$B$132=D$3)*('Zehnder Charleston'!$D$2:$D$132=$B6),'Zehnder Charleston'!$H$2:$H$132,"")</f>
        <v>18</v>
      </c>
      <c r="E60" s="27" cm="1">
        <f t="array" ref="E60">_xlfn.XLOOKUP(1,('Zehnder Charleston'!$B$2:$B$132=E$3)*('Zehnder Charleston'!$D$2:$D$132=$B6),'Zehnder Charleston'!$H$2:$H$132,"")</f>
        <v>17</v>
      </c>
      <c r="F60" s="27" cm="1">
        <f t="array" ref="F60">_xlfn.XLOOKUP(1,('Zehnder Charleston'!$B$2:$B$132=F$3)*('Zehnder Charleston'!$D$2:$D$132=$B6),'Zehnder Charleston'!$H$2:$H$132,"")</f>
        <v>16</v>
      </c>
      <c r="G60" s="27" cm="1">
        <f t="array" ref="G60">_xlfn.XLOOKUP(1,('Zehnder Charleston'!$B$2:$B$132=G$3)*('Zehnder Charleston'!$D$2:$D$132=$B6),'Zehnder Charleston'!$H$2:$H$132,"")</f>
        <v>16</v>
      </c>
      <c r="H60" s="27" cm="1">
        <f t="array" ref="H60">_xlfn.XLOOKUP(1,('Zehnder Charleston'!$B$2:$B$132=H$3)*('Zehnder Charleston'!$D$2:$D$132=$B6),'Zehnder Charleston'!$H$2:$H$132,"")</f>
        <v>16</v>
      </c>
      <c r="I60" s="27" cm="1">
        <f t="array" ref="I60">_xlfn.XLOOKUP(1,('Zehnder Charleston'!$B$2:$B$132=I$3)*('Zehnder Charleston'!$D$2:$D$132=$B6),'Zehnder Charleston'!$H$2:$H$132,"")</f>
        <v>16</v>
      </c>
      <c r="J60" s="27" cm="1">
        <f t="array" ref="J60">_xlfn.XLOOKUP(1,('Zehnder Charleston'!$B$2:$B$132=J$3)*('Zehnder Charleston'!$D$2:$D$132=$B6),'Zehnder Charleston'!$H$2:$H$132,"")</f>
        <v>15</v>
      </c>
      <c r="K60" s="27" cm="1">
        <f t="array" ref="K60">_xlfn.XLOOKUP(1,('Zehnder Charleston'!$B$2:$B$132=K$3)*('Zehnder Charleston'!$D$2:$D$132=$B6),'Zehnder Charleston'!$H$2:$H$132,"")</f>
        <v>15</v>
      </c>
      <c r="L60" s="27" cm="1">
        <f t="array" ref="L60">_xlfn.XLOOKUP(1,('Zehnder Charleston'!$B$2:$B$132=L$3)*('Zehnder Charleston'!$D$2:$D$132=$B6),'Zehnder Charleston'!$H$2:$H$132,"")</f>
        <v>15</v>
      </c>
      <c r="M60" s="27" cm="1">
        <f t="array" ref="M60">_xlfn.XLOOKUP(1,('Zehnder Charleston'!$B$2:$B$132=M$3)*('Zehnder Charleston'!$D$2:$D$132=$B6),'Zehnder Charleston'!$H$2:$H$132,"")</f>
        <v>15</v>
      </c>
      <c r="N60" s="27" cm="1">
        <f t="array" ref="N60">_xlfn.XLOOKUP(1,('Zehnder Charleston'!$B$2:$B$132=N$3)*('Zehnder Charleston'!$D$2:$D$132=$B6),'Zehnder Charleston'!$H$2:$H$132,"")</f>
        <v>15</v>
      </c>
      <c r="O60" s="27" cm="1">
        <f t="array" ref="O60">_xlfn.XLOOKUP(1,('Zehnder Charleston'!$B$2:$B$132=O$3)*('Zehnder Charleston'!$D$2:$D$132=$B6),'Zehnder Charleston'!$H$2:$H$132,"")</f>
        <v>15</v>
      </c>
      <c r="P60" s="27" cm="1">
        <f t="array" ref="P60">_xlfn.XLOOKUP(1,('Zehnder Charleston'!$B$2:$B$132=P$3)*('Zehnder Charleston'!$D$2:$D$132=$B6),'Zehnder Charleston'!$H$2:$H$132,"")</f>
        <v>15</v>
      </c>
      <c r="Q60" s="27" cm="1">
        <f t="array" ref="Q60">_xlfn.XLOOKUP(1,('Zehnder Charleston'!$B$2:$B$132=Q$3)*('Zehnder Charleston'!$D$2:$D$132=$B6),'Zehnder Charleston'!$H$2:$H$132,"")</f>
        <v>15</v>
      </c>
      <c r="R60" s="27" cm="1">
        <f t="array" ref="R60">_xlfn.XLOOKUP(1,('Zehnder Charleston'!$B$2:$B$132=R$3)*('Zehnder Charleston'!$D$2:$D$132=$B6),'Zehnder Charleston'!$H$2:$H$132,"")</f>
        <v>15</v>
      </c>
      <c r="S60" s="27" cm="1">
        <f t="array" ref="S60">_xlfn.XLOOKUP(1,('Zehnder Charleston'!$B$2:$B$132=S$3)*('Zehnder Charleston'!$D$2:$D$132=$B6),'Zehnder Charleston'!$H$2:$H$132,"")</f>
        <v>15</v>
      </c>
      <c r="T60" s="27" cm="1">
        <f t="array" ref="T60">_xlfn.XLOOKUP(1,('Zehnder Charleston'!$B$2:$B$132=T$3)*('Zehnder Charleston'!$D$2:$D$132=$B6),'Zehnder Charleston'!$H$2:$H$132,"")</f>
        <v>15</v>
      </c>
      <c r="U60" s="27" cm="1">
        <f t="array" ref="U60">_xlfn.XLOOKUP(1,('Zehnder Charleston'!$B$2:$B$132=U$3)*('Zehnder Charleston'!$D$2:$D$132=$B6),'Zehnder Charleston'!$H$2:$H$132,"")</f>
        <v>15</v>
      </c>
      <c r="V60" s="27" cm="1">
        <f t="array" ref="V60">_xlfn.XLOOKUP(1,('Zehnder Charleston'!$B$2:$B$132=V$3)*('Zehnder Charleston'!$D$2:$D$132=$B6),'Zehnder Charleston'!$H$2:$H$132,"")</f>
        <v>15</v>
      </c>
    </row>
    <row r="61" spans="1:28" x14ac:dyDescent="0.2">
      <c r="B61" s="2">
        <f>B7</f>
        <v>173</v>
      </c>
      <c r="C61" s="27" cm="1">
        <f t="array" ref="C61">_xlfn.XLOOKUP(1,('Zehnder Charleston'!$B$2:$B$132=C$3)*('Zehnder Charleston'!$D$2:$D$132=$B7),'Zehnder Charleston'!$H$2:$H$132,"")</f>
        <v>17</v>
      </c>
      <c r="D61" s="27" cm="1">
        <f t="array" ref="D61">_xlfn.XLOOKUP(1,('Zehnder Charleston'!$B$2:$B$132=D$3)*('Zehnder Charleston'!$D$2:$D$132=$B7),'Zehnder Charleston'!$H$2:$H$132,"")</f>
        <v>16</v>
      </c>
      <c r="E61" s="27" cm="1">
        <f t="array" ref="E61">_xlfn.XLOOKUP(1,('Zehnder Charleston'!$B$2:$B$132=E$3)*('Zehnder Charleston'!$D$2:$D$132=$B7),'Zehnder Charleston'!$H$2:$H$132,"")</f>
        <v>15</v>
      </c>
      <c r="F61" s="27" cm="1">
        <f t="array" ref="F61">_xlfn.XLOOKUP(1,('Zehnder Charleston'!$B$2:$B$132=F$3)*('Zehnder Charleston'!$D$2:$D$132=$B7),'Zehnder Charleston'!$H$2:$H$132,"")</f>
        <v>15</v>
      </c>
      <c r="G61" s="27" cm="1">
        <f t="array" ref="G61">_xlfn.XLOOKUP(1,('Zehnder Charleston'!$B$2:$B$132=G$3)*('Zehnder Charleston'!$D$2:$D$132=$B7),'Zehnder Charleston'!$H$2:$H$132,"")</f>
        <v>14</v>
      </c>
      <c r="H61" s="27" cm="1">
        <f t="array" ref="H61">_xlfn.XLOOKUP(1,('Zehnder Charleston'!$B$2:$B$132=H$3)*('Zehnder Charleston'!$D$2:$D$132=$B7),'Zehnder Charleston'!$H$2:$H$132,"")</f>
        <v>14</v>
      </c>
      <c r="I61" s="27" cm="1">
        <f t="array" ref="I61">_xlfn.XLOOKUP(1,('Zehnder Charleston'!$B$2:$B$132=I$3)*('Zehnder Charleston'!$D$2:$D$132=$B7),'Zehnder Charleston'!$H$2:$H$132,"")</f>
        <v>14</v>
      </c>
      <c r="J61" s="27" cm="1">
        <f t="array" ref="J61">_xlfn.XLOOKUP(1,('Zehnder Charleston'!$B$2:$B$132=J$3)*('Zehnder Charleston'!$D$2:$D$132=$B7),'Zehnder Charleston'!$H$2:$H$132,"")</f>
        <v>13</v>
      </c>
      <c r="K61" s="27" cm="1">
        <f t="array" ref="K61">_xlfn.XLOOKUP(1,('Zehnder Charleston'!$B$2:$B$132=K$3)*('Zehnder Charleston'!$D$2:$D$132=$B7),'Zehnder Charleston'!$H$2:$H$132,"")</f>
        <v>13</v>
      </c>
      <c r="L61" s="27" cm="1">
        <f t="array" ref="L61">_xlfn.XLOOKUP(1,('Zehnder Charleston'!$B$2:$B$132=L$3)*('Zehnder Charleston'!$D$2:$D$132=$B7),'Zehnder Charleston'!$H$2:$H$132,"")</f>
        <v>13</v>
      </c>
      <c r="M61" s="27" cm="1">
        <f t="array" ref="M61">_xlfn.XLOOKUP(1,('Zehnder Charleston'!$B$2:$B$132=M$3)*('Zehnder Charleston'!$D$2:$D$132=$B7),'Zehnder Charleston'!$H$2:$H$132,"")</f>
        <v>13</v>
      </c>
      <c r="N61" s="27" cm="1">
        <f t="array" ref="N61">_xlfn.XLOOKUP(1,('Zehnder Charleston'!$B$2:$B$132=N$3)*('Zehnder Charleston'!$D$2:$D$132=$B7),'Zehnder Charleston'!$H$2:$H$132,"")</f>
        <v>13</v>
      </c>
      <c r="O61" s="27" cm="1">
        <f t="array" ref="O61">_xlfn.XLOOKUP(1,('Zehnder Charleston'!$B$2:$B$132=O$3)*('Zehnder Charleston'!$D$2:$D$132=$B7),'Zehnder Charleston'!$H$2:$H$132,"")</f>
        <v>13</v>
      </c>
      <c r="P61" s="27" cm="1">
        <f t="array" ref="P61">_xlfn.XLOOKUP(1,('Zehnder Charleston'!$B$2:$B$132=P$3)*('Zehnder Charleston'!$D$2:$D$132=$B7),'Zehnder Charleston'!$H$2:$H$132,"")</f>
        <v>13</v>
      </c>
      <c r="Q61" s="27" cm="1">
        <f t="array" ref="Q61">_xlfn.XLOOKUP(1,('Zehnder Charleston'!$B$2:$B$132=Q$3)*('Zehnder Charleston'!$D$2:$D$132=$B7),'Zehnder Charleston'!$H$2:$H$132,"")</f>
        <v>13</v>
      </c>
      <c r="R61" s="27" cm="1">
        <f t="array" ref="R61">_xlfn.XLOOKUP(1,('Zehnder Charleston'!$B$2:$B$132=R$3)*('Zehnder Charleston'!$D$2:$D$132=$B7),'Zehnder Charleston'!$H$2:$H$132,"")</f>
        <v>13</v>
      </c>
      <c r="S61" s="27" cm="1">
        <f t="array" ref="S61">_xlfn.XLOOKUP(1,('Zehnder Charleston'!$B$2:$B$132=S$3)*('Zehnder Charleston'!$D$2:$D$132=$B7),'Zehnder Charleston'!$H$2:$H$132,"")</f>
        <v>13</v>
      </c>
      <c r="T61" s="27" cm="1">
        <f t="array" ref="T61">_xlfn.XLOOKUP(1,('Zehnder Charleston'!$B$2:$B$132=T$3)*('Zehnder Charleston'!$D$2:$D$132=$B7),'Zehnder Charleston'!$H$2:$H$132,"")</f>
        <v>13</v>
      </c>
      <c r="U61" s="27" cm="1">
        <f t="array" ref="U61">_xlfn.XLOOKUP(1,('Zehnder Charleston'!$B$2:$B$132=U$3)*('Zehnder Charleston'!$D$2:$D$132=$B7),'Zehnder Charleston'!$H$2:$H$132,"")</f>
        <v>13</v>
      </c>
      <c r="V61" s="27" cm="1">
        <f t="array" ref="V61">_xlfn.XLOOKUP(1,('Zehnder Charleston'!$B$2:$B$132=V$3)*('Zehnder Charleston'!$D$2:$D$132=$B7),'Zehnder Charleston'!$H$2:$H$132,"")</f>
        <v>13</v>
      </c>
    </row>
    <row r="62" spans="1:28" x14ac:dyDescent="0.2">
      <c r="B62" s="2">
        <f>B8</f>
        <v>210</v>
      </c>
      <c r="C62" s="27" cm="1">
        <f t="array" ref="C62">_xlfn.XLOOKUP(1,('Zehnder Charleston'!$B$2:$B$132=C$3)*('Zehnder Charleston'!$D$2:$D$132=$B8),'Zehnder Charleston'!$H$2:$H$132,"")</f>
        <v>18</v>
      </c>
      <c r="D62" s="27" cm="1">
        <f t="array" ref="D62">_xlfn.XLOOKUP(1,('Zehnder Charleston'!$B$2:$B$132=D$3)*('Zehnder Charleston'!$D$2:$D$132=$B8),'Zehnder Charleston'!$H$2:$H$132,"")</f>
        <v>15</v>
      </c>
      <c r="E62" s="27" cm="1">
        <f t="array" ref="E62">_xlfn.XLOOKUP(1,('Zehnder Charleston'!$B$2:$B$132=E$3)*('Zehnder Charleston'!$D$2:$D$132=$B8),'Zehnder Charleston'!$H$2:$H$132,"")</f>
        <v>14</v>
      </c>
      <c r="F62" s="27" cm="1">
        <f t="array" ref="F62">_xlfn.XLOOKUP(1,('Zehnder Charleston'!$B$2:$B$132=F$3)*('Zehnder Charleston'!$D$2:$D$132=$B8),'Zehnder Charleston'!$H$2:$H$132,"")</f>
        <v>14</v>
      </c>
      <c r="G62" s="27" cm="1">
        <f t="array" ref="G62">_xlfn.XLOOKUP(1,('Zehnder Charleston'!$B$2:$B$132=G$3)*('Zehnder Charleston'!$D$2:$D$132=$B8),'Zehnder Charleston'!$H$2:$H$132,"")</f>
        <v>13</v>
      </c>
      <c r="H62" s="27" cm="1">
        <f t="array" ref="H62">_xlfn.XLOOKUP(1,('Zehnder Charleston'!$B$2:$B$132=H$3)*('Zehnder Charleston'!$D$2:$D$132=$B8),'Zehnder Charleston'!$H$2:$H$132,"")</f>
        <v>13</v>
      </c>
      <c r="I62" s="27" cm="1">
        <f t="array" ref="I62">_xlfn.XLOOKUP(1,('Zehnder Charleston'!$B$2:$B$132=I$3)*('Zehnder Charleston'!$D$2:$D$132=$B8),'Zehnder Charleston'!$H$2:$H$132,"")</f>
        <v>12</v>
      </c>
      <c r="J62" s="27" cm="1">
        <f t="array" ref="J62">_xlfn.XLOOKUP(1,('Zehnder Charleston'!$B$2:$B$132=J$3)*('Zehnder Charleston'!$D$2:$D$132=$B8),'Zehnder Charleston'!$H$2:$H$132,"")</f>
        <v>12</v>
      </c>
      <c r="K62" s="27" cm="1">
        <f t="array" ref="K62">_xlfn.XLOOKUP(1,('Zehnder Charleston'!$B$2:$B$132=K$3)*('Zehnder Charleston'!$D$2:$D$132=$B8),'Zehnder Charleston'!$H$2:$H$132,"")</f>
        <v>12</v>
      </c>
      <c r="L62" s="27" cm="1">
        <f t="array" ref="L62">_xlfn.XLOOKUP(1,('Zehnder Charleston'!$B$2:$B$132=L$3)*('Zehnder Charleston'!$D$2:$D$132=$B8),'Zehnder Charleston'!$H$2:$H$132,"")</f>
        <v>12</v>
      </c>
      <c r="M62" s="27" cm="1">
        <f t="array" ref="M62">_xlfn.XLOOKUP(1,('Zehnder Charleston'!$B$2:$B$132=M$3)*('Zehnder Charleston'!$D$2:$D$132=$B8),'Zehnder Charleston'!$H$2:$H$132,"")</f>
        <v>12</v>
      </c>
      <c r="N62" s="27" cm="1">
        <f t="array" ref="N62">_xlfn.XLOOKUP(1,('Zehnder Charleston'!$B$2:$B$132=N$3)*('Zehnder Charleston'!$D$2:$D$132=$B8),'Zehnder Charleston'!$H$2:$H$132,"")</f>
        <v>12</v>
      </c>
      <c r="O62" s="27" cm="1">
        <f t="array" ref="O62">_xlfn.XLOOKUP(1,('Zehnder Charleston'!$B$2:$B$132=O$3)*('Zehnder Charleston'!$D$2:$D$132=$B8),'Zehnder Charleston'!$H$2:$H$132,"")</f>
        <v>12</v>
      </c>
      <c r="P62" s="27" cm="1">
        <f t="array" ref="P62">_xlfn.XLOOKUP(1,('Zehnder Charleston'!$B$2:$B$132=P$3)*('Zehnder Charleston'!$D$2:$D$132=$B8),'Zehnder Charleston'!$H$2:$H$132,"")</f>
        <v>12</v>
      </c>
      <c r="Q62" s="27" cm="1">
        <f t="array" ref="Q62">_xlfn.XLOOKUP(1,('Zehnder Charleston'!$B$2:$B$132=Q$3)*('Zehnder Charleston'!$D$2:$D$132=$B8),'Zehnder Charleston'!$H$2:$H$132,"")</f>
        <v>12</v>
      </c>
      <c r="R62" s="27" cm="1">
        <f t="array" ref="R62">_xlfn.XLOOKUP(1,('Zehnder Charleston'!$B$2:$B$132=R$3)*('Zehnder Charleston'!$D$2:$D$132=$B8),'Zehnder Charleston'!$H$2:$H$132,"")</f>
        <v>12</v>
      </c>
      <c r="S62" s="27" cm="1">
        <f t="array" ref="S62">_xlfn.XLOOKUP(1,('Zehnder Charleston'!$B$2:$B$132=S$3)*('Zehnder Charleston'!$D$2:$D$132=$B8),'Zehnder Charleston'!$H$2:$H$132,"")</f>
        <v>12</v>
      </c>
      <c r="T62" s="27" cm="1">
        <f t="array" ref="T62">_xlfn.XLOOKUP(1,('Zehnder Charleston'!$B$2:$B$132=T$3)*('Zehnder Charleston'!$D$2:$D$132=$B8),'Zehnder Charleston'!$H$2:$H$132,"")</f>
        <v>12</v>
      </c>
      <c r="U62" s="27" cm="1">
        <f t="array" ref="U62">_xlfn.XLOOKUP(1,('Zehnder Charleston'!$B$2:$B$132=U$3)*('Zehnder Charleston'!$D$2:$D$132=$B8),'Zehnder Charleston'!$H$2:$H$132,"")</f>
        <v>12</v>
      </c>
      <c r="V62" s="27" cm="1">
        <f t="array" ref="V62">_xlfn.XLOOKUP(1,('Zehnder Charleston'!$B$2:$B$132=V$3)*('Zehnder Charleston'!$D$2:$D$132=$B8),'Zehnder Charleston'!$H$2:$H$132,"")</f>
        <v>12</v>
      </c>
    </row>
    <row r="63" spans="1:28" x14ac:dyDescent="0.2">
      <c r="M63"/>
      <c r="N63"/>
      <c r="O63"/>
      <c r="P63"/>
      <c r="Q63"/>
    </row>
    <row r="64" spans="1:28" ht="39" x14ac:dyDescent="0.25">
      <c r="A64" s="57" t="s">
        <v>161</v>
      </c>
      <c r="C64" s="4" t="s">
        <v>2</v>
      </c>
      <c r="M64"/>
      <c r="N64"/>
      <c r="O64"/>
      <c r="P64"/>
      <c r="Q64"/>
    </row>
    <row r="65" spans="1:28" x14ac:dyDescent="0.2">
      <c r="A65" s="57"/>
      <c r="B65" s="1"/>
      <c r="C65" s="164">
        <v>260</v>
      </c>
      <c r="D65" s="164">
        <v>292</v>
      </c>
      <c r="E65" s="164">
        <v>342</v>
      </c>
      <c r="F65" s="164">
        <v>392</v>
      </c>
      <c r="G65" s="164">
        <v>442</v>
      </c>
      <c r="H65" s="164">
        <v>492</v>
      </c>
      <c r="I65" s="164">
        <v>542</v>
      </c>
      <c r="J65" s="164">
        <v>592</v>
      </c>
      <c r="K65" s="164">
        <v>742</v>
      </c>
      <c r="L65" s="164">
        <v>892</v>
      </c>
      <c r="M65" s="164">
        <v>992</v>
      </c>
      <c r="N65" s="164">
        <v>1092</v>
      </c>
      <c r="O65" s="164">
        <v>1192</v>
      </c>
      <c r="P65" s="164">
        <v>1492</v>
      </c>
      <c r="Q65" s="164">
        <v>1792</v>
      </c>
      <c r="R65" s="165">
        <v>1992</v>
      </c>
      <c r="S65" s="165">
        <v>2192</v>
      </c>
      <c r="T65" s="165">
        <v>2492</v>
      </c>
      <c r="U65" s="165">
        <v>2792</v>
      </c>
      <c r="V65" s="165">
        <v>2992</v>
      </c>
    </row>
    <row r="66" spans="1:28" x14ac:dyDescent="0.2">
      <c r="A66" s="57" t="s">
        <v>158</v>
      </c>
      <c r="C66" s="5">
        <f t="shared" ref="C66:V66" si="6">C$3</f>
        <v>260</v>
      </c>
      <c r="D66" s="5">
        <f t="shared" si="6"/>
        <v>300</v>
      </c>
      <c r="E66" s="5">
        <f t="shared" si="6"/>
        <v>350</v>
      </c>
      <c r="F66" s="5">
        <f t="shared" si="6"/>
        <v>400</v>
      </c>
      <c r="G66" s="5">
        <f t="shared" si="6"/>
        <v>450</v>
      </c>
      <c r="H66" s="5">
        <f t="shared" si="6"/>
        <v>500</v>
      </c>
      <c r="I66" s="5">
        <f t="shared" si="6"/>
        <v>550</v>
      </c>
      <c r="J66" s="5">
        <f t="shared" si="6"/>
        <v>600</v>
      </c>
      <c r="K66" s="5">
        <f t="shared" si="6"/>
        <v>750</v>
      </c>
      <c r="L66" s="5">
        <f t="shared" si="6"/>
        <v>900</v>
      </c>
      <c r="M66" s="5">
        <f t="shared" si="6"/>
        <v>1000</v>
      </c>
      <c r="N66" s="5">
        <f t="shared" si="6"/>
        <v>1100</v>
      </c>
      <c r="O66" s="5">
        <f t="shared" si="6"/>
        <v>1200</v>
      </c>
      <c r="P66" s="5">
        <f t="shared" si="6"/>
        <v>1500</v>
      </c>
      <c r="Q66" s="5">
        <f t="shared" si="6"/>
        <v>1800</v>
      </c>
      <c r="R66" s="5">
        <f t="shared" si="6"/>
        <v>2000</v>
      </c>
      <c r="S66" s="5">
        <f t="shared" si="6"/>
        <v>2200</v>
      </c>
      <c r="T66" s="5">
        <f t="shared" si="6"/>
        <v>2500</v>
      </c>
      <c r="U66" s="5">
        <f t="shared" si="6"/>
        <v>2800</v>
      </c>
      <c r="V66" s="5">
        <f t="shared" si="6"/>
        <v>3000</v>
      </c>
    </row>
    <row r="67" spans="1:28" ht="13.5" x14ac:dyDescent="0.25">
      <c r="A67" s="4" t="s">
        <v>3</v>
      </c>
      <c r="B67" s="2">
        <f>B4</f>
        <v>62</v>
      </c>
      <c r="C67" s="2" cm="1">
        <f t="array" ref="C67">_xlfn.XLOOKUP(1,('Zehnder Charleston'!$B$2:$B$132=C$3)*('Zehnder Charleston'!$D$2:$D$132=$B4),'Zehnder Charleston'!$L$2:$L$132,"")</f>
        <v>34.450000000000003</v>
      </c>
      <c r="D67" s="2" cm="1">
        <f t="array" ref="D67">_xlfn.XLOOKUP(1,('Zehnder Charleston'!$B$2:$B$132=D$2)*('Zehnder Charleston'!$D$2:$D$132=$B4),'Zehnder Charleston'!$L$2:$L$132,"")</f>
        <v>35.35</v>
      </c>
      <c r="E67" s="2" cm="1">
        <f t="array" ref="E67">_xlfn.XLOOKUP(1,('Zehnder Charleston'!$B$2:$B$132=E$2)*('Zehnder Charleston'!$D$2:$D$132=$B4),'Zehnder Charleston'!$L$2:$L$132,"")</f>
        <v>36.4</v>
      </c>
      <c r="F67" s="2" cm="1">
        <f t="array" ref="F67">_xlfn.XLOOKUP(1,('Zehnder Charleston'!$B$2:$B$132=F$2)*('Zehnder Charleston'!$D$2:$D$132=$B4),'Zehnder Charleston'!$L$2:$L$132,"")</f>
        <v>36.450000000000003</v>
      </c>
      <c r="G67" s="2" cm="1">
        <f t="array" ref="G67">_xlfn.XLOOKUP(1,('Zehnder Charleston'!$B$2:$B$132=G$2)*('Zehnder Charleston'!$D$2:$D$132=$B4),'Zehnder Charleston'!$L$2:$L$132,"")</f>
        <v>36.799999999999997</v>
      </c>
      <c r="H67" s="2" cm="1">
        <f t="array" ref="H67">_xlfn.XLOOKUP(1,('Zehnder Charleston'!$B$2:$B$132=H$2)*('Zehnder Charleston'!$D$2:$D$132=$B4),'Zehnder Charleston'!$L$2:$L$132,"")</f>
        <v>37.6</v>
      </c>
      <c r="I67" s="2" cm="1">
        <f t="array" ref="I67">_xlfn.XLOOKUP(1,('Zehnder Charleston'!$B$2:$B$132=I$2)*('Zehnder Charleston'!$D$2:$D$132=$B4),'Zehnder Charleston'!$L$2:$L$132,"")</f>
        <v>38.049999999999997</v>
      </c>
      <c r="J67" s="2" cm="1">
        <f t="array" ref="J67">_xlfn.XLOOKUP(1,('Zehnder Charleston'!$B$2:$B$132=J$2)*('Zehnder Charleston'!$D$2:$D$132=$B4),'Zehnder Charleston'!$L$2:$L$132,"")</f>
        <v>38.4</v>
      </c>
      <c r="K67" s="2" cm="1">
        <f t="array" ref="K67">_xlfn.XLOOKUP(1,('Zehnder Charleston'!$B$2:$B$132=K$2)*('Zehnder Charleston'!$D$2:$D$132=$B4),'Zehnder Charleston'!$L$2:$L$132,"")</f>
        <v>39.5</v>
      </c>
      <c r="L67" s="2" cm="1">
        <f t="array" ref="L67">_xlfn.XLOOKUP(1,('Zehnder Charleston'!$B$2:$B$132=L$2)*('Zehnder Charleston'!$D$2:$D$132=$B4),'Zehnder Charleston'!$L$2:$L$132,"")</f>
        <v>40.6</v>
      </c>
      <c r="M67" s="2" cm="1">
        <f t="array" ref="M67">_xlfn.XLOOKUP(1,('Zehnder Charleston'!$B$2:$B$132=M$2)*('Zehnder Charleston'!$D$2:$D$132=$B4),'Zehnder Charleston'!$L$2:$L$132,"")</f>
        <v>41.95</v>
      </c>
      <c r="N67" s="2" cm="1">
        <f t="array" ref="N67">_xlfn.XLOOKUP(1,('Zehnder Charleston'!$B$2:$B$132=N$2)*('Zehnder Charleston'!$D$2:$D$132=$B4),'Zehnder Charleston'!$L$2:$L$132,"")</f>
        <v>45.15</v>
      </c>
      <c r="O67" s="2" cm="1">
        <f t="array" ref="O67">_xlfn.XLOOKUP(1,('Zehnder Charleston'!$B$2:$B$132=O$2)*('Zehnder Charleston'!$D$2:$D$132=$B4),'Zehnder Charleston'!$L$2:$L$132,"")</f>
        <v>48</v>
      </c>
      <c r="P67" s="2" cm="1">
        <f t="array" ref="P67">_xlfn.XLOOKUP(1,('Zehnder Charleston'!$B$2:$B$132=P$2)*('Zehnder Charleston'!$D$2:$D$132=$B4),'Zehnder Charleston'!$L$2:$L$132,"")</f>
        <v>61.65</v>
      </c>
      <c r="Q67" s="2" cm="1">
        <f t="array" ref="Q67">_xlfn.XLOOKUP(1,('Zehnder Charleston'!$B$2:$B$132=Q$2)*('Zehnder Charleston'!$D$2:$D$132=$B4),'Zehnder Charleston'!$L$2:$L$132,"")</f>
        <v>72.95</v>
      </c>
      <c r="R67" s="2" cm="1">
        <f t="array" ref="R67">_xlfn.XLOOKUP(1,('Zehnder Charleston'!$B$2:$B$132=R$2)*('Zehnder Charleston'!$D$2:$D$132=$B4),'Zehnder Charleston'!$L$2:$L$132,"")</f>
        <v>81.3</v>
      </c>
      <c r="S67" s="2" cm="1">
        <f t="array" ref="S67">_xlfn.XLOOKUP(1,('Zehnder Charleston'!$B$2:$B$132=S$2)*('Zehnder Charleston'!$D$2:$D$132=$B4),'Zehnder Charleston'!$L$2:$L$132,"")</f>
        <v>89.15</v>
      </c>
      <c r="T67" s="2" cm="1">
        <f t="array" ref="T67">_xlfn.XLOOKUP(1,('Zehnder Charleston'!$B$2:$B$132=T$2)*('Zehnder Charleston'!$D$2:$D$132=$B4),'Zehnder Charleston'!$L$2:$L$132,"")</f>
        <v>100.4</v>
      </c>
      <c r="U67" s="2" cm="1">
        <f t="array" ref="U67">_xlfn.XLOOKUP(1,('Zehnder Charleston'!$B$2:$B$132=U$2)*('Zehnder Charleston'!$D$2:$D$132=$B4),'Zehnder Charleston'!$L$2:$L$132,"")</f>
        <v>113.15</v>
      </c>
      <c r="V67" s="2" cm="1">
        <f t="array" ref="V67">_xlfn.XLOOKUP(1,('Zehnder Charleston'!$B$2:$B$132=V$2)*('Zehnder Charleston'!$D$2:$D$132=$B4),'Zehnder Charleston'!$L$2:$L$132,"")</f>
        <v>120.75</v>
      </c>
      <c r="AB67" s="2" t="str" cm="1">
        <f t="array" ref="AB67">_xlfn.XLOOKUP(1,('Zehnder Charleston'!$B$2:$B$138=V$3)*('Zehnder Charleston'!$D$2:$D$138=$B4),'Zehnder Charleston'!$L$2:$L$138,"")</f>
        <v/>
      </c>
    </row>
    <row r="68" spans="1:28" x14ac:dyDescent="0.2">
      <c r="B68" s="2">
        <f>B5</f>
        <v>100</v>
      </c>
      <c r="C68" s="2" cm="1">
        <f t="array" ref="C68">_xlfn.XLOOKUP(1,('Zehnder Charleston'!$B$2:$B$132=C$3)*('Zehnder Charleston'!$D$2:$D$132=$B5),'Zehnder Charleston'!$L$2:$L$132,"")</f>
        <v>34.450000000000003</v>
      </c>
      <c r="D68" s="2" cm="1">
        <f t="array" ref="D68">_xlfn.XLOOKUP(1,('Zehnder Charleston'!$B$2:$B$132=D$3)*('Zehnder Charleston'!$D$2:$D$132=$B5),'Zehnder Charleston'!$L$2:$L$132,"")</f>
        <v>35.35</v>
      </c>
      <c r="E68" s="2" cm="1">
        <f t="array" ref="E68">_xlfn.XLOOKUP(1,('Zehnder Charleston'!$B$2:$B$132=E$3)*('Zehnder Charleston'!$D$2:$D$132=$B5),'Zehnder Charleston'!$L$2:$L$132,"")</f>
        <v>36.4</v>
      </c>
      <c r="F68" s="2" cm="1">
        <f t="array" ref="F68">_xlfn.XLOOKUP(1,('Zehnder Charleston'!$B$2:$B$132=F$3)*('Zehnder Charleston'!$D$2:$D$132=$B5),'Zehnder Charleston'!$L$2:$L$132,"")</f>
        <v>37.6</v>
      </c>
      <c r="G68" s="2" cm="1">
        <f t="array" ref="G68">_xlfn.XLOOKUP(1,('Zehnder Charleston'!$B$2:$B$132=G$3)*('Zehnder Charleston'!$D$2:$D$132=$B5),'Zehnder Charleston'!$L$2:$L$132,"")</f>
        <v>38.049999999999997</v>
      </c>
      <c r="H68" s="2" cm="1">
        <f t="array" ref="H68">_xlfn.XLOOKUP(1,('Zehnder Charleston'!$B$2:$B$132=H$3)*('Zehnder Charleston'!$D$2:$D$132=$B5),'Zehnder Charleston'!$L$2:$L$132,"")</f>
        <v>38.4</v>
      </c>
      <c r="I68" s="2" cm="1">
        <f t="array" ref="I68">_xlfn.XLOOKUP(1,('Zehnder Charleston'!$B$2:$B$132=I$3)*('Zehnder Charleston'!$D$2:$D$132=$B5),'Zehnder Charleston'!$L$2:$L$132,"")</f>
        <v>39.5</v>
      </c>
      <c r="J68" s="2" cm="1">
        <f t="array" ref="J68">_xlfn.XLOOKUP(1,('Zehnder Charleston'!$B$2:$B$132=J$3)*('Zehnder Charleston'!$D$2:$D$132=$B5),'Zehnder Charleston'!$L$2:$L$132,"")</f>
        <v>40.6</v>
      </c>
      <c r="K68" s="2" cm="1">
        <f t="array" ref="K68">_xlfn.XLOOKUP(1,('Zehnder Charleston'!$B$2:$B$132=K$3)*('Zehnder Charleston'!$D$2:$D$132=$B5),'Zehnder Charleston'!$L$2:$L$132,"")</f>
        <v>43.65</v>
      </c>
      <c r="L68" s="2" cm="1">
        <f t="array" ref="L68">_xlfn.XLOOKUP(1,('Zehnder Charleston'!$B$2:$B$132=L$3)*('Zehnder Charleston'!$D$2:$D$132=$B5),'Zehnder Charleston'!$L$2:$L$132,"")</f>
        <v>48</v>
      </c>
      <c r="M68" s="2" cm="1">
        <f t="array" ref="M68">_xlfn.XLOOKUP(1,('Zehnder Charleston'!$B$2:$B$132=M$3)*('Zehnder Charleston'!$D$2:$D$132=$B5),'Zehnder Charleston'!$L$2:$L$132,"")</f>
        <v>51.4</v>
      </c>
      <c r="N68" s="2" cm="1">
        <f t="array" ref="N68">_xlfn.XLOOKUP(1,('Zehnder Charleston'!$B$2:$B$132=N$3)*('Zehnder Charleston'!$D$2:$D$132=$B5),'Zehnder Charleston'!$L$2:$L$132,"")</f>
        <v>57.8</v>
      </c>
      <c r="O68" s="2" cm="1">
        <f t="array" ref="O68">_xlfn.XLOOKUP(1,('Zehnder Charleston'!$B$2:$B$132=O$3)*('Zehnder Charleston'!$D$2:$D$132=$B5),'Zehnder Charleston'!$L$2:$L$132,"")</f>
        <v>68.5</v>
      </c>
      <c r="P68" s="2" cm="1">
        <f t="array" ref="P68">_xlfn.XLOOKUP(1,('Zehnder Charleston'!$B$2:$B$132=P$3)*('Zehnder Charleston'!$D$2:$D$132=$B5),'Zehnder Charleston'!$L$2:$L$132,"")</f>
        <v>87.9</v>
      </c>
      <c r="Q68" s="2" cm="1">
        <f t="array" ref="Q68">_xlfn.XLOOKUP(1,('Zehnder Charleston'!$B$2:$B$132=Q$3)*('Zehnder Charleston'!$D$2:$D$132=$B5),'Zehnder Charleston'!$L$2:$L$132,"")</f>
        <v>108.35</v>
      </c>
      <c r="R68" s="2" cm="1">
        <f t="array" ref="R68">_xlfn.XLOOKUP(1,('Zehnder Charleston'!$B$2:$B$132=R$3)*('Zehnder Charleston'!$D$2:$D$132=$B5),'Zehnder Charleston'!$L$2:$L$132,"")</f>
        <v>115.7</v>
      </c>
      <c r="S68" s="2" cm="1">
        <f t="array" ref="S68">_xlfn.XLOOKUP(1,('Zehnder Charleston'!$B$2:$B$132=S$3)*('Zehnder Charleston'!$D$2:$D$132=$B5),'Zehnder Charleston'!$L$2:$L$132,"")</f>
        <v>128.69999999999999</v>
      </c>
      <c r="T68" s="2" cm="1">
        <f t="array" ref="T68">_xlfn.XLOOKUP(1,('Zehnder Charleston'!$B$2:$B$132=T$3)*('Zehnder Charleston'!$D$2:$D$132=$B5),'Zehnder Charleston'!$L$2:$L$132,"")</f>
        <v>147.4</v>
      </c>
      <c r="U68" s="2" cm="1">
        <f t="array" ref="U68">_xlfn.XLOOKUP(1,('Zehnder Charleston'!$B$2:$B$132=U$3)*('Zehnder Charleston'!$D$2:$D$132=$B5),'Zehnder Charleston'!$L$2:$L$132,"")</f>
        <v>164.85</v>
      </c>
      <c r="V68" s="2" cm="1">
        <f t="array" ref="V68">_xlfn.XLOOKUP(1,('Zehnder Charleston'!$B$2:$B$132=V$3)*('Zehnder Charleston'!$D$2:$D$132=$B5),'Zehnder Charleston'!$L$2:$L$132,"")</f>
        <v>177.3</v>
      </c>
    </row>
    <row r="69" spans="1:28" x14ac:dyDescent="0.2">
      <c r="B69" s="2">
        <f>B6</f>
        <v>136</v>
      </c>
      <c r="C69" s="2" cm="1">
        <f t="array" ref="C69">_xlfn.XLOOKUP(1,('Zehnder Charleston'!$B$2:$B$132=C$3)*('Zehnder Charleston'!$D$2:$D$132=$B6),'Zehnder Charleston'!$L$2:$L$132,"")</f>
        <v>38.4</v>
      </c>
      <c r="D69" s="2" cm="1">
        <f t="array" ref="D69">_xlfn.XLOOKUP(1,('Zehnder Charleston'!$B$2:$B$132=D$3)*('Zehnder Charleston'!$D$2:$D$132=$B6),'Zehnder Charleston'!$L$2:$L$132,"")</f>
        <v>39.549999999999997</v>
      </c>
      <c r="E69" s="2" cm="1">
        <f t="array" ref="E69">_xlfn.XLOOKUP(1,('Zehnder Charleston'!$B$2:$B$132=E$3)*('Zehnder Charleston'!$D$2:$D$132=$B6),'Zehnder Charleston'!$L$2:$L$132,"")</f>
        <v>41.1</v>
      </c>
      <c r="F69" s="2" cm="1">
        <f t="array" ref="F69">_xlfn.XLOOKUP(1,('Zehnder Charleston'!$B$2:$B$132=F$3)*('Zehnder Charleston'!$D$2:$D$132=$B6),'Zehnder Charleston'!$L$2:$L$132,"")</f>
        <v>42.45</v>
      </c>
      <c r="G69" s="2" cm="1">
        <f t="array" ref="G69">_xlfn.XLOOKUP(1,('Zehnder Charleston'!$B$2:$B$132=G$3)*('Zehnder Charleston'!$D$2:$D$132=$B6),'Zehnder Charleston'!$L$2:$L$132,"")</f>
        <v>46.55</v>
      </c>
      <c r="H69" s="2" cm="1">
        <f t="array" ref="H69">_xlfn.XLOOKUP(1,('Zehnder Charleston'!$B$2:$B$132=H$3)*('Zehnder Charleston'!$D$2:$D$132=$B6),'Zehnder Charleston'!$L$2:$L$132,"")</f>
        <v>47.7</v>
      </c>
      <c r="I69" s="2" cm="1">
        <f t="array" ref="I69">_xlfn.XLOOKUP(1,('Zehnder Charleston'!$B$2:$B$132=I$3)*('Zehnder Charleston'!$D$2:$D$132=$B6),'Zehnder Charleston'!$L$2:$L$132,"")</f>
        <v>49.1</v>
      </c>
      <c r="J69" s="2" cm="1">
        <f t="array" ref="J69">_xlfn.XLOOKUP(1,('Zehnder Charleston'!$B$2:$B$132=J$3)*('Zehnder Charleston'!$D$2:$D$132=$B6),'Zehnder Charleston'!$L$2:$L$132,"")</f>
        <v>50.5</v>
      </c>
      <c r="K69" s="2" cm="1">
        <f t="array" ref="K69">_xlfn.XLOOKUP(1,('Zehnder Charleston'!$B$2:$B$132=K$3)*('Zehnder Charleston'!$D$2:$D$132=$B6),'Zehnder Charleston'!$L$2:$L$132,"")</f>
        <v>55.6</v>
      </c>
      <c r="L69" s="2" cm="1">
        <f t="array" ref="L69">_xlfn.XLOOKUP(1,('Zehnder Charleston'!$B$2:$B$132=L$3)*('Zehnder Charleston'!$D$2:$D$132=$B6),'Zehnder Charleston'!$L$2:$L$132,"")</f>
        <v>63.75</v>
      </c>
      <c r="M69" s="2" cm="1">
        <f t="array" ref="M69">_xlfn.XLOOKUP(1,('Zehnder Charleston'!$B$2:$B$132=M$3)*('Zehnder Charleston'!$D$2:$D$132=$B6),'Zehnder Charleston'!$L$2:$L$132,"")</f>
        <v>68.849999999999994</v>
      </c>
      <c r="N69" s="2" cm="1">
        <f t="array" ref="N69">_xlfn.XLOOKUP(1,('Zehnder Charleston'!$B$2:$B$132=N$3)*('Zehnder Charleston'!$D$2:$D$132=$B6),'Zehnder Charleston'!$L$2:$L$132,"")</f>
        <v>76.2</v>
      </c>
      <c r="O69" s="2" cm="1">
        <f t="array" ref="O69">_xlfn.XLOOKUP(1,('Zehnder Charleston'!$B$2:$B$132=O$3)*('Zehnder Charleston'!$D$2:$D$132=$B6),'Zehnder Charleston'!$L$2:$L$132,"")</f>
        <v>85.95</v>
      </c>
      <c r="P69" s="2" cm="1">
        <f t="array" ref="P69">_xlfn.XLOOKUP(1,('Zehnder Charleston'!$B$2:$B$132=P$3)*('Zehnder Charleston'!$D$2:$D$132=$B6),'Zehnder Charleston'!$L$2:$L$132,"")</f>
        <v>105.5</v>
      </c>
      <c r="Q69" s="2" cm="1">
        <f t="array" ref="Q69">_xlfn.XLOOKUP(1,('Zehnder Charleston'!$B$2:$B$132=Q$3)*('Zehnder Charleston'!$D$2:$D$132=$B6),'Zehnder Charleston'!$L$2:$L$132,"")</f>
        <v>137.44999999999999</v>
      </c>
      <c r="R69" s="2" cm="1">
        <f t="array" ref="R69">_xlfn.XLOOKUP(1,('Zehnder Charleston'!$B$2:$B$132=R$3)*('Zehnder Charleston'!$D$2:$D$132=$B6),'Zehnder Charleston'!$L$2:$L$132,"")</f>
        <v>153.30000000000001</v>
      </c>
      <c r="S69" s="2" cm="1">
        <f t="array" ref="S69">_xlfn.XLOOKUP(1,('Zehnder Charleston'!$B$2:$B$132=S$3)*('Zehnder Charleston'!$D$2:$D$132=$B6),'Zehnder Charleston'!$L$2:$L$132,"")</f>
        <v>168</v>
      </c>
      <c r="T69" s="2" cm="1">
        <f t="array" ref="T69">_xlfn.XLOOKUP(1,('Zehnder Charleston'!$B$2:$B$132=T$3)*('Zehnder Charleston'!$D$2:$D$132=$B6),'Zehnder Charleston'!$L$2:$L$132,"")</f>
        <v>190.65</v>
      </c>
      <c r="U69" s="2" cm="1">
        <f t="array" ref="U69">_xlfn.XLOOKUP(1,('Zehnder Charleston'!$B$2:$B$132=U$3)*('Zehnder Charleston'!$D$2:$D$132=$B6),'Zehnder Charleston'!$L$2:$L$132,"")</f>
        <v>215.7</v>
      </c>
      <c r="V69" s="2" cm="1">
        <f t="array" ref="V69">_xlfn.XLOOKUP(1,('Zehnder Charleston'!$B$2:$B$132=V$3)*('Zehnder Charleston'!$D$2:$D$132=$B6),'Zehnder Charleston'!$L$2:$L$132,"")</f>
        <v>229.7</v>
      </c>
    </row>
    <row r="70" spans="1:28" x14ac:dyDescent="0.2">
      <c r="B70" s="2">
        <f>B7</f>
        <v>173</v>
      </c>
      <c r="C70" s="2" cm="1">
        <f t="array" ref="C70">_xlfn.XLOOKUP(1,('Zehnder Charleston'!$B$2:$B$132=C$3)*('Zehnder Charleston'!$D$2:$D$132=$B7),'Zehnder Charleston'!$L$2:$L$132,"")</f>
        <v>46.55</v>
      </c>
      <c r="D70" s="2" cm="1">
        <f t="array" ref="D70">_xlfn.XLOOKUP(1,('Zehnder Charleston'!$B$2:$B$132=D$3)*('Zehnder Charleston'!$D$2:$D$132=$B7),'Zehnder Charleston'!$L$2:$L$132,"")</f>
        <v>48</v>
      </c>
      <c r="E70" s="2" cm="1">
        <f t="array" ref="E70">_xlfn.XLOOKUP(1,('Zehnder Charleston'!$B$2:$B$132=E$3)*('Zehnder Charleston'!$D$2:$D$132=$B7),'Zehnder Charleston'!$L$2:$L$132,"")</f>
        <v>49.25</v>
      </c>
      <c r="F70" s="2" cm="1">
        <f t="array" ref="F70">_xlfn.XLOOKUP(1,('Zehnder Charleston'!$B$2:$B$132=F$3)*('Zehnder Charleston'!$D$2:$D$132=$B7),'Zehnder Charleston'!$L$2:$L$132,"")</f>
        <v>50.5</v>
      </c>
      <c r="G70" s="2" cm="1">
        <f t="array" ref="G70">_xlfn.XLOOKUP(1,('Zehnder Charleston'!$B$2:$B$132=G$3)*('Zehnder Charleston'!$D$2:$D$132=$B7),'Zehnder Charleston'!$L$2:$L$132,"")</f>
        <v>63.75</v>
      </c>
      <c r="H70" s="2" cm="1">
        <f t="array" ref="H70">_xlfn.XLOOKUP(1,('Zehnder Charleston'!$B$2:$B$132=H$3)*('Zehnder Charleston'!$D$2:$D$132=$B7),'Zehnder Charleston'!$L$2:$L$132,"")</f>
        <v>64.8</v>
      </c>
      <c r="I70" s="2" cm="1">
        <f t="array" ref="I70">_xlfn.XLOOKUP(1,('Zehnder Charleston'!$B$2:$B$132=I$3)*('Zehnder Charleston'!$D$2:$D$132=$B7),'Zehnder Charleston'!$L$2:$L$132,"")</f>
        <v>66.900000000000006</v>
      </c>
      <c r="J70" s="2" cm="1">
        <f t="array" ref="J70">_xlfn.XLOOKUP(1,('Zehnder Charleston'!$B$2:$B$132=J$3)*('Zehnder Charleston'!$D$2:$D$132=$B7),'Zehnder Charleston'!$L$2:$L$132,"")</f>
        <v>68.849999999999994</v>
      </c>
      <c r="K70" s="2" cm="1">
        <f t="array" ref="K70">_xlfn.XLOOKUP(1,('Zehnder Charleston'!$B$2:$B$132=K$3)*('Zehnder Charleston'!$D$2:$D$132=$B7),'Zehnder Charleston'!$L$2:$L$132,"")</f>
        <v>72.900000000000006</v>
      </c>
      <c r="L70" s="2" cm="1">
        <f t="array" ref="L70">_xlfn.XLOOKUP(1,('Zehnder Charleston'!$B$2:$B$132=L$3)*('Zehnder Charleston'!$D$2:$D$132=$B7),'Zehnder Charleston'!$L$2:$L$132,"")</f>
        <v>79</v>
      </c>
      <c r="M70" s="2" cm="1">
        <f t="array" ref="M70">_xlfn.XLOOKUP(1,('Zehnder Charleston'!$B$2:$B$132=M$3)*('Zehnder Charleston'!$D$2:$D$132=$B7),'Zehnder Charleston'!$L$2:$L$132,"")</f>
        <v>82.9</v>
      </c>
      <c r="N70" s="2" cm="1">
        <f t="array" ref="N70">_xlfn.XLOOKUP(1,('Zehnder Charleston'!$B$2:$B$132=N$3)*('Zehnder Charleston'!$D$2:$D$132=$B7),'Zehnder Charleston'!$L$2:$L$132,"")</f>
        <v>92</v>
      </c>
      <c r="O70" s="2" cm="1">
        <f t="array" ref="O70">_xlfn.XLOOKUP(1,('Zehnder Charleston'!$B$2:$B$132=O$3)*('Zehnder Charleston'!$D$2:$D$132=$B7),'Zehnder Charleston'!$L$2:$L$132,"")</f>
        <v>106.9</v>
      </c>
      <c r="P70" s="2" cm="1">
        <f t="array" ref="P70">_xlfn.XLOOKUP(1,('Zehnder Charleston'!$B$2:$B$132=P$3)*('Zehnder Charleston'!$D$2:$D$132=$B7),'Zehnder Charleston'!$L$2:$L$132,"")</f>
        <v>142.15</v>
      </c>
      <c r="Q70" s="2" cm="1">
        <f t="array" ref="Q70">_xlfn.XLOOKUP(1,('Zehnder Charleston'!$B$2:$B$132=Q$3)*('Zehnder Charleston'!$D$2:$D$132=$B7),'Zehnder Charleston'!$L$2:$L$132,"")</f>
        <v>168.7</v>
      </c>
      <c r="R70" s="2" cm="1">
        <f t="array" ref="R70">_xlfn.XLOOKUP(1,('Zehnder Charleston'!$B$2:$B$132=R$3)*('Zehnder Charleston'!$D$2:$D$132=$B7),'Zehnder Charleston'!$L$2:$L$132,"")</f>
        <v>188.25</v>
      </c>
      <c r="S70" s="2" cm="1">
        <f t="array" ref="S70">_xlfn.XLOOKUP(1,('Zehnder Charleston'!$B$2:$B$132=S$3)*('Zehnder Charleston'!$D$2:$D$132=$B7),'Zehnder Charleston'!$L$2:$L$132,"")</f>
        <v>206.25</v>
      </c>
      <c r="T70" s="2" cm="1">
        <f t="array" ref="T70">_xlfn.XLOOKUP(1,('Zehnder Charleston'!$B$2:$B$132=T$3)*('Zehnder Charleston'!$D$2:$D$132=$B7),'Zehnder Charleston'!$L$2:$L$132,"")</f>
        <v>233.4</v>
      </c>
      <c r="U70" s="2" cm="1">
        <f t="array" ref="U70">_xlfn.XLOOKUP(1,('Zehnder Charleston'!$B$2:$B$132=U$3)*('Zehnder Charleston'!$D$2:$D$132=$B7),'Zehnder Charleston'!$L$2:$L$132,"")</f>
        <v>258.60000000000002</v>
      </c>
      <c r="V70" s="2" cm="1">
        <f t="array" ref="V70">_xlfn.XLOOKUP(1,('Zehnder Charleston'!$B$2:$B$132=V$3)*('Zehnder Charleston'!$D$2:$D$132=$B7),'Zehnder Charleston'!$L$2:$L$132,"")</f>
        <v>277.39999999999998</v>
      </c>
    </row>
    <row r="71" spans="1:28" x14ac:dyDescent="0.2">
      <c r="B71" s="2">
        <f>B8</f>
        <v>210</v>
      </c>
      <c r="C71" s="2" cm="1">
        <f t="array" ref="C71">_xlfn.XLOOKUP(1,('Zehnder Charleston'!$B$2:$B$132=C$3)*('Zehnder Charleston'!$D$2:$D$132=$B8),'Zehnder Charleston'!$L$2:$L$132,"")</f>
        <v>53.05</v>
      </c>
      <c r="D71" s="2" cm="1">
        <f t="array" ref="D71">_xlfn.XLOOKUP(1,('Zehnder Charleston'!$B$2:$B$132=D$3)*('Zehnder Charleston'!$D$2:$D$132=$B8),'Zehnder Charleston'!$L$2:$L$132,"")</f>
        <v>54.95</v>
      </c>
      <c r="E71" s="2" cm="1">
        <f t="array" ref="E71">_xlfn.XLOOKUP(1,('Zehnder Charleston'!$B$2:$B$132=E$3)*('Zehnder Charleston'!$D$2:$D$132=$B8),'Zehnder Charleston'!$L$2:$L$132,"")</f>
        <v>57.55</v>
      </c>
      <c r="F71" s="2" cm="1">
        <f t="array" ref="F71">_xlfn.XLOOKUP(1,('Zehnder Charleston'!$B$2:$B$132=F$3)*('Zehnder Charleston'!$D$2:$D$132=$B8),'Zehnder Charleston'!$L$2:$L$132,"")</f>
        <v>59.5</v>
      </c>
      <c r="G71" s="2" cm="1">
        <f t="array" ref="G71">_xlfn.XLOOKUP(1,('Zehnder Charleston'!$B$2:$B$132=G$3)*('Zehnder Charleston'!$D$2:$D$132=$B8),'Zehnder Charleston'!$L$2:$L$132,"")</f>
        <v>67.900000000000006</v>
      </c>
      <c r="H71" s="2" cm="1">
        <f t="array" ref="H71">_xlfn.XLOOKUP(1,('Zehnder Charleston'!$B$2:$B$132=H$3)*('Zehnder Charleston'!$D$2:$D$132=$B8),'Zehnder Charleston'!$L$2:$L$132,"")</f>
        <v>69.849999999999994</v>
      </c>
      <c r="I71" s="2" cm="1">
        <f t="array" ref="I71">_xlfn.XLOOKUP(1,('Zehnder Charleston'!$B$2:$B$132=I$3)*('Zehnder Charleston'!$D$2:$D$132=$B8),'Zehnder Charleston'!$L$2:$L$132,"")</f>
        <v>72.05</v>
      </c>
      <c r="J71" s="2" cm="1">
        <f t="array" ref="J71">_xlfn.XLOOKUP(1,('Zehnder Charleston'!$B$2:$B$132=J$3)*('Zehnder Charleston'!$D$2:$D$132=$B8),'Zehnder Charleston'!$L$2:$L$132,"")</f>
        <v>73.95</v>
      </c>
      <c r="K71" s="2" cm="1">
        <f t="array" ref="K71">_xlfn.XLOOKUP(1,('Zehnder Charleston'!$B$2:$B$132=K$3)*('Zehnder Charleston'!$D$2:$D$132=$B8),'Zehnder Charleston'!$L$2:$L$132,"")</f>
        <v>85.2</v>
      </c>
      <c r="L71" s="2" cm="1">
        <f t="array" ref="L71">_xlfn.XLOOKUP(1,('Zehnder Charleston'!$B$2:$B$132=L$3)*('Zehnder Charleston'!$D$2:$D$132=$B8),'Zehnder Charleston'!$L$2:$L$132,"")</f>
        <v>86.95</v>
      </c>
      <c r="M71" s="2" cm="1">
        <f t="array" ref="M71">_xlfn.XLOOKUP(1,('Zehnder Charleston'!$B$2:$B$132=M$3)*('Zehnder Charleston'!$D$2:$D$132=$B8),'Zehnder Charleston'!$L$2:$L$132,"")</f>
        <v>92.8</v>
      </c>
      <c r="N71" s="2" cm="1">
        <f t="array" ref="N71">_xlfn.XLOOKUP(1,('Zehnder Charleston'!$B$2:$B$132=N$3)*('Zehnder Charleston'!$D$2:$D$132=$B8),'Zehnder Charleston'!$L$2:$L$132,"")</f>
        <v>110.1</v>
      </c>
      <c r="O71" s="2" cm="1">
        <f t="array" ref="O71">_xlfn.XLOOKUP(1,('Zehnder Charleston'!$B$2:$B$132=O$3)*('Zehnder Charleston'!$D$2:$D$132=$B8),'Zehnder Charleston'!$L$2:$L$132,"")</f>
        <v>124.95</v>
      </c>
      <c r="P71" s="2" cm="1">
        <f t="array" ref="P71">_xlfn.XLOOKUP(1,('Zehnder Charleston'!$B$2:$B$132=P$3)*('Zehnder Charleston'!$D$2:$D$132=$B8),'Zehnder Charleston'!$L$2:$L$132,"")</f>
        <v>169.65</v>
      </c>
      <c r="Q71" s="2" cm="1">
        <f t="array" ref="Q71">_xlfn.XLOOKUP(1,('Zehnder Charleston'!$B$2:$B$132=Q$3)*('Zehnder Charleston'!$D$2:$D$132=$B8),'Zehnder Charleston'!$L$2:$L$132,"")</f>
        <v>201.55</v>
      </c>
      <c r="R71" s="2" cm="1">
        <f t="array" ref="R71">_xlfn.XLOOKUP(1,('Zehnder Charleston'!$B$2:$B$132=R$3)*('Zehnder Charleston'!$D$2:$D$132=$B8),'Zehnder Charleston'!$L$2:$L$132,"")</f>
        <v>221.55</v>
      </c>
      <c r="S71" s="2" cm="1">
        <f t="array" ref="S71">_xlfn.XLOOKUP(1,('Zehnder Charleston'!$B$2:$B$132=S$3)*('Zehnder Charleston'!$D$2:$D$132=$B8),'Zehnder Charleston'!$L$2:$L$132,"")</f>
        <v>244.3</v>
      </c>
      <c r="T71" s="2" cm="1">
        <f t="array" ref="T71">_xlfn.XLOOKUP(1,('Zehnder Charleston'!$B$2:$B$132=T$3)*('Zehnder Charleston'!$D$2:$D$132=$B8),'Zehnder Charleston'!$L$2:$L$132,"")</f>
        <v>277.64999999999998</v>
      </c>
      <c r="U71" s="2" cm="1">
        <f t="array" ref="U71">_xlfn.XLOOKUP(1,('Zehnder Charleston'!$B$2:$B$132=U$3)*('Zehnder Charleston'!$D$2:$D$132=$B8),'Zehnder Charleston'!$L$2:$L$132,"")</f>
        <v>311.05</v>
      </c>
      <c r="V71" s="2" cm="1">
        <f t="array" ref="V71">_xlfn.XLOOKUP(1,('Zehnder Charleston'!$B$2:$B$132=V$3)*('Zehnder Charleston'!$D$2:$D$132=$B8),'Zehnder Charleston'!$L$2:$L$132,"")</f>
        <v>331.65</v>
      </c>
    </row>
    <row r="72" spans="1:28" x14ac:dyDescent="0.2">
      <c r="C72" s="8"/>
      <c r="D72" s="8"/>
      <c r="E72" s="8"/>
      <c r="F72" s="8"/>
      <c r="G72" s="8"/>
      <c r="H72" s="8"/>
      <c r="I72" s="8"/>
      <c r="J72" s="8"/>
      <c r="K72" s="8"/>
      <c r="L72" s="8"/>
      <c r="M72"/>
      <c r="N72"/>
      <c r="O72"/>
      <c r="P72"/>
      <c r="Q72"/>
    </row>
    <row r="73" spans="1:28" ht="13.5" x14ac:dyDescent="0.25">
      <c r="A73" s="57" t="s">
        <v>162</v>
      </c>
      <c r="C73" s="4" t="s">
        <v>2</v>
      </c>
      <c r="M73"/>
      <c r="N73"/>
      <c r="O73"/>
      <c r="P73"/>
      <c r="Q73"/>
    </row>
    <row r="74" spans="1:28" x14ac:dyDescent="0.2">
      <c r="A74" s="57"/>
      <c r="B74" s="1"/>
      <c r="C74" s="164">
        <v>260</v>
      </c>
      <c r="D74" s="164">
        <v>292</v>
      </c>
      <c r="E74" s="164">
        <v>342</v>
      </c>
      <c r="F74" s="164">
        <v>392</v>
      </c>
      <c r="G74" s="164">
        <v>442</v>
      </c>
      <c r="H74" s="164">
        <v>492</v>
      </c>
      <c r="I74" s="164">
        <v>542</v>
      </c>
      <c r="J74" s="164">
        <v>592</v>
      </c>
      <c r="K74" s="164">
        <v>742</v>
      </c>
      <c r="L74" s="164">
        <v>892</v>
      </c>
      <c r="M74" s="164">
        <v>992</v>
      </c>
      <c r="N74" s="164">
        <v>1092</v>
      </c>
      <c r="O74" s="164">
        <v>1192</v>
      </c>
      <c r="P74" s="164">
        <v>1492</v>
      </c>
      <c r="Q74" s="164">
        <v>1792</v>
      </c>
      <c r="R74" s="165">
        <v>1992</v>
      </c>
      <c r="S74" s="165">
        <v>2192</v>
      </c>
      <c r="T74" s="165">
        <v>2492</v>
      </c>
      <c r="U74" s="165">
        <v>2792</v>
      </c>
      <c r="V74" s="165">
        <v>2992</v>
      </c>
    </row>
    <row r="75" spans="1:28" x14ac:dyDescent="0.2">
      <c r="A75" s="57"/>
      <c r="C75" s="5">
        <f t="shared" ref="C75:V75" si="7">C$3</f>
        <v>260</v>
      </c>
      <c r="D75" s="5">
        <f t="shared" si="7"/>
        <v>300</v>
      </c>
      <c r="E75" s="5">
        <f t="shared" si="7"/>
        <v>350</v>
      </c>
      <c r="F75" s="5">
        <f t="shared" si="7"/>
        <v>400</v>
      </c>
      <c r="G75" s="5">
        <f t="shared" si="7"/>
        <v>450</v>
      </c>
      <c r="H75" s="5">
        <f t="shared" si="7"/>
        <v>500</v>
      </c>
      <c r="I75" s="5">
        <f t="shared" si="7"/>
        <v>550</v>
      </c>
      <c r="J75" s="5">
        <f t="shared" si="7"/>
        <v>600</v>
      </c>
      <c r="K75" s="5">
        <f t="shared" si="7"/>
        <v>750</v>
      </c>
      <c r="L75" s="5">
        <f t="shared" si="7"/>
        <v>900</v>
      </c>
      <c r="M75" s="5">
        <f t="shared" si="7"/>
        <v>1000</v>
      </c>
      <c r="N75" s="5">
        <f t="shared" si="7"/>
        <v>1100</v>
      </c>
      <c r="O75" s="5">
        <f t="shared" si="7"/>
        <v>1200</v>
      </c>
      <c r="P75" s="5">
        <f t="shared" si="7"/>
        <v>1500</v>
      </c>
      <c r="Q75" s="5">
        <f t="shared" si="7"/>
        <v>1800</v>
      </c>
      <c r="R75" s="5">
        <f t="shared" si="7"/>
        <v>2000</v>
      </c>
      <c r="S75" s="5">
        <f t="shared" si="7"/>
        <v>2200</v>
      </c>
      <c r="T75" s="5">
        <f t="shared" si="7"/>
        <v>2500</v>
      </c>
      <c r="U75" s="5">
        <f t="shared" si="7"/>
        <v>2800</v>
      </c>
      <c r="V75" s="5">
        <f t="shared" si="7"/>
        <v>3000</v>
      </c>
    </row>
    <row r="76" spans="1:28" ht="13.5" x14ac:dyDescent="0.25">
      <c r="A76" s="4" t="s">
        <v>3</v>
      </c>
      <c r="B76" s="2">
        <f>B4</f>
        <v>62</v>
      </c>
      <c r="C76" s="2" cm="1">
        <f t="array" ref="C76">_xlfn.XLOOKUP(1,('Zehnder Charleston'!$B$2:$B$132=C$3)*('Zehnder Charleston'!$D$2:$D$132=$B4),'Zehnder Charleston'!$A$2:$A$132,"")</f>
        <v>2026</v>
      </c>
      <c r="D76" s="2" cm="1">
        <f t="array" ref="D76">_xlfn.XLOOKUP(1,('Zehnder Charleston'!$B$2:$B$132=D$2)*('Zehnder Charleston'!$D$2:$D$132=$B4),'Zehnder Charleston'!$A$2:$A$132,"")</f>
        <v>2030</v>
      </c>
      <c r="E76" s="2" cm="1">
        <f t="array" ref="E76">_xlfn.XLOOKUP(1,('Zehnder Charleston'!$B$2:$B$132=E$2)*('Zehnder Charleston'!$D$2:$D$132=$B4),'Zehnder Charleston'!$A$2:$A$132,"")</f>
        <v>2035</v>
      </c>
      <c r="F76" s="2" cm="1">
        <f t="array" ref="F76">_xlfn.XLOOKUP(1,('Zehnder Charleston'!$B$2:$B$132=F$2)*('Zehnder Charleston'!$D$2:$D$132=$B4),'Zehnder Charleston'!$A$2:$A$132,"")</f>
        <v>2040</v>
      </c>
      <c r="G76" s="2" cm="1">
        <f t="array" ref="G76">_xlfn.XLOOKUP(1,('Zehnder Charleston'!$B$2:$B$132=G$2)*('Zehnder Charleston'!$D$2:$D$132=$B4),'Zehnder Charleston'!$A$2:$A$132,"")</f>
        <v>2045</v>
      </c>
      <c r="H76" s="2" cm="1">
        <f t="array" ref="H76">_xlfn.XLOOKUP(1,('Zehnder Charleston'!$B$2:$B$132=H$2)*('Zehnder Charleston'!$D$2:$D$132=$B4),'Zehnder Charleston'!$A$2:$A$132,"")</f>
        <v>2050</v>
      </c>
      <c r="I76" s="2" cm="1">
        <f t="array" ref="I76">_xlfn.XLOOKUP(1,('Zehnder Charleston'!$B$2:$B$132=I$2)*('Zehnder Charleston'!$D$2:$D$132=$B4),'Zehnder Charleston'!$A$2:$A$132,"")</f>
        <v>2055</v>
      </c>
      <c r="J76" s="2" cm="1">
        <f t="array" ref="J76">_xlfn.XLOOKUP(1,('Zehnder Charleston'!$B$2:$B$132=J$2)*('Zehnder Charleston'!$D$2:$D$132=$B4),'Zehnder Charleston'!$A$2:$A$132,"")</f>
        <v>2060</v>
      </c>
      <c r="K76" s="2" cm="1">
        <f t="array" ref="K76">_xlfn.XLOOKUP(1,('Zehnder Charleston'!$B$2:$B$132=K$2)*('Zehnder Charleston'!$D$2:$D$132=$B4),'Zehnder Charleston'!$A$2:$A$132,"")</f>
        <v>2075</v>
      </c>
      <c r="L76" s="2" cm="1">
        <f t="array" ref="L76">_xlfn.XLOOKUP(1,('Zehnder Charleston'!$B$2:$B$132=L$2)*('Zehnder Charleston'!$D$2:$D$132=$B4),'Zehnder Charleston'!$A$2:$A$132,"")</f>
        <v>2090</v>
      </c>
      <c r="M76" s="2" cm="1">
        <f t="array" ref="M76">_xlfn.XLOOKUP(1,('Zehnder Charleston'!$B$2:$B$132=M$2)*('Zehnder Charleston'!$D$2:$D$132=$B4),'Zehnder Charleston'!$A$2:$A$132,"")</f>
        <v>2100</v>
      </c>
      <c r="N76" s="2" cm="1">
        <f t="array" ref="N76">_xlfn.XLOOKUP(1,('Zehnder Charleston'!$B$2:$B$132=N$2)*('Zehnder Charleston'!$D$2:$D$132=$B4),'Zehnder Charleston'!$A$2:$A$132,"")</f>
        <v>2110</v>
      </c>
      <c r="O76" s="2" cm="1">
        <f t="array" ref="O76">_xlfn.XLOOKUP(1,('Zehnder Charleston'!$B$2:$B$132=O$2)*('Zehnder Charleston'!$D$2:$D$132=$B4),'Zehnder Charleston'!$A$2:$A$132,"")</f>
        <v>2120</v>
      </c>
      <c r="P76" s="2" cm="1">
        <f t="array" ref="P76">_xlfn.XLOOKUP(1,('Zehnder Charleston'!$B$2:$B$132=P$2)*('Zehnder Charleston'!$D$2:$D$132=$B4),'Zehnder Charleston'!$A$2:$A$132,"")</f>
        <v>2150</v>
      </c>
      <c r="Q76" s="2" cm="1">
        <f t="array" ref="Q76">_xlfn.XLOOKUP(1,('Zehnder Charleston'!$B$2:$B$132=Q$2)*('Zehnder Charleston'!$D$2:$D$132=$B4),'Zehnder Charleston'!$A$2:$A$132,"")</f>
        <v>2180</v>
      </c>
      <c r="R76" s="2" cm="1">
        <f t="array" ref="R76">_xlfn.XLOOKUP(1,('Zehnder Charleston'!$B$2:$B$132=R$2)*('Zehnder Charleston'!$D$2:$D$132=$B4),'Zehnder Charleston'!$A$2:$A$132,"")</f>
        <v>2200</v>
      </c>
      <c r="S76" s="2" cm="1">
        <f t="array" ref="S76">_xlfn.XLOOKUP(1,('Zehnder Charleston'!$B$2:$B$132=S$2)*('Zehnder Charleston'!$D$2:$D$132=$B4),'Zehnder Charleston'!$A$2:$A$132,"")</f>
        <v>2220</v>
      </c>
      <c r="T76" s="2" cm="1">
        <f t="array" ref="T76">_xlfn.XLOOKUP(1,('Zehnder Charleston'!$B$2:$B$132=T$2)*('Zehnder Charleston'!$D$2:$D$132=$B4),'Zehnder Charleston'!$A$2:$A$132,"")</f>
        <v>2250</v>
      </c>
      <c r="U76" s="2" cm="1">
        <f t="array" ref="U76">_xlfn.XLOOKUP(1,('Zehnder Charleston'!$B$2:$B$132=U$2)*('Zehnder Charleston'!$D$2:$D$132=$B4),'Zehnder Charleston'!$A$2:$A$132,"")</f>
        <v>2280</v>
      </c>
      <c r="V76" s="2" cm="1">
        <f t="array" ref="V76">_xlfn.XLOOKUP(1,('Zehnder Charleston'!$B$2:$B$132=V$2)*('Zehnder Charleston'!$D$2:$D$132=$B4),'Zehnder Charleston'!$A$2:$A$132,"")</f>
        <v>2300</v>
      </c>
      <c r="AB76" s="2" t="str" cm="1">
        <f t="array" ref="AB76">_xlfn.XLOOKUP(1,('Zehnder Charleston'!$B$2:$B$138=V$3)*('Zehnder Charleston'!$D$2:$D$138=$B4),'Zehnder Charleston'!$A$2:$A$138,"")</f>
        <v/>
      </c>
    </row>
    <row r="77" spans="1:28" x14ac:dyDescent="0.2">
      <c r="B77" s="2">
        <f>B5</f>
        <v>100</v>
      </c>
      <c r="C77" s="2" cm="1">
        <f t="array" ref="C77">_xlfn.XLOOKUP(1,('Zehnder Charleston'!$B$2:$B$132=C$3)*('Zehnder Charleston'!$D$2:$D$132=$B5),'Zehnder Charleston'!$A$2:$A$132,"")</f>
        <v>3026</v>
      </c>
      <c r="D77" s="2" cm="1">
        <f t="array" ref="D77">_xlfn.XLOOKUP(1,('Zehnder Charleston'!$B$2:$B$132=D$3)*('Zehnder Charleston'!$D$2:$D$132=$B5),'Zehnder Charleston'!$A$2:$A$132,"")</f>
        <v>3030</v>
      </c>
      <c r="E77" s="2" cm="1">
        <f t="array" ref="E77">_xlfn.XLOOKUP(1,('Zehnder Charleston'!$B$2:$B$132=E$3)*('Zehnder Charleston'!$D$2:$D$132=$B5),'Zehnder Charleston'!$A$2:$A$132,"")</f>
        <v>3035</v>
      </c>
      <c r="F77" s="2" cm="1">
        <f t="array" ref="F77">_xlfn.XLOOKUP(1,('Zehnder Charleston'!$B$2:$B$132=F$3)*('Zehnder Charleston'!$D$2:$D$132=$B5),'Zehnder Charleston'!$A$2:$A$132,"")</f>
        <v>3040</v>
      </c>
      <c r="G77" s="2" cm="1">
        <f t="array" ref="G77">_xlfn.XLOOKUP(1,('Zehnder Charleston'!$B$2:$B$132=G$3)*('Zehnder Charleston'!$D$2:$D$132=$B5),'Zehnder Charleston'!$A$2:$A$132,"")</f>
        <v>3045</v>
      </c>
      <c r="H77" s="2" cm="1">
        <f t="array" ref="H77">_xlfn.XLOOKUP(1,('Zehnder Charleston'!$B$2:$B$132=H$3)*('Zehnder Charleston'!$D$2:$D$132=$B5),'Zehnder Charleston'!$A$2:$A$132,"")</f>
        <v>3050</v>
      </c>
      <c r="I77" s="2" cm="1">
        <f t="array" ref="I77">_xlfn.XLOOKUP(1,('Zehnder Charleston'!$B$2:$B$132=I$3)*('Zehnder Charleston'!$D$2:$D$132=$B5),'Zehnder Charleston'!$A$2:$A$132,"")</f>
        <v>3055</v>
      </c>
      <c r="J77" s="2" cm="1">
        <f t="array" ref="J77">_xlfn.XLOOKUP(1,('Zehnder Charleston'!$B$2:$B$132=J$3)*('Zehnder Charleston'!$D$2:$D$132=$B5),'Zehnder Charleston'!$A$2:$A$132,"")</f>
        <v>3060</v>
      </c>
      <c r="K77" s="2" cm="1">
        <f t="array" ref="K77">_xlfn.XLOOKUP(1,('Zehnder Charleston'!$B$2:$B$132=K$3)*('Zehnder Charleston'!$D$2:$D$132=$B5),'Zehnder Charleston'!$A$2:$A$132,"")</f>
        <v>3075</v>
      </c>
      <c r="L77" s="2" cm="1">
        <f t="array" ref="L77">_xlfn.XLOOKUP(1,('Zehnder Charleston'!$B$2:$B$132=L$3)*('Zehnder Charleston'!$D$2:$D$132=$B5),'Zehnder Charleston'!$A$2:$A$132,"")</f>
        <v>3090</v>
      </c>
      <c r="M77" s="2" cm="1">
        <f t="array" ref="M77">_xlfn.XLOOKUP(1,('Zehnder Charleston'!$B$2:$B$132=M$3)*('Zehnder Charleston'!$D$2:$D$132=$B5),'Zehnder Charleston'!$A$2:$A$132,"")</f>
        <v>3100</v>
      </c>
      <c r="N77" s="2" cm="1">
        <f t="array" ref="N77">_xlfn.XLOOKUP(1,('Zehnder Charleston'!$B$2:$B$132=N$3)*('Zehnder Charleston'!$D$2:$D$132=$B5),'Zehnder Charleston'!$A$2:$A$132,"")</f>
        <v>3110</v>
      </c>
      <c r="O77" s="2" cm="1">
        <f t="array" ref="O77">_xlfn.XLOOKUP(1,('Zehnder Charleston'!$B$2:$B$132=O$3)*('Zehnder Charleston'!$D$2:$D$132=$B5),'Zehnder Charleston'!$A$2:$A$132,"")</f>
        <v>3120</v>
      </c>
      <c r="P77" s="2" cm="1">
        <f t="array" ref="P77">_xlfn.XLOOKUP(1,('Zehnder Charleston'!$B$2:$B$132=P$3)*('Zehnder Charleston'!$D$2:$D$132=$B5),'Zehnder Charleston'!$A$2:$A$132,"")</f>
        <v>3150</v>
      </c>
      <c r="Q77" s="2" cm="1">
        <f t="array" ref="Q77">_xlfn.XLOOKUP(1,('Zehnder Charleston'!$B$2:$B$132=Q$3)*('Zehnder Charleston'!$D$2:$D$132=$B5),'Zehnder Charleston'!$A$2:$A$132,"")</f>
        <v>3180</v>
      </c>
      <c r="R77" s="2" cm="1">
        <f t="array" ref="R77">_xlfn.XLOOKUP(1,('Zehnder Charleston'!$B$2:$B$132=R$3)*('Zehnder Charleston'!$D$2:$D$132=$B5),'Zehnder Charleston'!$A$2:$A$132,"")</f>
        <v>3200</v>
      </c>
      <c r="S77" s="2" cm="1">
        <f t="array" ref="S77">_xlfn.XLOOKUP(1,('Zehnder Charleston'!$B$2:$B$132=S$3)*('Zehnder Charleston'!$D$2:$D$132=$B5),'Zehnder Charleston'!$A$2:$A$132,"")</f>
        <v>3220</v>
      </c>
      <c r="T77" s="2" cm="1">
        <f t="array" ref="T77">_xlfn.XLOOKUP(1,('Zehnder Charleston'!$B$2:$B$132=T$3)*('Zehnder Charleston'!$D$2:$D$132=$B5),'Zehnder Charleston'!$A$2:$A$132,"")</f>
        <v>3250</v>
      </c>
      <c r="U77" s="2" cm="1">
        <f t="array" ref="U77">_xlfn.XLOOKUP(1,('Zehnder Charleston'!$B$2:$B$132=U$3)*('Zehnder Charleston'!$D$2:$D$132=$B5),'Zehnder Charleston'!$A$2:$A$132,"")</f>
        <v>3280</v>
      </c>
      <c r="V77" s="2" cm="1">
        <f t="array" ref="V77">_xlfn.XLOOKUP(1,('Zehnder Charleston'!$B$2:$B$132=V$3)*('Zehnder Charleston'!$D$2:$D$132=$B5),'Zehnder Charleston'!$A$2:$A$132,"")</f>
        <v>3300</v>
      </c>
    </row>
    <row r="78" spans="1:28" x14ac:dyDescent="0.2">
      <c r="B78" s="2">
        <f>B6</f>
        <v>136</v>
      </c>
      <c r="C78" s="2" cm="1">
        <f t="array" ref="C78">_xlfn.XLOOKUP(1,('Zehnder Charleston'!$B$2:$B$132=C$3)*('Zehnder Charleston'!$D$2:$D$132=$B6),'Zehnder Charleston'!$A$2:$A$132,"")</f>
        <v>4026</v>
      </c>
      <c r="D78" s="2" cm="1">
        <f t="array" ref="D78">_xlfn.XLOOKUP(1,('Zehnder Charleston'!$B$2:$B$132=D$3)*('Zehnder Charleston'!$D$2:$D$132=$B6),'Zehnder Charleston'!$A$2:$A$132,"")</f>
        <v>4030</v>
      </c>
      <c r="E78" s="2" cm="1">
        <f t="array" ref="E78">_xlfn.XLOOKUP(1,('Zehnder Charleston'!$B$2:$B$132=E$3)*('Zehnder Charleston'!$D$2:$D$132=$B6),'Zehnder Charleston'!$A$2:$A$132,"")</f>
        <v>4035</v>
      </c>
      <c r="F78" s="2" cm="1">
        <f t="array" ref="F78">_xlfn.XLOOKUP(1,('Zehnder Charleston'!$B$2:$B$132=F$3)*('Zehnder Charleston'!$D$2:$D$132=$B6),'Zehnder Charleston'!$A$2:$A$132,"")</f>
        <v>4040</v>
      </c>
      <c r="G78" s="2" cm="1">
        <f t="array" ref="G78">_xlfn.XLOOKUP(1,('Zehnder Charleston'!$B$2:$B$132=G$3)*('Zehnder Charleston'!$D$2:$D$132=$B6),'Zehnder Charleston'!$A$2:$A$132,"")</f>
        <v>4045</v>
      </c>
      <c r="H78" s="2" cm="1">
        <f t="array" ref="H78">_xlfn.XLOOKUP(1,('Zehnder Charleston'!$B$2:$B$132=H$3)*('Zehnder Charleston'!$D$2:$D$132=$B6),'Zehnder Charleston'!$A$2:$A$132,"")</f>
        <v>4050</v>
      </c>
      <c r="I78" s="2" cm="1">
        <f t="array" ref="I78">_xlfn.XLOOKUP(1,('Zehnder Charleston'!$B$2:$B$132=I$3)*('Zehnder Charleston'!$D$2:$D$132=$B6),'Zehnder Charleston'!$A$2:$A$132,"")</f>
        <v>4055</v>
      </c>
      <c r="J78" s="2" cm="1">
        <f t="array" ref="J78">_xlfn.XLOOKUP(1,('Zehnder Charleston'!$B$2:$B$132=J$3)*('Zehnder Charleston'!$D$2:$D$132=$B6),'Zehnder Charleston'!$A$2:$A$132,"")</f>
        <v>4060</v>
      </c>
      <c r="K78" s="2" cm="1">
        <f t="array" ref="K78">_xlfn.XLOOKUP(1,('Zehnder Charleston'!$B$2:$B$132=K$3)*('Zehnder Charleston'!$D$2:$D$132=$B6),'Zehnder Charleston'!$A$2:$A$132,"")</f>
        <v>4075</v>
      </c>
      <c r="L78" s="2" cm="1">
        <f t="array" ref="L78">_xlfn.XLOOKUP(1,('Zehnder Charleston'!$B$2:$B$132=L$3)*('Zehnder Charleston'!$D$2:$D$132=$B6),'Zehnder Charleston'!$A$2:$A$132,"")</f>
        <v>4090</v>
      </c>
      <c r="M78" s="2" cm="1">
        <f t="array" ref="M78">_xlfn.XLOOKUP(1,('Zehnder Charleston'!$B$2:$B$132=M$3)*('Zehnder Charleston'!$D$2:$D$132=$B6),'Zehnder Charleston'!$A$2:$A$132,"")</f>
        <v>4100</v>
      </c>
      <c r="N78" s="2" cm="1">
        <f t="array" ref="N78">_xlfn.XLOOKUP(1,('Zehnder Charleston'!$B$2:$B$132=N$3)*('Zehnder Charleston'!$D$2:$D$132=$B6),'Zehnder Charleston'!$A$2:$A$132,"")</f>
        <v>4110</v>
      </c>
      <c r="O78" s="2" cm="1">
        <f t="array" ref="O78">_xlfn.XLOOKUP(1,('Zehnder Charleston'!$B$2:$B$132=O$3)*('Zehnder Charleston'!$D$2:$D$132=$B6),'Zehnder Charleston'!$A$2:$A$132,"")</f>
        <v>4120</v>
      </c>
      <c r="P78" s="2" cm="1">
        <f t="array" ref="P78">_xlfn.XLOOKUP(1,('Zehnder Charleston'!$B$2:$B$132=P$3)*('Zehnder Charleston'!$D$2:$D$132=$B6),'Zehnder Charleston'!$A$2:$A$132,"")</f>
        <v>4150</v>
      </c>
      <c r="Q78" s="2" cm="1">
        <f t="array" ref="Q78">_xlfn.XLOOKUP(1,('Zehnder Charleston'!$B$2:$B$132=Q$3)*('Zehnder Charleston'!$D$2:$D$132=$B6),'Zehnder Charleston'!$A$2:$A$132,"")</f>
        <v>4180</v>
      </c>
      <c r="R78" s="2" cm="1">
        <f t="array" ref="R78">_xlfn.XLOOKUP(1,('Zehnder Charleston'!$B$2:$B$132=R$3)*('Zehnder Charleston'!$D$2:$D$132=$B6),'Zehnder Charleston'!$A$2:$A$132,"")</f>
        <v>4200</v>
      </c>
      <c r="S78" s="2" cm="1">
        <f t="array" ref="S78">_xlfn.XLOOKUP(1,('Zehnder Charleston'!$B$2:$B$132=S$3)*('Zehnder Charleston'!$D$2:$D$132=$B6),'Zehnder Charleston'!$A$2:$A$132,"")</f>
        <v>4220</v>
      </c>
      <c r="T78" s="2" cm="1">
        <f t="array" ref="T78">_xlfn.XLOOKUP(1,('Zehnder Charleston'!$B$2:$B$132=T$3)*('Zehnder Charleston'!$D$2:$D$132=$B6),'Zehnder Charleston'!$A$2:$A$132,"")</f>
        <v>4250</v>
      </c>
      <c r="U78" s="2" cm="1">
        <f t="array" ref="U78">_xlfn.XLOOKUP(1,('Zehnder Charleston'!$B$2:$B$132=U$3)*('Zehnder Charleston'!$D$2:$D$132=$B6),'Zehnder Charleston'!$A$2:$A$132,"")</f>
        <v>4280</v>
      </c>
      <c r="V78" s="2" cm="1">
        <f t="array" ref="V78">_xlfn.XLOOKUP(1,('Zehnder Charleston'!$B$2:$B$132=V$3)*('Zehnder Charleston'!$D$2:$D$132=$B6),'Zehnder Charleston'!$A$2:$A$132,"")</f>
        <v>4300</v>
      </c>
    </row>
    <row r="79" spans="1:28" x14ac:dyDescent="0.2">
      <c r="B79" s="2">
        <f>B7</f>
        <v>173</v>
      </c>
      <c r="C79" s="2" cm="1">
        <f t="array" ref="C79">_xlfn.XLOOKUP(1,('Zehnder Charleston'!$B$2:$B$132=C$3)*('Zehnder Charleston'!$D$2:$D$132=$B7),'Zehnder Charleston'!$A$2:$A$132,"")</f>
        <v>5026</v>
      </c>
      <c r="D79" s="2" cm="1">
        <f t="array" ref="D79">_xlfn.XLOOKUP(1,('Zehnder Charleston'!$B$2:$B$132=D$3)*('Zehnder Charleston'!$D$2:$D$132=$B7),'Zehnder Charleston'!$A$2:$A$132,"")</f>
        <v>5030</v>
      </c>
      <c r="E79" s="2" cm="1">
        <f t="array" ref="E79">_xlfn.XLOOKUP(1,('Zehnder Charleston'!$B$2:$B$132=E$3)*('Zehnder Charleston'!$D$2:$D$132=$B7),'Zehnder Charleston'!$A$2:$A$132,"")</f>
        <v>5035</v>
      </c>
      <c r="F79" s="2" cm="1">
        <f t="array" ref="F79">_xlfn.XLOOKUP(1,('Zehnder Charleston'!$B$2:$B$132=F$3)*('Zehnder Charleston'!$D$2:$D$132=$B7),'Zehnder Charleston'!$A$2:$A$132,"")</f>
        <v>5040</v>
      </c>
      <c r="G79" s="2" cm="1">
        <f t="array" ref="G79">_xlfn.XLOOKUP(1,('Zehnder Charleston'!$B$2:$B$132=G$3)*('Zehnder Charleston'!$D$2:$D$132=$B7),'Zehnder Charleston'!$A$2:$A$132,"")</f>
        <v>5045</v>
      </c>
      <c r="H79" s="2" cm="1">
        <f t="array" ref="H79">_xlfn.XLOOKUP(1,('Zehnder Charleston'!$B$2:$B$132=H$3)*('Zehnder Charleston'!$D$2:$D$132=$B7),'Zehnder Charleston'!$A$2:$A$132,"")</f>
        <v>5050</v>
      </c>
      <c r="I79" s="2" cm="1">
        <f t="array" ref="I79">_xlfn.XLOOKUP(1,('Zehnder Charleston'!$B$2:$B$132=I$3)*('Zehnder Charleston'!$D$2:$D$132=$B7),'Zehnder Charleston'!$A$2:$A$132,"")</f>
        <v>5055</v>
      </c>
      <c r="J79" s="2" cm="1">
        <f t="array" ref="J79">_xlfn.XLOOKUP(1,('Zehnder Charleston'!$B$2:$B$132=J$3)*('Zehnder Charleston'!$D$2:$D$132=$B7),'Zehnder Charleston'!$A$2:$A$132,"")</f>
        <v>5060</v>
      </c>
      <c r="K79" s="2" cm="1">
        <f t="array" ref="K79">_xlfn.XLOOKUP(1,('Zehnder Charleston'!$B$2:$B$132=K$3)*('Zehnder Charleston'!$D$2:$D$132=$B7),'Zehnder Charleston'!$A$2:$A$132,"")</f>
        <v>5075</v>
      </c>
      <c r="L79" s="2" cm="1">
        <f t="array" ref="L79">_xlfn.XLOOKUP(1,('Zehnder Charleston'!$B$2:$B$132=L$3)*('Zehnder Charleston'!$D$2:$D$132=$B7),'Zehnder Charleston'!$A$2:$A$132,"")</f>
        <v>5090</v>
      </c>
      <c r="M79" s="2" cm="1">
        <f t="array" ref="M79">_xlfn.XLOOKUP(1,('Zehnder Charleston'!$B$2:$B$132=M$3)*('Zehnder Charleston'!$D$2:$D$132=$B7),'Zehnder Charleston'!$A$2:$A$132,"")</f>
        <v>5100</v>
      </c>
      <c r="N79" s="2" cm="1">
        <f t="array" ref="N79">_xlfn.XLOOKUP(1,('Zehnder Charleston'!$B$2:$B$132=N$3)*('Zehnder Charleston'!$D$2:$D$132=$B7),'Zehnder Charleston'!$A$2:$A$132,"")</f>
        <v>5110</v>
      </c>
      <c r="O79" s="2" cm="1">
        <f t="array" ref="O79">_xlfn.XLOOKUP(1,('Zehnder Charleston'!$B$2:$B$132=O$3)*('Zehnder Charleston'!$D$2:$D$132=$B7),'Zehnder Charleston'!$A$2:$A$132,"")</f>
        <v>5120</v>
      </c>
      <c r="P79" s="2" cm="1">
        <f t="array" ref="P79">_xlfn.XLOOKUP(1,('Zehnder Charleston'!$B$2:$B$132=P$3)*('Zehnder Charleston'!$D$2:$D$132=$B7),'Zehnder Charleston'!$A$2:$A$132,"")</f>
        <v>5150</v>
      </c>
      <c r="Q79" s="2" cm="1">
        <f t="array" ref="Q79">_xlfn.XLOOKUP(1,('Zehnder Charleston'!$B$2:$B$132=Q$3)*('Zehnder Charleston'!$D$2:$D$132=$B7),'Zehnder Charleston'!$A$2:$A$132,"")</f>
        <v>5180</v>
      </c>
      <c r="R79" s="2" cm="1">
        <f t="array" ref="R79">_xlfn.XLOOKUP(1,('Zehnder Charleston'!$B$2:$B$132=R$3)*('Zehnder Charleston'!$D$2:$D$132=$B7),'Zehnder Charleston'!$A$2:$A$132,"")</f>
        <v>5200</v>
      </c>
      <c r="S79" s="2" cm="1">
        <f t="array" ref="S79">_xlfn.XLOOKUP(1,('Zehnder Charleston'!$B$2:$B$132=S$3)*('Zehnder Charleston'!$D$2:$D$132=$B7),'Zehnder Charleston'!$A$2:$A$132,"")</f>
        <v>5220</v>
      </c>
      <c r="T79" s="2" cm="1">
        <f t="array" ref="T79">_xlfn.XLOOKUP(1,('Zehnder Charleston'!$B$2:$B$132=T$3)*('Zehnder Charleston'!$D$2:$D$132=$B7),'Zehnder Charleston'!$A$2:$A$132,"")</f>
        <v>5250</v>
      </c>
      <c r="U79" s="2" cm="1">
        <f t="array" ref="U79">_xlfn.XLOOKUP(1,('Zehnder Charleston'!$B$2:$B$132=U$3)*('Zehnder Charleston'!$D$2:$D$132=$B7),'Zehnder Charleston'!$A$2:$A$132,"")</f>
        <v>5280</v>
      </c>
      <c r="V79" s="2" cm="1">
        <f t="array" ref="V79">_xlfn.XLOOKUP(1,('Zehnder Charleston'!$B$2:$B$132=V$3)*('Zehnder Charleston'!$D$2:$D$132=$B7),'Zehnder Charleston'!$A$2:$A$132,"")</f>
        <v>5300</v>
      </c>
    </row>
    <row r="80" spans="1:28" x14ac:dyDescent="0.2">
      <c r="B80" s="2">
        <f>B8</f>
        <v>210</v>
      </c>
      <c r="C80" s="2" cm="1">
        <f t="array" ref="C80">_xlfn.XLOOKUP(1,('Zehnder Charleston'!$B$2:$B$132=C$3)*('Zehnder Charleston'!$D$2:$D$132=$B8),'Zehnder Charleston'!$A$2:$A$132,"")</f>
        <v>6026</v>
      </c>
      <c r="D80" s="2" cm="1">
        <f t="array" ref="D80">_xlfn.XLOOKUP(1,('Zehnder Charleston'!$B$2:$B$132=D$3)*('Zehnder Charleston'!$D$2:$D$132=$B8),'Zehnder Charleston'!$A$2:$A$132,"")</f>
        <v>6030</v>
      </c>
      <c r="E80" s="2" cm="1">
        <f t="array" ref="E80">_xlfn.XLOOKUP(1,('Zehnder Charleston'!$B$2:$B$132=E$3)*('Zehnder Charleston'!$D$2:$D$132=$B8),'Zehnder Charleston'!$A$2:$A$132,"")</f>
        <v>6035</v>
      </c>
      <c r="F80" s="2" cm="1">
        <f t="array" ref="F80">_xlfn.XLOOKUP(1,('Zehnder Charleston'!$B$2:$B$132=F$3)*('Zehnder Charleston'!$D$2:$D$132=$B8),'Zehnder Charleston'!$A$2:$A$132,"")</f>
        <v>6040</v>
      </c>
      <c r="G80" s="2" cm="1">
        <f t="array" ref="G80">_xlfn.XLOOKUP(1,('Zehnder Charleston'!$B$2:$B$132=G$3)*('Zehnder Charleston'!$D$2:$D$132=$B8),'Zehnder Charleston'!$A$2:$A$132,"")</f>
        <v>6045</v>
      </c>
      <c r="H80" s="2" cm="1">
        <f t="array" ref="H80">_xlfn.XLOOKUP(1,('Zehnder Charleston'!$B$2:$B$132=H$3)*('Zehnder Charleston'!$D$2:$D$132=$B8),'Zehnder Charleston'!$A$2:$A$132,"")</f>
        <v>6050</v>
      </c>
      <c r="I80" s="2" cm="1">
        <f t="array" ref="I80">_xlfn.XLOOKUP(1,('Zehnder Charleston'!$B$2:$B$132=I$3)*('Zehnder Charleston'!$D$2:$D$132=$B8),'Zehnder Charleston'!$A$2:$A$132,"")</f>
        <v>6055</v>
      </c>
      <c r="J80" s="2" cm="1">
        <f t="array" ref="J80">_xlfn.XLOOKUP(1,('Zehnder Charleston'!$B$2:$B$132=J$3)*('Zehnder Charleston'!$D$2:$D$132=$B8),'Zehnder Charleston'!$A$2:$A$132,"")</f>
        <v>6060</v>
      </c>
      <c r="K80" s="2" cm="1">
        <f t="array" ref="K80">_xlfn.XLOOKUP(1,('Zehnder Charleston'!$B$2:$B$132=K$3)*('Zehnder Charleston'!$D$2:$D$132=$B8),'Zehnder Charleston'!$A$2:$A$132,"")</f>
        <v>6075</v>
      </c>
      <c r="L80" s="2" cm="1">
        <f t="array" ref="L80">_xlfn.XLOOKUP(1,('Zehnder Charleston'!$B$2:$B$132=L$3)*('Zehnder Charleston'!$D$2:$D$132=$B8),'Zehnder Charleston'!$A$2:$A$132,"")</f>
        <v>6090</v>
      </c>
      <c r="M80" s="2" cm="1">
        <f t="array" ref="M80">_xlfn.XLOOKUP(1,('Zehnder Charleston'!$B$2:$B$132=M$3)*('Zehnder Charleston'!$D$2:$D$132=$B8),'Zehnder Charleston'!$A$2:$A$132,"")</f>
        <v>6100</v>
      </c>
      <c r="N80" s="2" cm="1">
        <f t="array" ref="N80">_xlfn.XLOOKUP(1,('Zehnder Charleston'!$B$2:$B$132=N$3)*('Zehnder Charleston'!$D$2:$D$132=$B8),'Zehnder Charleston'!$A$2:$A$132,"")</f>
        <v>6110</v>
      </c>
      <c r="O80" s="2" cm="1">
        <f t="array" ref="O80">_xlfn.XLOOKUP(1,('Zehnder Charleston'!$B$2:$B$132=O$3)*('Zehnder Charleston'!$D$2:$D$132=$B8),'Zehnder Charleston'!$A$2:$A$132,"")</f>
        <v>6120</v>
      </c>
      <c r="P80" s="2" cm="1">
        <f t="array" ref="P80">_xlfn.XLOOKUP(1,('Zehnder Charleston'!$B$2:$B$132=P$3)*('Zehnder Charleston'!$D$2:$D$132=$B8),'Zehnder Charleston'!$A$2:$A$132,"")</f>
        <v>6150</v>
      </c>
      <c r="Q80" s="2" cm="1">
        <f t="array" ref="Q80">_xlfn.XLOOKUP(1,('Zehnder Charleston'!$B$2:$B$132=Q$3)*('Zehnder Charleston'!$D$2:$D$132=$B8),'Zehnder Charleston'!$A$2:$A$132,"")</f>
        <v>6180</v>
      </c>
      <c r="R80" s="2" cm="1">
        <f t="array" ref="R80">_xlfn.XLOOKUP(1,('Zehnder Charleston'!$B$2:$B$132=R$3)*('Zehnder Charleston'!$D$2:$D$132=$B8),'Zehnder Charleston'!$A$2:$A$132,"")</f>
        <v>6200</v>
      </c>
      <c r="S80" s="2" cm="1">
        <f t="array" ref="S80">_xlfn.XLOOKUP(1,('Zehnder Charleston'!$B$2:$B$132=S$3)*('Zehnder Charleston'!$D$2:$D$132=$B8),'Zehnder Charleston'!$A$2:$A$132,"")</f>
        <v>6220</v>
      </c>
      <c r="T80" s="2" cm="1">
        <f t="array" ref="T80">_xlfn.XLOOKUP(1,('Zehnder Charleston'!$B$2:$B$132=T$3)*('Zehnder Charleston'!$D$2:$D$132=$B8),'Zehnder Charleston'!$A$2:$A$132,"")</f>
        <v>6250</v>
      </c>
      <c r="U80" s="2" cm="1">
        <f t="array" ref="U80">_xlfn.XLOOKUP(1,('Zehnder Charleston'!$B$2:$B$132=U$3)*('Zehnder Charleston'!$D$2:$D$132=$B8),'Zehnder Charleston'!$A$2:$A$132,"")</f>
        <v>6280</v>
      </c>
      <c r="V80" s="2" cm="1">
        <f t="array" ref="V80">_xlfn.XLOOKUP(1,('Zehnder Charleston'!$B$2:$B$132=V$3)*('Zehnder Charleston'!$D$2:$D$132=$B8),'Zehnder Charleston'!$A$2:$A$132,"")</f>
        <v>6300</v>
      </c>
    </row>
    <row r="81" spans="1:22" x14ac:dyDescent="0.2">
      <c r="C81" s="8"/>
      <c r="D81" s="8"/>
      <c r="E81" s="8"/>
      <c r="F81" s="8"/>
      <c r="G81" s="8"/>
      <c r="H81" s="8"/>
      <c r="I81" s="8"/>
      <c r="J81" s="8"/>
      <c r="K81" s="8"/>
      <c r="L81" s="8"/>
      <c r="M81"/>
      <c r="N81"/>
      <c r="O81"/>
      <c r="P81"/>
      <c r="Q81"/>
    </row>
    <row r="82" spans="1:22" ht="13.5" x14ac:dyDescent="0.25">
      <c r="A82" s="1" t="s">
        <v>190</v>
      </c>
      <c r="C82" s="4" t="s">
        <v>2</v>
      </c>
      <c r="M82"/>
      <c r="N82"/>
      <c r="O82"/>
      <c r="P82"/>
      <c r="Q82"/>
    </row>
    <row r="83" spans="1:22" x14ac:dyDescent="0.2">
      <c r="C83" s="5">
        <f t="shared" ref="C83:V83" si="8">C$3</f>
        <v>260</v>
      </c>
      <c r="D83" s="5">
        <f t="shared" si="8"/>
        <v>300</v>
      </c>
      <c r="E83" s="5">
        <f t="shared" si="8"/>
        <v>350</v>
      </c>
      <c r="F83" s="5">
        <f t="shared" si="8"/>
        <v>400</v>
      </c>
      <c r="G83" s="5">
        <f t="shared" si="8"/>
        <v>450</v>
      </c>
      <c r="H83" s="5">
        <f t="shared" si="8"/>
        <v>500</v>
      </c>
      <c r="I83" s="5">
        <f t="shared" si="8"/>
        <v>550</v>
      </c>
      <c r="J83" s="5">
        <f t="shared" si="8"/>
        <v>600</v>
      </c>
      <c r="K83" s="5">
        <f t="shared" si="8"/>
        <v>750</v>
      </c>
      <c r="L83" s="5">
        <f t="shared" si="8"/>
        <v>900</v>
      </c>
      <c r="M83" s="5">
        <f t="shared" si="8"/>
        <v>1000</v>
      </c>
      <c r="N83" s="5">
        <f t="shared" si="8"/>
        <v>1100</v>
      </c>
      <c r="O83" s="5">
        <f t="shared" si="8"/>
        <v>1200</v>
      </c>
      <c r="P83" s="5">
        <f t="shared" si="8"/>
        <v>1500</v>
      </c>
      <c r="Q83" s="5">
        <f t="shared" si="8"/>
        <v>1800</v>
      </c>
      <c r="R83" s="5">
        <f t="shared" si="8"/>
        <v>2000</v>
      </c>
      <c r="S83" s="5">
        <f t="shared" si="8"/>
        <v>2200</v>
      </c>
      <c r="T83" s="5">
        <f t="shared" si="8"/>
        <v>2500</v>
      </c>
      <c r="U83" s="5">
        <f t="shared" si="8"/>
        <v>2800</v>
      </c>
      <c r="V83" s="5">
        <f t="shared" si="8"/>
        <v>3000</v>
      </c>
    </row>
    <row r="84" spans="1:22" x14ac:dyDescent="0.2">
      <c r="C84" s="5"/>
      <c r="D84" s="5"/>
      <c r="E84" s="5"/>
      <c r="F84" s="5"/>
      <c r="G84" s="5"/>
      <c r="H84" s="5"/>
      <c r="I84" s="5"/>
      <c r="J84" s="5"/>
      <c r="K84" s="5"/>
      <c r="L84" s="5"/>
      <c r="M84" s="5"/>
      <c r="N84" s="5"/>
      <c r="O84" s="5"/>
      <c r="P84" s="5"/>
      <c r="Q84" s="5"/>
      <c r="R84" s="5"/>
      <c r="S84" s="5"/>
      <c r="T84" s="5"/>
      <c r="U84" s="5"/>
      <c r="V84" s="5"/>
    </row>
    <row r="85" spans="1:22" ht="13.5" x14ac:dyDescent="0.25">
      <c r="A85" s="4" t="s">
        <v>3</v>
      </c>
      <c r="B85" s="2">
        <f>B4</f>
        <v>62</v>
      </c>
      <c r="C85" s="9">
        <f t="shared" ref="C85:Q85" si="9">IF(C31="","",(C22-C31*$C$108/1000)*$B$107+C31*$B$108)</f>
        <v>0.463696</v>
      </c>
      <c r="D85" s="9">
        <f t="shared" si="9"/>
        <v>0.492896</v>
      </c>
      <c r="E85" s="9">
        <f t="shared" si="9"/>
        <v>0.58692</v>
      </c>
      <c r="F85" s="9">
        <f t="shared" si="9"/>
        <v>0.65904399999999996</v>
      </c>
      <c r="G85" s="9">
        <f t="shared" si="9"/>
        <v>0.75306800000000007</v>
      </c>
      <c r="H85" s="9">
        <f t="shared" si="9"/>
        <v>0.80416799999999999</v>
      </c>
      <c r="I85" s="9">
        <f t="shared" si="9"/>
        <v>0.89089200000000002</v>
      </c>
      <c r="J85" s="9">
        <f t="shared" si="9"/>
        <v>0.9849159999999999</v>
      </c>
      <c r="K85" s="9">
        <f t="shared" si="9"/>
        <v>1.2094640000000001</v>
      </c>
      <c r="L85" s="9">
        <f t="shared" si="9"/>
        <v>1.4842360000000001</v>
      </c>
      <c r="M85" s="9">
        <f t="shared" si="9"/>
        <v>1.6220599999999998</v>
      </c>
      <c r="N85" s="9">
        <f t="shared" si="9"/>
        <v>1.8028080000000002</v>
      </c>
      <c r="O85" s="9">
        <f t="shared" si="9"/>
        <v>1.9406319999999999</v>
      </c>
      <c r="P85" s="9">
        <f t="shared" si="9"/>
        <v>2.4472519999999998</v>
      </c>
      <c r="Q85" s="9">
        <f t="shared" si="9"/>
        <v>2.9465720000000006</v>
      </c>
      <c r="R85" s="9">
        <f t="shared" ref="R85:V85" si="10">IF(R31="","",(R22-R31*$C$108/1000)*$B$107+R31*$B$108)</f>
        <v>3.2651439999999998</v>
      </c>
      <c r="S85" s="9">
        <f t="shared" si="10"/>
        <v>3.5910159999999998</v>
      </c>
      <c r="T85" s="9">
        <f t="shared" si="10"/>
        <v>4.0903359999999997</v>
      </c>
      <c r="U85" s="9">
        <f t="shared" si="10"/>
        <v>4.5896559999999997</v>
      </c>
      <c r="V85" s="9">
        <f t="shared" si="10"/>
        <v>4.9155280000000001</v>
      </c>
    </row>
    <row r="86" spans="1:22" x14ac:dyDescent="0.2">
      <c r="B86" s="2">
        <f>B5</f>
        <v>100</v>
      </c>
      <c r="C86" s="9">
        <f t="shared" ref="C86:Q86" si="11">IF(C32="","",(C23-C32*$C$108/1000)*$B$107+C32*$B$108)</f>
        <v>0.66634400000000005</v>
      </c>
      <c r="D86" s="9">
        <f t="shared" si="11"/>
        <v>0.76036800000000004</v>
      </c>
      <c r="E86" s="9">
        <f t="shared" si="11"/>
        <v>0.87629199999999985</v>
      </c>
      <c r="F86" s="9">
        <f t="shared" si="11"/>
        <v>0.99221599999999988</v>
      </c>
      <c r="G86" s="9">
        <f t="shared" si="11"/>
        <v>1.1081399999999999</v>
      </c>
      <c r="H86" s="9">
        <f t="shared" si="11"/>
        <v>1.2240639999999998</v>
      </c>
      <c r="I86" s="9">
        <f t="shared" si="11"/>
        <v>1.339988</v>
      </c>
      <c r="J86" s="9">
        <f t="shared" si="11"/>
        <v>1.4988360000000001</v>
      </c>
      <c r="K86" s="9">
        <f t="shared" si="11"/>
        <v>1.8393079999999999</v>
      </c>
      <c r="L86" s="9">
        <f t="shared" si="11"/>
        <v>2.2227040000000002</v>
      </c>
      <c r="M86" s="9">
        <f t="shared" si="11"/>
        <v>2.4545519999999996</v>
      </c>
      <c r="N86" s="9">
        <f t="shared" si="11"/>
        <v>2.6863999999999999</v>
      </c>
      <c r="O86" s="9">
        <f t="shared" si="11"/>
        <v>2.9538720000000001</v>
      </c>
      <c r="P86" s="9">
        <f t="shared" si="11"/>
        <v>3.6850400000000003</v>
      </c>
      <c r="Q86" s="9">
        <f t="shared" si="11"/>
        <v>4.4162080000000001</v>
      </c>
      <c r="R86" s="9">
        <f t="shared" ref="R86:V86" si="12">IF(R32="","",(R23-R32*$C$108/1000)*$B$107+R32*$B$108)</f>
        <v>4.9155280000000001</v>
      </c>
      <c r="S86" s="9">
        <f t="shared" si="12"/>
        <v>5.3719239999999999</v>
      </c>
      <c r="T86" s="9">
        <f t="shared" si="12"/>
        <v>6.1030919999999993</v>
      </c>
      <c r="U86" s="9">
        <f t="shared" si="12"/>
        <v>6.8342599999999996</v>
      </c>
      <c r="V86" s="9">
        <f t="shared" si="12"/>
        <v>7.3335799999999995</v>
      </c>
    </row>
    <row r="87" spans="1:22" x14ac:dyDescent="0.2">
      <c r="B87" s="2">
        <f>B6</f>
        <v>136</v>
      </c>
      <c r="C87" s="9">
        <f t="shared" ref="C87:Q87" si="13">IF(C33="","",(C24-C33*$C$108/1000)*$B$107+C33*$B$108)</f>
        <v>0.90549199999999996</v>
      </c>
      <c r="D87" s="9">
        <f t="shared" si="13"/>
        <v>1.028716</v>
      </c>
      <c r="E87" s="9">
        <f t="shared" si="13"/>
        <v>1.2094640000000001</v>
      </c>
      <c r="F87" s="9">
        <f t="shared" si="13"/>
        <v>1.361888</v>
      </c>
      <c r="G87" s="9">
        <f t="shared" si="13"/>
        <v>1.5426360000000001</v>
      </c>
      <c r="H87" s="9">
        <f t="shared" si="13"/>
        <v>1.6804599999999996</v>
      </c>
      <c r="I87" s="9">
        <f t="shared" si="13"/>
        <v>1.861208</v>
      </c>
      <c r="J87" s="9">
        <f t="shared" si="13"/>
        <v>2.034656</v>
      </c>
      <c r="K87" s="9">
        <f t="shared" si="13"/>
        <v>2.4910519999999998</v>
      </c>
      <c r="L87" s="9">
        <f t="shared" si="13"/>
        <v>2.9903720000000003</v>
      </c>
      <c r="M87" s="9">
        <f t="shared" si="13"/>
        <v>3.301644</v>
      </c>
      <c r="N87" s="9">
        <f t="shared" si="13"/>
        <v>3.6202160000000001</v>
      </c>
      <c r="O87" s="9">
        <f t="shared" si="13"/>
        <v>3.9387880000000002</v>
      </c>
      <c r="P87" s="9">
        <f t="shared" si="13"/>
        <v>4.9301279999999998</v>
      </c>
      <c r="Q87" s="9">
        <f t="shared" si="13"/>
        <v>5.8785439999999998</v>
      </c>
      <c r="R87" s="9">
        <f t="shared" ref="R87:V87" si="14">IF(R33="","",(R24-R33*$C$108/1000)*$B$107+R33*$B$108)</f>
        <v>6.5586120000000001</v>
      </c>
      <c r="S87" s="9">
        <f t="shared" si="14"/>
        <v>7.1884559999999995</v>
      </c>
      <c r="T87" s="9">
        <f t="shared" si="14"/>
        <v>8.1368719999999986</v>
      </c>
      <c r="U87" s="9">
        <f t="shared" si="14"/>
        <v>9.1282120000000013</v>
      </c>
      <c r="V87" s="9">
        <f t="shared" si="14"/>
        <v>9.7653559999999988</v>
      </c>
    </row>
    <row r="88" spans="1:22" x14ac:dyDescent="0.2">
      <c r="B88" s="2">
        <f>B7</f>
        <v>173</v>
      </c>
      <c r="C88" s="9">
        <f t="shared" ref="C88:Q88" si="15">IF(C34="","",(C25-C34*$C$108/1000)*$B$107+C34*$B$108)</f>
        <v>1.0716399999999999</v>
      </c>
      <c r="D88" s="9">
        <f t="shared" si="15"/>
        <v>1.2523879999999998</v>
      </c>
      <c r="E88" s="9">
        <f t="shared" si="15"/>
        <v>1.4194119999999999</v>
      </c>
      <c r="F88" s="9">
        <f t="shared" si="15"/>
        <v>1.7461599999999997</v>
      </c>
      <c r="G88" s="9">
        <f t="shared" si="15"/>
        <v>1.9488080000000001</v>
      </c>
      <c r="H88" s="9">
        <f t="shared" si="15"/>
        <v>2.151456</v>
      </c>
      <c r="I88" s="9">
        <f t="shared" si="15"/>
        <v>2.3184800000000001</v>
      </c>
      <c r="J88" s="9">
        <f t="shared" si="15"/>
        <v>2.5640520000000002</v>
      </c>
      <c r="K88" s="9">
        <f t="shared" si="15"/>
        <v>3.1792959999999995</v>
      </c>
      <c r="L88" s="9">
        <f t="shared" si="15"/>
        <v>3.79454</v>
      </c>
      <c r="M88" s="9">
        <f t="shared" si="15"/>
        <v>4.2071360000000002</v>
      </c>
      <c r="N88" s="9">
        <f t="shared" si="15"/>
        <v>4.6124320000000001</v>
      </c>
      <c r="O88" s="9">
        <f t="shared" si="15"/>
        <v>5.0250279999999998</v>
      </c>
      <c r="P88" s="9">
        <f t="shared" si="15"/>
        <v>6.2555159999999992</v>
      </c>
      <c r="Q88" s="9">
        <f t="shared" si="15"/>
        <v>7.4430800000000001</v>
      </c>
      <c r="R88" s="9">
        <f t="shared" ref="R88:V88" si="16">IF(R34="","",(R25-R34*$C$108/1000)*$B$107+R34*$B$108)</f>
        <v>8.2609720000000006</v>
      </c>
      <c r="S88" s="9">
        <f t="shared" si="16"/>
        <v>9.0861640000000001</v>
      </c>
      <c r="T88" s="9">
        <f t="shared" si="16"/>
        <v>10.316651999999999</v>
      </c>
      <c r="U88" s="9">
        <f t="shared" si="16"/>
        <v>11.547140000000001</v>
      </c>
      <c r="V88" s="9">
        <f t="shared" si="16"/>
        <v>12.365031999999999</v>
      </c>
    </row>
    <row r="89" spans="1:22" x14ac:dyDescent="0.2">
      <c r="B89" s="2">
        <f>B8</f>
        <v>210</v>
      </c>
      <c r="C89" s="9">
        <f t="shared" ref="C89:Q89" si="17">IF(C35="","",(C26-C35*$C$108/1000)*$B$107+C35*$B$108)</f>
        <v>1.4348879999999999</v>
      </c>
      <c r="D89" s="9">
        <f t="shared" si="17"/>
        <v>1.6375359999999999</v>
      </c>
      <c r="E89" s="9">
        <f t="shared" si="17"/>
        <v>1.8693840000000002</v>
      </c>
      <c r="F89" s="9">
        <f t="shared" si="17"/>
        <v>2.1222560000000001</v>
      </c>
      <c r="G89" s="9">
        <f t="shared" si="17"/>
        <v>2.3541039999999995</v>
      </c>
      <c r="H89" s="9">
        <f t="shared" si="17"/>
        <v>2.5859519999999998</v>
      </c>
      <c r="I89" s="9">
        <f t="shared" si="17"/>
        <v>2.8534239999999995</v>
      </c>
      <c r="J89" s="9">
        <f t="shared" si="17"/>
        <v>3.0852720000000002</v>
      </c>
      <c r="K89" s="9">
        <f t="shared" si="17"/>
        <v>3.8164400000000001</v>
      </c>
      <c r="L89" s="9">
        <f t="shared" si="17"/>
        <v>4.5476080000000003</v>
      </c>
      <c r="M89" s="9">
        <f t="shared" si="17"/>
        <v>5.0542280000000002</v>
      </c>
      <c r="N89" s="9">
        <f t="shared" si="17"/>
        <v>5.5535479999999993</v>
      </c>
      <c r="O89" s="9">
        <f t="shared" si="17"/>
        <v>6.0172440000000007</v>
      </c>
      <c r="P89" s="9">
        <f t="shared" si="17"/>
        <v>7.4795800000000003</v>
      </c>
      <c r="Q89" s="9">
        <f t="shared" si="17"/>
        <v>8.9848399999999984</v>
      </c>
      <c r="R89" s="9">
        <f t="shared" ref="R89:V89" si="18">IF(R35="","",(R26-R35*$C$108/1000)*$B$107+R35*$B$108)</f>
        <v>9.947855999999998</v>
      </c>
      <c r="S89" s="9">
        <f t="shared" si="18"/>
        <v>10.910872000000001</v>
      </c>
      <c r="T89" s="9">
        <f t="shared" si="18"/>
        <v>12.416131999999999</v>
      </c>
      <c r="U89" s="9">
        <f t="shared" si="18"/>
        <v>13.921392000000001</v>
      </c>
      <c r="V89" s="9">
        <f t="shared" si="18"/>
        <v>14.841483999999998</v>
      </c>
    </row>
    <row r="90" spans="1:22" x14ac:dyDescent="0.2">
      <c r="C90" s="8"/>
      <c r="D90" s="8"/>
      <c r="E90" s="8"/>
      <c r="F90" s="8"/>
      <c r="G90" s="8"/>
      <c r="H90" s="8"/>
      <c r="I90" s="8"/>
      <c r="J90" s="8"/>
    </row>
    <row r="92" spans="1:22" x14ac:dyDescent="0.2">
      <c r="A92" s="2">
        <f>Gliederradiator!$B$2</f>
        <v>500</v>
      </c>
      <c r="B92" s="2" t="str">
        <f>IFERROR(ADDRESS(ROW(C3), COLUMN(C3)-1 + _xlfn.XMATCH(A92, C3:L3, 1), 4), "Kein grösserer Wert")</f>
        <v>H3</v>
      </c>
      <c r="C92" s="2" cm="1">
        <f t="array" aca="1" ref="C92" ca="1">INDEX(A:Q, ROW(INDIRECT(B92)), COLUMN(INDIRECT(B92))-1)</f>
        <v>450</v>
      </c>
      <c r="D92" s="2" cm="1">
        <f t="array" aca="1" ref="D92" ca="1">INDIRECT(B92)</f>
        <v>500</v>
      </c>
      <c r="F92" s="2" t="str">
        <f>IFERROR(ADDRESS(ROW(C12), COLUMN(C12)-1 + _xlfn.XMATCH(A92, C12:L12, 1), 4), "Kein grösserer Wert")</f>
        <v>H12</v>
      </c>
      <c r="G92" s="2" cm="1">
        <f t="array" aca="1" ref="G92" ca="1">INDEX(A:Q, ROW(INDIRECT(F92)), COLUMN(INDIRECT(F92))-1)</f>
        <v>450</v>
      </c>
      <c r="H92" s="2" cm="1">
        <f t="array" aca="1" ref="H92" ca="1">INDIRECT(F92)</f>
        <v>500</v>
      </c>
      <c r="I92" s="2" t="str">
        <f>IFERROR(ADDRESS(ROW(C83), COLUMN(C83)-1 + _xlfn.XMATCH(A92, C83:L83, 1), 4), "Kein grösserer Wert")</f>
        <v>H83</v>
      </c>
      <c r="J92" s="2" cm="1">
        <f t="array" aca="1" ref="J92" ca="1">INDEX(A:Q, ROW(INDIRECT(I92)), COLUMN(INDIRECT(I92))-1)</f>
        <v>450</v>
      </c>
      <c r="K92" s="2" cm="1">
        <f t="array" aca="1" ref="K92" ca="1">INDIRECT(I92)</f>
        <v>500</v>
      </c>
    </row>
    <row r="93" spans="1:22" x14ac:dyDescent="0.2">
      <c r="A93" s="2">
        <f>Gliederradiator!$B$3</f>
        <v>136</v>
      </c>
      <c r="B93" s="2" t="str">
        <f>IFERROR(ADDRESS(ROW(B4)-1 + _xlfn.XMATCH(A93,B4:B8,1),COLUMN(B4),4),"Kein grösserer Wert")</f>
        <v>B6</v>
      </c>
      <c r="C93" s="2" cm="1">
        <f t="array" aca="1" ref="C93" ca="1">INDEX(A:Q, ROW(INDIRECT(B93)), COLUMN(INDIRECT(B92)))</f>
        <v>67.599999999999994</v>
      </c>
      <c r="D93" s="2" cm="1">
        <f t="array" aca="1" ref="D93" ca="1">INDIRECT(B93)</f>
        <v>136</v>
      </c>
      <c r="F93" s="2" t="str">
        <f>IFERROR(ADDRESS(ROW(B13)-1 + _xlfn.XMATCH(A93,B13:B17,1),COLUMN(B13),4),"Kein grösserer Wert")</f>
        <v>B15</v>
      </c>
      <c r="G93" s="2" cm="1">
        <f t="array" aca="1" ref="G93" ca="1">INDEX(A:Q, ROW(INDIRECT(F93))-1, COLUMN(INDIRECT(F93)))</f>
        <v>100</v>
      </c>
      <c r="H93" s="2" cm="1">
        <f t="array" aca="1" ref="H93" ca="1">INDIRECT(F93)</f>
        <v>136</v>
      </c>
      <c r="I93" s="2" t="str">
        <f>IFERROR(ADDRESS(ROW(B85)-1 + _xlfn.XMATCH(A93,B85:B89,1),COLUMN(B85),4),"Kein grösserer Wert")</f>
        <v>B87</v>
      </c>
      <c r="J93" s="2" cm="1">
        <f t="array" aca="1" ref="J93" ca="1">INDEX(A:Q, ROW(INDIRECT(I93))-1, COLUMN(INDIRECT(I93)))</f>
        <v>100</v>
      </c>
      <c r="K93" s="2" cm="1">
        <f t="array" aca="1" ref="K93" ca="1">INDIRECT(I93)</f>
        <v>136</v>
      </c>
    </row>
    <row r="94" spans="1:22" x14ac:dyDescent="0.2">
      <c r="A94" s="3">
        <f ca="1">C94 + (A92-C92)/(D92-C92)*(D94-C94)*0.5 + (A93-C93)/(D93-C93)*(D94-C94)*0.5</f>
        <v>67.599999999999994</v>
      </c>
      <c r="C94" s="2" cm="1">
        <f t="array" aca="1" ref="C94" ca="1">INDEX(A:Q, ROW(INDIRECT(B93))-1, COLUMN(INDIRECT(B92))-1)</f>
        <v>46.8</v>
      </c>
      <c r="D94" s="2" cm="1">
        <f t="array" aca="1" ref="D94" ca="1">INDEX(A:Q, ROW(INDIRECT(B93)), COLUMN(INDIRECT(B92)))</f>
        <v>67.599999999999994</v>
      </c>
      <c r="G94" s="2" cm="1">
        <f t="array" aca="1" ref="G94" ca="1">INDEX(A:Q, ROW(INDIRECT(F93))-1, COLUMN(INDIRECT(F92))-1)</f>
        <v>1.27</v>
      </c>
      <c r="H94" s="2" cm="1">
        <f t="array" aca="1" ref="H94" ca="1">INDEX(A:Q, ROW(INDIRECT(F93)), COLUMN(INDIRECT(F92)))</f>
        <v>1.27</v>
      </c>
      <c r="J94" s="2" cm="1">
        <f t="array" aca="1" ref="J94" ca="1">INDEX(A:Q, ROW(INDIRECT(I93))-1, COLUMN(INDIRECT(I92))-1)</f>
        <v>1.1081399999999999</v>
      </c>
      <c r="K94" s="2" cm="1">
        <f t="array" aca="1" ref="K94" ca="1">INDEX(A:Q, ROW(INDIRECT(I93)), COLUMN(INDIRECT(I92)))</f>
        <v>1.6804599999999996</v>
      </c>
    </row>
    <row r="95" spans="1:22" x14ac:dyDescent="0.2">
      <c r="A95" s="3">
        <f ca="1">C95 + (A92-C92)/(D92-C92)*(D95-C95)*0.5 + (A93-C93)/(D93-C93)*(D95-C95)*0.5</f>
        <v>1.27</v>
      </c>
      <c r="C95" s="2" cm="1">
        <f t="array" aca="1" ref="C95" ca="1">INDEX(A:Q, ROW(INDIRECT(F93))-1, COLUMN(INDIRECT(F92))-1)</f>
        <v>1.27</v>
      </c>
      <c r="D95" s="2" cm="1">
        <f t="array" aca="1" ref="D95" ca="1">INDEX(A:S, ROW(INDIRECT(F93)), COLUMN(INDIRECT(F92)))</f>
        <v>1.27</v>
      </c>
    </row>
    <row r="96" spans="1:22" x14ac:dyDescent="0.2">
      <c r="A96" s="10">
        <f ca="1">C96 + (A92-C92)/(D92-C92)*(D96-C96)*0.5 + (A93-C93)/(D93-C93)*(D96-C96)*0.5</f>
        <v>1.6804599999999996</v>
      </c>
      <c r="C96" s="9">
        <f ca="1">J94</f>
        <v>1.1081399999999999</v>
      </c>
      <c r="D96" s="9">
        <f ca="1">K94</f>
        <v>1.6804599999999996</v>
      </c>
    </row>
    <row r="97" spans="1:7" x14ac:dyDescent="0.2">
      <c r="A97" s="3"/>
    </row>
    <row r="99" spans="1:7" ht="12.75" customHeight="1" x14ac:dyDescent="0.2">
      <c r="A99" s="1" t="s">
        <v>1</v>
      </c>
    </row>
    <row r="100" spans="1:7" ht="15.75" customHeight="1" x14ac:dyDescent="0.3">
      <c r="A100" s="1" t="s">
        <v>8</v>
      </c>
      <c r="G100" s="2">
        <f>'Basis Radiator'!F10*((Gliederradiator!B8-Gliederradiator!B9)/'Basis Radiator'!B62)^Gliederradiator!B15</f>
        <v>24.135841372146224</v>
      </c>
    </row>
    <row r="101" spans="1:7" x14ac:dyDescent="0.2">
      <c r="E101" s="2">
        <v>75</v>
      </c>
      <c r="F101" s="2">
        <v>90</v>
      </c>
    </row>
    <row r="102" spans="1:7" ht="15.75" x14ac:dyDescent="0.3">
      <c r="A102" s="1" t="s">
        <v>9</v>
      </c>
      <c r="E102" s="2">
        <v>65</v>
      </c>
      <c r="F102" s="2">
        <v>70</v>
      </c>
    </row>
    <row r="103" spans="1:7" x14ac:dyDescent="0.2">
      <c r="E103" s="2">
        <v>20</v>
      </c>
      <c r="F103" s="2">
        <v>20</v>
      </c>
    </row>
    <row r="104" spans="1:7" ht="15.75" x14ac:dyDescent="0.3">
      <c r="A104" s="1" t="s">
        <v>10</v>
      </c>
      <c r="B104" s="2">
        <f>(E101-E102)/(LN((E101-E103)/(E102-E103)))</f>
        <v>49.83288654563971</v>
      </c>
      <c r="E104" s="11">
        <f>(E101-E102)/(LN((E101-E103)/(E102-E103)))</f>
        <v>49.83288654563971</v>
      </c>
      <c r="F104" s="11">
        <f>(F101-F102)/(LN((F101-F103)/(F102-F103)))</f>
        <v>59.440268239769239</v>
      </c>
    </row>
    <row r="106" spans="1:7" x14ac:dyDescent="0.2">
      <c r="A106" s="2" t="s">
        <v>5</v>
      </c>
    </row>
    <row r="107" spans="1:7" x14ac:dyDescent="0.2">
      <c r="A107" s="2" t="s">
        <v>7</v>
      </c>
      <c r="B107" s="2">
        <v>0.73</v>
      </c>
    </row>
    <row r="108" spans="1:7" x14ac:dyDescent="0.2">
      <c r="A108" s="2" t="s">
        <v>6</v>
      </c>
      <c r="B108" s="2">
        <v>4.38</v>
      </c>
      <c r="C108" s="2">
        <v>120</v>
      </c>
      <c r="D108" s="2" t="s">
        <v>12</v>
      </c>
    </row>
    <row r="129" spans="13:13" x14ac:dyDescent="0.2">
      <c r="M129" s="2">
        <v>0.56000000000000005</v>
      </c>
    </row>
    <row r="130" spans="13:13" x14ac:dyDescent="0.2">
      <c r="M130" s="2">
        <v>0.63</v>
      </c>
    </row>
    <row r="131" spans="13:13" x14ac:dyDescent="0.2">
      <c r="M131" s="2">
        <v>0.73</v>
      </c>
    </row>
    <row r="132" spans="13:13" x14ac:dyDescent="0.2">
      <c r="M132" s="2">
        <v>0.83</v>
      </c>
    </row>
    <row r="133" spans="13:13" x14ac:dyDescent="0.2">
      <c r="M133" s="2">
        <v>0.93</v>
      </c>
    </row>
    <row r="134" spans="13:13" x14ac:dyDescent="0.2">
      <c r="M134" s="2">
        <v>1.03</v>
      </c>
    </row>
    <row r="135" spans="13:13" x14ac:dyDescent="0.2">
      <c r="M135" s="2">
        <v>1.1299999999999999</v>
      </c>
    </row>
    <row r="136" spans="13:13" x14ac:dyDescent="0.2">
      <c r="M136" s="2">
        <v>1.23</v>
      </c>
    </row>
    <row r="137" spans="13:13" x14ac:dyDescent="0.2">
      <c r="M137" s="2">
        <v>1.52</v>
      </c>
    </row>
    <row r="138" spans="13:13" x14ac:dyDescent="0.2">
      <c r="M138" s="2">
        <v>1.81</v>
      </c>
    </row>
    <row r="139" spans="13:13" x14ac:dyDescent="0.2">
      <c r="M139" s="2">
        <v>2.0099999999999998</v>
      </c>
    </row>
    <row r="140" spans="13:13" x14ac:dyDescent="0.2">
      <c r="M140" s="2">
        <v>2.21</v>
      </c>
    </row>
    <row r="141" spans="13:13" x14ac:dyDescent="0.2">
      <c r="M141" s="2">
        <v>2.4</v>
      </c>
    </row>
    <row r="142" spans="13:13" x14ac:dyDescent="0.2">
      <c r="M142" s="2">
        <v>2.99</v>
      </c>
    </row>
    <row r="143" spans="13:13" x14ac:dyDescent="0.2">
      <c r="M143" s="2">
        <v>3.58</v>
      </c>
    </row>
    <row r="144" spans="13:13" x14ac:dyDescent="0.2">
      <c r="M144" s="2">
        <v>3.97</v>
      </c>
    </row>
    <row r="145" spans="13:13" x14ac:dyDescent="0.2">
      <c r="M145" s="2">
        <v>4.3600000000000003</v>
      </c>
    </row>
    <row r="146" spans="13:13" x14ac:dyDescent="0.2">
      <c r="M146" s="2">
        <v>4.95</v>
      </c>
    </row>
    <row r="147" spans="13:13" x14ac:dyDescent="0.2">
      <c r="M147" s="2">
        <v>5.54</v>
      </c>
    </row>
    <row r="148" spans="13:13" x14ac:dyDescent="0.2">
      <c r="M148" s="2">
        <v>5.93</v>
      </c>
    </row>
    <row r="149" spans="13:13" x14ac:dyDescent="0.2">
      <c r="M149" s="2">
        <v>0.77</v>
      </c>
    </row>
    <row r="150" spans="13:13" x14ac:dyDescent="0.2">
      <c r="M150" s="2">
        <v>0.88</v>
      </c>
    </row>
    <row r="151" spans="13:13" x14ac:dyDescent="0.2">
      <c r="M151" s="2">
        <v>1.01</v>
      </c>
    </row>
    <row r="152" spans="13:13" x14ac:dyDescent="0.2">
      <c r="M152" s="2">
        <v>1.1599999999999999</v>
      </c>
    </row>
    <row r="153" spans="13:13" x14ac:dyDescent="0.2">
      <c r="M153" s="2">
        <v>1.29</v>
      </c>
    </row>
    <row r="154" spans="13:13" x14ac:dyDescent="0.2">
      <c r="M154" s="2">
        <v>1.42</v>
      </c>
    </row>
    <row r="155" spans="13:13" x14ac:dyDescent="0.2">
      <c r="M155" s="2">
        <v>1.55</v>
      </c>
    </row>
    <row r="156" spans="13:13" x14ac:dyDescent="0.2">
      <c r="M156" s="2">
        <v>1.67</v>
      </c>
    </row>
    <row r="157" spans="13:13" x14ac:dyDescent="0.2">
      <c r="M157" s="2">
        <v>2.06</v>
      </c>
    </row>
    <row r="158" spans="13:13" x14ac:dyDescent="0.2">
      <c r="M158" s="2">
        <v>2.4500000000000002</v>
      </c>
    </row>
    <row r="159" spans="13:13" x14ac:dyDescent="0.2">
      <c r="M159" s="2">
        <v>2.7</v>
      </c>
    </row>
    <row r="160" spans="13:13" x14ac:dyDescent="0.2">
      <c r="M160" s="2">
        <v>2.96</v>
      </c>
    </row>
    <row r="161" spans="13:13" x14ac:dyDescent="0.2">
      <c r="M161" s="2">
        <v>3.22</v>
      </c>
    </row>
    <row r="162" spans="13:13" x14ac:dyDescent="0.2">
      <c r="M162" s="2">
        <v>3.99</v>
      </c>
    </row>
    <row r="163" spans="13:13" x14ac:dyDescent="0.2">
      <c r="M163" s="2">
        <v>4.76</v>
      </c>
    </row>
    <row r="164" spans="13:13" x14ac:dyDescent="0.2">
      <c r="M164" s="2">
        <v>5.28</v>
      </c>
    </row>
    <row r="165" spans="13:13" x14ac:dyDescent="0.2">
      <c r="M165" s="2">
        <v>5.79</v>
      </c>
    </row>
    <row r="166" spans="13:13" x14ac:dyDescent="0.2">
      <c r="M166" s="2">
        <v>5.56</v>
      </c>
    </row>
    <row r="167" spans="13:13" x14ac:dyDescent="0.2">
      <c r="M167" s="2">
        <v>7.33</v>
      </c>
    </row>
    <row r="168" spans="13:13" x14ac:dyDescent="0.2">
      <c r="M168" s="2">
        <v>7.85</v>
      </c>
    </row>
    <row r="169" spans="13:13" x14ac:dyDescent="0.2">
      <c r="M169" s="2">
        <v>0.88</v>
      </c>
    </row>
    <row r="170" spans="13:13" x14ac:dyDescent="0.2">
      <c r="M170" s="2">
        <v>1.01</v>
      </c>
    </row>
    <row r="171" spans="13:13" x14ac:dyDescent="0.2">
      <c r="M171" s="2">
        <v>1.18</v>
      </c>
    </row>
    <row r="172" spans="13:13" x14ac:dyDescent="0.2">
      <c r="M172" s="2">
        <v>1.51</v>
      </c>
    </row>
    <row r="173" spans="13:13" x14ac:dyDescent="0.2">
      <c r="M173" s="2">
        <v>1.67</v>
      </c>
    </row>
    <row r="174" spans="13:13" x14ac:dyDescent="0.2">
      <c r="M174" s="2">
        <v>1.83</v>
      </c>
    </row>
    <row r="175" spans="13:13" x14ac:dyDescent="0.2">
      <c r="M175" s="2">
        <v>2</v>
      </c>
    </row>
    <row r="176" spans="13:13" x14ac:dyDescent="0.2">
      <c r="M176" s="2">
        <v>2.16</v>
      </c>
    </row>
    <row r="177" spans="13:13" x14ac:dyDescent="0.2">
      <c r="M177" s="2">
        <v>2.65</v>
      </c>
    </row>
    <row r="178" spans="13:13" x14ac:dyDescent="0.2">
      <c r="M178" s="2">
        <v>3.14</v>
      </c>
    </row>
    <row r="179" spans="13:13" x14ac:dyDescent="0.2">
      <c r="M179" s="2">
        <v>3.47</v>
      </c>
    </row>
    <row r="180" spans="13:13" x14ac:dyDescent="0.2">
      <c r="M180" s="2">
        <v>3.79</v>
      </c>
    </row>
    <row r="181" spans="13:13" x14ac:dyDescent="0.2">
      <c r="M181" s="2">
        <v>4.12</v>
      </c>
    </row>
    <row r="182" spans="13:13" x14ac:dyDescent="0.2">
      <c r="M182" s="2">
        <v>5.0999999999999996</v>
      </c>
    </row>
    <row r="183" spans="13:13" x14ac:dyDescent="0.2">
      <c r="M183" s="2">
        <v>6.08</v>
      </c>
    </row>
    <row r="184" spans="13:13" x14ac:dyDescent="0.2">
      <c r="M184" s="2">
        <v>6.73</v>
      </c>
    </row>
    <row r="185" spans="13:13" x14ac:dyDescent="0.2">
      <c r="M185" s="2">
        <v>7.39</v>
      </c>
    </row>
    <row r="186" spans="13:13" x14ac:dyDescent="0.2">
      <c r="M186" s="2">
        <v>8.3699999999999992</v>
      </c>
    </row>
    <row r="187" spans="13:13" x14ac:dyDescent="0.2">
      <c r="M187" s="2">
        <v>9.35</v>
      </c>
    </row>
    <row r="188" spans="13:13" x14ac:dyDescent="0.2">
      <c r="M188" s="2">
        <v>10</v>
      </c>
    </row>
    <row r="189" spans="13:13" x14ac:dyDescent="0.2">
      <c r="M189" s="2">
        <v>1.26</v>
      </c>
    </row>
    <row r="190" spans="13:13" x14ac:dyDescent="0.2">
      <c r="M190" s="2">
        <v>1.42</v>
      </c>
    </row>
    <row r="191" spans="13:13" x14ac:dyDescent="0.2">
      <c r="M191" s="2">
        <v>1.62</v>
      </c>
    </row>
    <row r="192" spans="13:13" x14ac:dyDescent="0.2">
      <c r="M192" s="2">
        <v>1.79</v>
      </c>
    </row>
    <row r="193" spans="13:13" x14ac:dyDescent="0.2">
      <c r="M193" s="2">
        <v>1.99</v>
      </c>
    </row>
    <row r="194" spans="13:13" x14ac:dyDescent="0.2">
      <c r="M194" s="2">
        <v>2.19</v>
      </c>
    </row>
    <row r="195" spans="13:13" x14ac:dyDescent="0.2">
      <c r="M195" s="2">
        <v>2.38</v>
      </c>
    </row>
    <row r="196" spans="13:13" x14ac:dyDescent="0.2">
      <c r="M196" s="2">
        <v>2.58</v>
      </c>
    </row>
    <row r="197" spans="13:13" x14ac:dyDescent="0.2">
      <c r="M197" s="2">
        <v>3.17</v>
      </c>
    </row>
    <row r="198" spans="13:13" x14ac:dyDescent="0.2">
      <c r="M198" s="2">
        <v>3.76</v>
      </c>
    </row>
    <row r="199" spans="13:13" x14ac:dyDescent="0.2">
      <c r="M199" s="2">
        <v>4.16</v>
      </c>
    </row>
    <row r="200" spans="13:13" x14ac:dyDescent="0.2">
      <c r="M200" s="2">
        <v>4.55</v>
      </c>
    </row>
    <row r="201" spans="13:13" x14ac:dyDescent="0.2">
      <c r="M201" s="2">
        <v>4.95</v>
      </c>
    </row>
    <row r="202" spans="13:13" x14ac:dyDescent="0.2">
      <c r="M202" s="2">
        <v>6.13</v>
      </c>
    </row>
    <row r="203" spans="13:13" x14ac:dyDescent="0.2">
      <c r="M203" s="2">
        <v>7.31</v>
      </c>
    </row>
    <row r="204" spans="13:13" x14ac:dyDescent="0.2">
      <c r="M204" s="2">
        <v>8.1</v>
      </c>
    </row>
    <row r="205" spans="13:13" x14ac:dyDescent="0.2">
      <c r="M205" s="2">
        <v>8.89</v>
      </c>
    </row>
    <row r="206" spans="13:13" x14ac:dyDescent="0.2">
      <c r="M206" s="2">
        <v>10.07</v>
      </c>
    </row>
    <row r="207" spans="13:13" x14ac:dyDescent="0.2">
      <c r="M207" s="2">
        <v>11.25</v>
      </c>
    </row>
    <row r="208" spans="13:13" x14ac:dyDescent="0.2">
      <c r="M208" s="2">
        <v>12.04</v>
      </c>
    </row>
  </sheetData>
  <pageMargins left="0.7" right="0.7" top="0.78740157499999996" bottom="0.78740157499999996"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24FA3-1D42-47D2-ADBF-786C86A71F98}">
  <dimension ref="A1:AI207"/>
  <sheetViews>
    <sheetView topLeftCell="A59" zoomScaleNormal="100" workbookViewId="0">
      <selection activeCell="B84" sqref="B84"/>
    </sheetView>
  </sheetViews>
  <sheetFormatPr baseColWidth="10" defaultRowHeight="12.75" x14ac:dyDescent="0.2"/>
  <cols>
    <col min="1" max="1" width="13.85546875" style="2" customWidth="1"/>
    <col min="2" max="17" width="11.42578125" style="2"/>
  </cols>
  <sheetData>
    <row r="1" spans="1:28" ht="13.5" x14ac:dyDescent="0.25">
      <c r="A1" s="1" t="s">
        <v>4</v>
      </c>
      <c r="B1" s="1"/>
      <c r="C1" s="4" t="s">
        <v>2</v>
      </c>
    </row>
    <row r="2" spans="1:28" ht="13.5" x14ac:dyDescent="0.25">
      <c r="A2" s="1"/>
      <c r="B2" s="1"/>
      <c r="C2" s="166"/>
      <c r="D2" s="164">
        <v>292</v>
      </c>
      <c r="E2" s="164">
        <v>342</v>
      </c>
      <c r="F2" s="164">
        <v>392</v>
      </c>
      <c r="G2" s="164">
        <v>442</v>
      </c>
      <c r="H2" s="164">
        <v>492</v>
      </c>
      <c r="I2" s="164">
        <v>542</v>
      </c>
      <c r="J2" s="164">
        <v>592</v>
      </c>
      <c r="K2" s="164">
        <v>742</v>
      </c>
      <c r="L2" s="164">
        <v>892</v>
      </c>
      <c r="M2" s="164">
        <v>992</v>
      </c>
      <c r="N2" s="164">
        <v>1092</v>
      </c>
      <c r="O2" s="164">
        <v>1192</v>
      </c>
      <c r="P2" s="164">
        <v>1492</v>
      </c>
      <c r="Q2" s="164">
        <v>1792</v>
      </c>
      <c r="R2" s="165">
        <v>1992</v>
      </c>
      <c r="S2" s="165">
        <v>2192</v>
      </c>
      <c r="T2" s="165">
        <v>2492</v>
      </c>
      <c r="U2" s="165">
        <v>2792</v>
      </c>
      <c r="V2" s="165">
        <v>2992</v>
      </c>
    </row>
    <row r="3" spans="1:28" x14ac:dyDescent="0.2">
      <c r="A3" s="1" t="s">
        <v>149</v>
      </c>
      <c r="C3" s="5">
        <v>260</v>
      </c>
      <c r="D3" s="5">
        <v>300</v>
      </c>
      <c r="E3" s="5">
        <v>350</v>
      </c>
      <c r="F3" s="5">
        <v>400</v>
      </c>
      <c r="G3" s="5">
        <v>450</v>
      </c>
      <c r="H3" s="5">
        <v>500</v>
      </c>
      <c r="I3" s="5">
        <v>550</v>
      </c>
      <c r="J3" s="5">
        <v>600</v>
      </c>
      <c r="K3" s="5">
        <v>750</v>
      </c>
      <c r="L3" s="5">
        <v>900</v>
      </c>
      <c r="M3" s="5">
        <v>1000</v>
      </c>
      <c r="N3" s="5">
        <v>1100</v>
      </c>
      <c r="O3" s="5">
        <v>1200</v>
      </c>
      <c r="P3" s="5">
        <v>1500</v>
      </c>
      <c r="Q3" s="5">
        <v>1800</v>
      </c>
      <c r="R3">
        <v>2000</v>
      </c>
      <c r="S3">
        <v>2200</v>
      </c>
      <c r="T3">
        <v>2500</v>
      </c>
      <c r="U3">
        <v>2800</v>
      </c>
      <c r="V3">
        <v>3000</v>
      </c>
    </row>
    <row r="4" spans="1:28" ht="13.5" x14ac:dyDescent="0.25">
      <c r="A4" s="4" t="s">
        <v>3</v>
      </c>
      <c r="B4" s="2">
        <v>62</v>
      </c>
      <c r="C4" s="2" cm="1">
        <f t="array" ref="C4">_xlfn.XLOOKUP(1,('Zehnder Charleston'!$B$145:$B$264=C$3)*('Zehnder Charleston'!$D$145:$D$264=$B4),'Zehnder Charleston'!$K$145:$K$264,"")</f>
        <v>23.9</v>
      </c>
      <c r="D4" s="2" cm="1">
        <f t="array" ref="D4">_xlfn.XLOOKUP(1,('Zehnder Charleston'!$B$145:$B$264=D$2)*('Zehnder Charleston'!$D$145:$D$264=$B4),'Zehnder Charleston'!$K$145:$K$264,"")</f>
        <v>26.5</v>
      </c>
      <c r="E4" s="2" cm="1">
        <f t="array" ref="E4">_xlfn.XLOOKUP(1,('Zehnder Charleston'!$B$145:$B$264=E$2)*('Zehnder Charleston'!$D$145:$D$264=$B4),'Zehnder Charleston'!$K$145:$K$264,"")</f>
        <v>30.4</v>
      </c>
      <c r="F4" s="2" cm="1">
        <f t="array" ref="F4">_xlfn.XLOOKUP(1,('Zehnder Charleston'!$B$145:$B$264=F$2)*('Zehnder Charleston'!$D$145:$D$264=$B4),'Zehnder Charleston'!$K$145:$K$264,"")</f>
        <v>34.200000000000003</v>
      </c>
      <c r="G4" s="2" cm="1">
        <f t="array" ref="G4">_xlfn.XLOOKUP(1,('Zehnder Charleston'!$B$145:$B$264=G$2)*('Zehnder Charleston'!$D$145:$D$264=$B4),'Zehnder Charleston'!$K$145:$K$264,"")</f>
        <v>37.9</v>
      </c>
      <c r="H4" s="2" cm="1">
        <f t="array" ref="H4">_xlfn.XLOOKUP(1,('Zehnder Charleston'!$B$145:$B$264=H$2)*('Zehnder Charleston'!$D$145:$D$264=$B4),'Zehnder Charleston'!$K$145:$K$264,"")</f>
        <v>41.6</v>
      </c>
      <c r="I4" s="2" cm="1">
        <f t="array" ref="I4">_xlfn.XLOOKUP(1,('Zehnder Charleston'!$B$145:$B$264=I$2)*('Zehnder Charleston'!$D$145:$D$264=$B4),'Zehnder Charleston'!$K$145:$K$264,"")</f>
        <v>45.2</v>
      </c>
      <c r="J4" s="2" cm="1">
        <f t="array" ref="J4">_xlfn.XLOOKUP(1,('Zehnder Charleston'!$B$145:$B$264=J$2)*('Zehnder Charleston'!$D$145:$D$264=$B4),'Zehnder Charleston'!$K$145:$K$264,"")</f>
        <v>48.8</v>
      </c>
      <c r="K4" s="2" cm="1">
        <f t="array" ref="K4">_xlfn.XLOOKUP(1,('Zehnder Charleston'!$B$145:$B$264=K$2)*('Zehnder Charleston'!$D$145:$D$264=$B4),'Zehnder Charleston'!$K$145:$K$264,"")</f>
        <v>59.2</v>
      </c>
      <c r="L4" s="2" cm="1">
        <f t="array" ref="L4">_xlfn.XLOOKUP(1,('Zehnder Charleston'!$B$145:$B$264=L$2)*('Zehnder Charleston'!$D$145:$D$264=$B4),'Zehnder Charleston'!$K$145:$K$264,"")</f>
        <v>69.400000000000006</v>
      </c>
      <c r="M4" s="2" cm="1">
        <f t="array" ref="M4">_xlfn.XLOOKUP(1,('Zehnder Charleston'!$B$145:$B$264=M$2)*('Zehnder Charleston'!$D$145:$D$264=$B4),'Zehnder Charleston'!$K$145:$K$264,"")</f>
        <v>76</v>
      </c>
      <c r="N4" s="2" cm="1">
        <f t="array" ref="N4">_xlfn.XLOOKUP(1,('Zehnder Charleston'!$B$145:$B$264=N$2)*('Zehnder Charleston'!$D$145:$D$264=$B4),'Zehnder Charleston'!$K$145:$K$264,"")</f>
        <v>82.6</v>
      </c>
      <c r="O4" s="2" cm="1">
        <f t="array" ref="O4">_xlfn.XLOOKUP(1,('Zehnder Charleston'!$B$145:$B$264=O$2)*('Zehnder Charleston'!$D$145:$D$264=$B4),'Zehnder Charleston'!$K$145:$K$264,"")</f>
        <v>91.1</v>
      </c>
      <c r="P4" s="2" cm="1">
        <f t="array" ref="P4">_xlfn.XLOOKUP(1,('Zehnder Charleston'!$B$145:$B$264=P$2)*('Zehnder Charleston'!$D$145:$D$264=$B4),'Zehnder Charleston'!$K$145:$K$264,"")</f>
        <v>115</v>
      </c>
      <c r="Q4" s="2" cm="1">
        <f t="array" ref="Q4">_xlfn.XLOOKUP(1,('Zehnder Charleston'!$B$145:$B$264=Q$2)*('Zehnder Charleston'!$D$145:$D$264=$B4),'Zehnder Charleston'!$K$145:$K$264,"")</f>
        <v>139</v>
      </c>
      <c r="R4" s="2" cm="1">
        <f t="array" ref="R4">_xlfn.XLOOKUP(1,('Zehnder Charleston'!$B$145:$B$264=R$2)*('Zehnder Charleston'!$D$145:$D$264=$B4),'Zehnder Charleston'!$K$145:$K$264,"")</f>
        <v>156</v>
      </c>
      <c r="S4" s="2" cm="1">
        <f t="array" ref="S4">_xlfn.XLOOKUP(1,('Zehnder Charleston'!$B$145:$B$264=S$2)*('Zehnder Charleston'!$D$145:$D$264=$B4),'Zehnder Charleston'!$K$145:$K$264,"")</f>
        <v>172</v>
      </c>
      <c r="T4" s="2" cm="1">
        <f t="array" ref="T4">_xlfn.XLOOKUP(1,('Zehnder Charleston'!$B$145:$B$264=T$2)*('Zehnder Charleston'!$D$145:$D$264=$B4),'Zehnder Charleston'!$K$145:$K$264,"")</f>
        <v>195</v>
      </c>
      <c r="U4" s="2" cm="1">
        <f t="array" ref="U4">_xlfn.XLOOKUP(1,('Zehnder Charleston'!$B$145:$B$264=U$2)*('Zehnder Charleston'!$D$145:$D$264=$B4),'Zehnder Charleston'!$K$145:$K$264,"")</f>
        <v>219</v>
      </c>
      <c r="V4" s="2" cm="1">
        <f t="array" ref="V4">_xlfn.XLOOKUP(1,('Zehnder Charleston'!$B$145:$B$264=V$2)*('Zehnder Charleston'!$D$145:$D$264=$B4),'Zehnder Charleston'!$K$145:$K$264,"")</f>
        <v>235</v>
      </c>
      <c r="AB4" s="2" t="str" cm="1">
        <f t="array" ref="AB4">_xlfn.XLOOKUP(1,('Zehnder Charleston'!$B$2:$B$138=V$3)*('Zehnder Charleston'!$D$2:$D$138=$B4),'Zehnder Charleston'!$K$2:$K$138,"")</f>
        <v/>
      </c>
    </row>
    <row r="5" spans="1:28" x14ac:dyDescent="0.2">
      <c r="B5" s="2">
        <v>100</v>
      </c>
      <c r="C5" s="2" cm="1">
        <f t="array" ref="C5">_xlfn.XLOOKUP(1,('Zehnder Charleston'!$B$145:$B$264=C$3)*('Zehnder Charleston'!$D$145:$D$264=$B5),'Zehnder Charleston'!$K$145:$K$264,"")</f>
        <v>31.2</v>
      </c>
      <c r="D5" s="2" cm="1">
        <f t="array" ref="D5">_xlfn.XLOOKUP(1,('Zehnder Charleston'!$B$145:$B$264=D$3)*('Zehnder Charleston'!$D$145:$D$264=$B5),'Zehnder Charleston'!$K$145:$K$264,"")</f>
        <v>35.4</v>
      </c>
      <c r="E5" s="2" cm="1">
        <f t="array" ref="E5">_xlfn.XLOOKUP(1,('Zehnder Charleston'!$B$145:$B$264=E$3)*('Zehnder Charleston'!$D$145:$D$264=$B5),'Zehnder Charleston'!$K$145:$K$264,"")</f>
        <v>40.6</v>
      </c>
      <c r="F5" s="2" cm="1">
        <f t="array" ref="F5">_xlfn.XLOOKUP(1,('Zehnder Charleston'!$B$145:$B$264=F$3)*('Zehnder Charleston'!$D$145:$D$264=$B5),'Zehnder Charleston'!$K$145:$K$264,"")</f>
        <v>45.7</v>
      </c>
      <c r="G5" s="2" cm="1">
        <f t="array" ref="G5">_xlfn.XLOOKUP(1,('Zehnder Charleston'!$B$145:$B$264=G$3)*('Zehnder Charleston'!$D$145:$D$264=$B5),'Zehnder Charleston'!$K$145:$K$264,"")</f>
        <v>50.8</v>
      </c>
      <c r="H5" s="2" cm="1">
        <f t="array" ref="H5">_xlfn.XLOOKUP(1,('Zehnder Charleston'!$B$145:$B$264=H$3)*('Zehnder Charleston'!$D$145:$D$264=$B5),'Zehnder Charleston'!$K$145:$K$264,"")</f>
        <v>55.9</v>
      </c>
      <c r="I5" s="2" cm="1">
        <f t="array" ref="I5">_xlfn.XLOOKUP(1,('Zehnder Charleston'!$B$145:$B$264=I$3)*('Zehnder Charleston'!$D$145:$D$264=$B5),'Zehnder Charleston'!$K$145:$K$264,"")</f>
        <v>61</v>
      </c>
      <c r="J5" s="2" cm="1">
        <f t="array" ref="J5">_xlfn.XLOOKUP(1,('Zehnder Charleston'!$B$145:$B$264=J$3)*('Zehnder Charleston'!$D$145:$D$264=$B5),'Zehnder Charleston'!$K$145:$K$264,"")</f>
        <v>66</v>
      </c>
      <c r="K5" s="2" cm="1">
        <f t="array" ref="K5">_xlfn.XLOOKUP(1,('Zehnder Charleston'!$B$145:$B$264=K$3)*('Zehnder Charleston'!$D$145:$D$264=$B5),'Zehnder Charleston'!$K$145:$K$264,"")</f>
        <v>81.099999999999994</v>
      </c>
      <c r="L5" s="2" cm="1">
        <f t="array" ref="L5">_xlfn.XLOOKUP(1,('Zehnder Charleston'!$B$145:$B$264=L$3)*('Zehnder Charleston'!$D$145:$D$264=$B5),'Zehnder Charleston'!$K$145:$K$264,"")</f>
        <v>96.3</v>
      </c>
      <c r="M5" s="2" cm="1">
        <f t="array" ref="M5">_xlfn.XLOOKUP(1,('Zehnder Charleston'!$B$145:$B$264=M$3)*('Zehnder Charleston'!$D$145:$D$264=$B5),'Zehnder Charleston'!$K$145:$K$264,"")</f>
        <v>107</v>
      </c>
      <c r="N5" s="2" cm="1">
        <f t="array" ref="N5">_xlfn.XLOOKUP(1,('Zehnder Charleston'!$B$145:$B$264=N$3)*('Zehnder Charleston'!$D$145:$D$264=$B5),'Zehnder Charleston'!$K$145:$K$264,"")</f>
        <v>117</v>
      </c>
      <c r="O5" s="2" cm="1">
        <f t="array" ref="O5">_xlfn.XLOOKUP(1,('Zehnder Charleston'!$B$145:$B$264=O$3)*('Zehnder Charleston'!$D$145:$D$264=$B5),'Zehnder Charleston'!$K$145:$K$264,"")</f>
        <v>127</v>
      </c>
      <c r="P5" s="2" cm="1">
        <f t="array" ref="P5">_xlfn.XLOOKUP(1,('Zehnder Charleston'!$B$145:$B$264=P$3)*('Zehnder Charleston'!$D$145:$D$264=$B5),'Zehnder Charleston'!$K$145:$K$264,"")</f>
        <v>158</v>
      </c>
      <c r="Q5" s="2" cm="1">
        <f t="array" ref="Q5">_xlfn.XLOOKUP(1,('Zehnder Charleston'!$B$145:$B$264=Q$3)*('Zehnder Charleston'!$D$145:$D$264=$B5),'Zehnder Charleston'!$K$145:$K$264,"")</f>
        <v>189</v>
      </c>
      <c r="R5" s="2" cm="1">
        <f t="array" ref="R5">_xlfn.XLOOKUP(1,('Zehnder Charleston'!$B$145:$B$264=R$3)*('Zehnder Charleston'!$D$145:$D$264=$B5),'Zehnder Charleston'!$K$145:$K$264,"")</f>
        <v>209</v>
      </c>
      <c r="S5" s="2" cm="1">
        <f t="array" ref="S5">_xlfn.XLOOKUP(1,('Zehnder Charleston'!$B$145:$B$264=S$3)*('Zehnder Charleston'!$D$145:$D$264=$B5),'Zehnder Charleston'!$K$145:$K$264,"")</f>
        <v>229</v>
      </c>
      <c r="T5" s="2" cm="1">
        <f t="array" ref="T5">_xlfn.XLOOKUP(1,('Zehnder Charleston'!$B$145:$B$264=T$3)*('Zehnder Charleston'!$D$145:$D$264=$B5),'Zehnder Charleston'!$K$145:$K$264,"")</f>
        <v>260</v>
      </c>
      <c r="U5" s="2" cm="1">
        <f t="array" ref="U5">_xlfn.XLOOKUP(1,('Zehnder Charleston'!$B$145:$B$264=U$3)*('Zehnder Charleston'!$D$145:$D$264=$B5),'Zehnder Charleston'!$K$145:$K$264,"")</f>
        <v>290</v>
      </c>
      <c r="V5" s="2" cm="1">
        <f t="array" ref="V5">_xlfn.XLOOKUP(1,('Zehnder Charleston'!$B$145:$B$264=V$3)*('Zehnder Charleston'!$D$145:$D$264=$B5),'Zehnder Charleston'!$K$145:$K$264,"")</f>
        <v>311</v>
      </c>
    </row>
    <row r="6" spans="1:28" ht="12.75" customHeight="1" x14ac:dyDescent="0.2">
      <c r="B6" s="2">
        <v>136</v>
      </c>
      <c r="C6" s="2" cm="1">
        <f t="array" ref="C6">_xlfn.XLOOKUP(1,('Zehnder Charleston'!$B$145:$B$264=C$3)*('Zehnder Charleston'!$D$145:$D$264=$B6),'Zehnder Charleston'!$K$145:$K$264,"")</f>
        <v>40.4</v>
      </c>
      <c r="D6" s="2" cm="1">
        <f t="array" ref="D6">_xlfn.XLOOKUP(1,('Zehnder Charleston'!$B$145:$B$264=D$3)*('Zehnder Charleston'!$D$145:$D$264=$B6),'Zehnder Charleston'!$K$145:$K$264,"")</f>
        <v>45.8</v>
      </c>
      <c r="E6" s="2" cm="1">
        <f t="array" ref="E6">_xlfn.XLOOKUP(1,('Zehnder Charleston'!$B$145:$B$264=E$3)*('Zehnder Charleston'!$D$145:$D$264=$B6),'Zehnder Charleston'!$K$145:$K$264,"")</f>
        <v>52.5</v>
      </c>
      <c r="F6" s="2" cm="1">
        <f t="array" ref="F6">_xlfn.XLOOKUP(1,('Zehnder Charleston'!$B$145:$B$264=F$3)*('Zehnder Charleston'!$D$145:$D$264=$B6),'Zehnder Charleston'!$K$145:$K$264,"")</f>
        <v>59.2</v>
      </c>
      <c r="G6" s="2" cm="1">
        <f t="array" ref="G6">_xlfn.XLOOKUP(1,('Zehnder Charleston'!$B$145:$B$264=G$3)*('Zehnder Charleston'!$D$145:$D$264=$B6),'Zehnder Charleston'!$K$145:$K$264,"")</f>
        <v>65.7</v>
      </c>
      <c r="H6" s="2" cm="1">
        <f t="array" ref="H6">_xlfn.XLOOKUP(1,('Zehnder Charleston'!$B$145:$B$264=H$3)*('Zehnder Charleston'!$D$145:$D$264=$B6),'Zehnder Charleston'!$K$145:$K$264,"")</f>
        <v>72.3</v>
      </c>
      <c r="I6" s="2" cm="1">
        <f t="array" ref="I6">_xlfn.XLOOKUP(1,('Zehnder Charleston'!$B$145:$B$264=I$3)*('Zehnder Charleston'!$D$145:$D$264=$B6),'Zehnder Charleston'!$K$145:$K$264,"")</f>
        <v>78.8</v>
      </c>
      <c r="J6" s="2" cm="1">
        <f t="array" ref="J6">_xlfn.XLOOKUP(1,('Zehnder Charleston'!$B$145:$B$264=J$3)*('Zehnder Charleston'!$D$145:$D$264=$B6),'Zehnder Charleston'!$K$145:$K$264,"")</f>
        <v>85.4</v>
      </c>
      <c r="K6" s="2" cm="1">
        <f t="array" ref="K6">_xlfn.XLOOKUP(1,('Zehnder Charleston'!$B$145:$B$264=K$3)*('Zehnder Charleston'!$D$145:$D$264=$B6),'Zehnder Charleston'!$K$145:$K$264,"")</f>
        <v>105</v>
      </c>
      <c r="L6" s="2" cm="1">
        <f t="array" ref="L6">_xlfn.XLOOKUP(1,('Zehnder Charleston'!$B$145:$B$264=L$3)*('Zehnder Charleston'!$D$145:$D$264=$B6),'Zehnder Charleston'!$K$145:$K$264,"")</f>
        <v>125</v>
      </c>
      <c r="M6" s="2" cm="1">
        <f t="array" ref="M6">_xlfn.XLOOKUP(1,('Zehnder Charleston'!$B$145:$B$264=M$3)*('Zehnder Charleston'!$D$145:$D$264=$B6),'Zehnder Charleston'!$K$145:$K$264,"")</f>
        <v>138</v>
      </c>
      <c r="N6" s="2" cm="1">
        <f t="array" ref="N6">_xlfn.XLOOKUP(1,('Zehnder Charleston'!$B$145:$B$264=N$3)*('Zehnder Charleston'!$D$145:$D$264=$B6),'Zehnder Charleston'!$K$145:$K$264,"")</f>
        <v>151</v>
      </c>
      <c r="O6" s="2" cm="1">
        <f t="array" ref="O6">_xlfn.XLOOKUP(1,('Zehnder Charleston'!$B$145:$B$264=O$3)*('Zehnder Charleston'!$D$145:$D$264=$B6),'Zehnder Charleston'!$K$145:$K$264,"")</f>
        <v>165</v>
      </c>
      <c r="P6" s="2" cm="1">
        <f t="array" ref="P6">_xlfn.XLOOKUP(1,('Zehnder Charleston'!$B$145:$B$264=P$3)*('Zehnder Charleston'!$D$145:$D$264=$B6),'Zehnder Charleston'!$K$145:$K$264,"")</f>
        <v>204</v>
      </c>
      <c r="Q6" s="2" cm="1">
        <f t="array" ref="Q6">_xlfn.XLOOKUP(1,('Zehnder Charleston'!$B$145:$B$264=Q$3)*('Zehnder Charleston'!$D$145:$D$264=$B6),'Zehnder Charleston'!$K$145:$K$264,"")</f>
        <v>244</v>
      </c>
      <c r="R6" s="2" cm="1">
        <f t="array" ref="R6">_xlfn.XLOOKUP(1,('Zehnder Charleston'!$B$145:$B$264=R$3)*('Zehnder Charleston'!$D$145:$D$264=$B6),'Zehnder Charleston'!$K$145:$K$264,"")</f>
        <v>270</v>
      </c>
      <c r="S6" s="2" cm="1">
        <f t="array" ref="S6">_xlfn.XLOOKUP(1,('Zehnder Charleston'!$B$145:$B$264=S$3)*('Zehnder Charleston'!$D$145:$D$264=$B6),'Zehnder Charleston'!$K$145:$K$264,"")</f>
        <v>296</v>
      </c>
      <c r="T6" s="2" cm="1">
        <f t="array" ref="T6">_xlfn.XLOOKUP(1,('Zehnder Charleston'!$B$145:$B$264=T$3)*('Zehnder Charleston'!$D$145:$D$264=$B6),'Zehnder Charleston'!$K$145:$K$264,"")</f>
        <v>335</v>
      </c>
      <c r="U6" s="2" cm="1">
        <f t="array" ref="U6">_xlfn.XLOOKUP(1,('Zehnder Charleston'!$B$145:$B$264=U$3)*('Zehnder Charleston'!$D$145:$D$264=$B6),'Zehnder Charleston'!$K$145:$K$264,"")</f>
        <v>375</v>
      </c>
      <c r="V6" s="2" cm="1">
        <f t="array" ref="V6">_xlfn.XLOOKUP(1,('Zehnder Charleston'!$B$145:$B$264=V$3)*('Zehnder Charleston'!$D$145:$D$264=$B6),'Zehnder Charleston'!$K$145:$K$264,"")</f>
        <v>401</v>
      </c>
    </row>
    <row r="7" spans="1:28" ht="12.75" customHeight="1" x14ac:dyDescent="0.2">
      <c r="B7" s="2">
        <v>173</v>
      </c>
      <c r="C7" s="2" cm="1">
        <f t="array" ref="C7">_xlfn.XLOOKUP(1,('Zehnder Charleston'!$B$145:$B$264=C$3)*('Zehnder Charleston'!$D$145:$D$264=$B7),'Zehnder Charleston'!$K$145:$K$264,"")</f>
        <v>49.4</v>
      </c>
      <c r="D7" s="2" cm="1">
        <f t="array" ref="D7">_xlfn.XLOOKUP(1,('Zehnder Charleston'!$B$145:$B$264=D$3)*('Zehnder Charleston'!$D$145:$D$264=$B7),'Zehnder Charleston'!$K$145:$K$264,"")</f>
        <v>56</v>
      </c>
      <c r="E7" s="2" cm="1">
        <f t="array" ref="E7">_xlfn.XLOOKUP(1,('Zehnder Charleston'!$B$145:$B$264=E$3)*('Zehnder Charleston'!$D$145:$D$264=$B7),'Zehnder Charleston'!$K$145:$K$264,"")</f>
        <v>64.2</v>
      </c>
      <c r="F7" s="2" cm="1">
        <f t="array" ref="F7">_xlfn.XLOOKUP(1,('Zehnder Charleston'!$B$145:$B$264=F$3)*('Zehnder Charleston'!$D$145:$D$264=$B7),'Zehnder Charleston'!$K$145:$K$264,"")</f>
        <v>72.3</v>
      </c>
      <c r="G7" s="2" cm="1">
        <f t="array" ref="G7">_xlfn.XLOOKUP(1,('Zehnder Charleston'!$B$145:$B$264=G$3)*('Zehnder Charleston'!$D$145:$D$264=$B7),'Zehnder Charleston'!$K$145:$K$264,"")</f>
        <v>80.400000000000006</v>
      </c>
      <c r="H7" s="2" cm="1">
        <f t="array" ref="H7">_xlfn.XLOOKUP(1,('Zehnder Charleston'!$B$145:$B$264=H$3)*('Zehnder Charleston'!$D$145:$D$264=$B7),'Zehnder Charleston'!$K$145:$K$264,"")</f>
        <v>88.4</v>
      </c>
      <c r="I7" s="2" cm="1">
        <f t="array" ref="I7">_xlfn.XLOOKUP(1,('Zehnder Charleston'!$B$145:$B$264=I$3)*('Zehnder Charleston'!$D$145:$D$264=$B7),'Zehnder Charleston'!$K$145:$K$264,"")</f>
        <v>96.4</v>
      </c>
      <c r="J7" s="2" cm="1">
        <f t="array" ref="J7">_xlfn.XLOOKUP(1,('Zehnder Charleston'!$B$145:$B$264=J$3)*('Zehnder Charleston'!$D$145:$D$264=$B7),'Zehnder Charleston'!$K$145:$K$264,"")</f>
        <v>104</v>
      </c>
      <c r="K7" s="2" cm="1">
        <f t="array" ref="K7">_xlfn.XLOOKUP(1,('Zehnder Charleston'!$B$145:$B$264=K$3)*('Zehnder Charleston'!$D$145:$D$264=$B7),'Zehnder Charleston'!$K$145:$K$264,"")</f>
        <v>128</v>
      </c>
      <c r="L7" s="2" cm="1">
        <f t="array" ref="L7">_xlfn.XLOOKUP(1,('Zehnder Charleston'!$B$145:$B$264=L$3)*('Zehnder Charleston'!$D$145:$D$264=$B7),'Zehnder Charleston'!$K$145:$K$264,"")</f>
        <v>152</v>
      </c>
      <c r="M7" s="2" cm="1">
        <f t="array" ref="M7">_xlfn.XLOOKUP(1,('Zehnder Charleston'!$B$145:$B$264=M$3)*('Zehnder Charleston'!$D$145:$D$264=$B7),'Zehnder Charleston'!$K$145:$K$264,"")</f>
        <v>168</v>
      </c>
      <c r="N7" s="2" cm="1">
        <f t="array" ref="N7">_xlfn.XLOOKUP(1,('Zehnder Charleston'!$B$145:$B$264=N$3)*('Zehnder Charleston'!$D$145:$D$264=$B7),'Zehnder Charleston'!$K$145:$K$264,"")</f>
        <v>185</v>
      </c>
      <c r="O7" s="2" cm="1">
        <f t="array" ref="O7">_xlfn.XLOOKUP(1,('Zehnder Charleston'!$B$145:$B$264=O$3)*('Zehnder Charleston'!$D$145:$D$264=$B7),'Zehnder Charleston'!$K$145:$K$264,"")</f>
        <v>201</v>
      </c>
      <c r="P7" s="2" cm="1">
        <f t="array" ref="P7">_xlfn.XLOOKUP(1,('Zehnder Charleston'!$B$145:$B$264=P$3)*('Zehnder Charleston'!$D$145:$D$264=$B7),'Zehnder Charleston'!$K$145:$K$264,"")</f>
        <v>249</v>
      </c>
      <c r="Q7" s="2" cm="1">
        <f t="array" ref="Q7">_xlfn.XLOOKUP(1,('Zehnder Charleston'!$B$145:$B$264=Q$3)*('Zehnder Charleston'!$D$145:$D$264=$B7),'Zehnder Charleston'!$K$145:$K$264,"")</f>
        <v>297</v>
      </c>
      <c r="R7" s="2" cm="1">
        <f t="array" ref="R7">_xlfn.XLOOKUP(1,('Zehnder Charleston'!$B$145:$B$264=R$3)*('Zehnder Charleston'!$D$145:$D$264=$B7),'Zehnder Charleston'!$K$145:$K$264,"")</f>
        <v>330</v>
      </c>
      <c r="S7" s="2" cm="1">
        <f t="array" ref="S7">_xlfn.XLOOKUP(1,('Zehnder Charleston'!$B$145:$B$264=S$3)*('Zehnder Charleston'!$D$145:$D$264=$B7),'Zehnder Charleston'!$K$145:$K$264,"")</f>
        <v>362</v>
      </c>
      <c r="T7" s="2" cm="1">
        <f t="array" ref="T7">_xlfn.XLOOKUP(1,('Zehnder Charleston'!$B$145:$B$264=T$3)*('Zehnder Charleston'!$D$145:$D$264=$B7),'Zehnder Charleston'!$K$145:$K$264,"")</f>
        <v>410</v>
      </c>
      <c r="U7" s="2" cm="1">
        <f t="array" ref="U7">_xlfn.XLOOKUP(1,('Zehnder Charleston'!$B$145:$B$264=U$3)*('Zehnder Charleston'!$D$145:$D$264=$B7),'Zehnder Charleston'!$K$145:$K$264,"")</f>
        <v>458</v>
      </c>
      <c r="V7" s="2" cm="1">
        <f t="array" ref="V7">_xlfn.XLOOKUP(1,('Zehnder Charleston'!$B$145:$B$264=V$3)*('Zehnder Charleston'!$D$145:$D$264=$B7),'Zehnder Charleston'!$K$145:$K$264,"")</f>
        <v>490</v>
      </c>
    </row>
    <row r="8" spans="1:28" x14ac:dyDescent="0.2">
      <c r="B8" s="2">
        <v>210</v>
      </c>
      <c r="C8" s="2" cm="1">
        <f t="array" ref="C8">_xlfn.XLOOKUP(1,('Zehnder Charleston'!$B$145:$B$264=C$3)*('Zehnder Charleston'!$D$145:$D$264=$B8),'Zehnder Charleston'!$K$145:$K$264,"")</f>
        <v>58.1</v>
      </c>
      <c r="D8" s="2" cm="1">
        <f t="array" ref="D8">_xlfn.XLOOKUP(1,('Zehnder Charleston'!$B$145:$B$264=D$3)*('Zehnder Charleston'!$D$145:$D$264=$B8),'Zehnder Charleston'!$K$145:$K$264,"")</f>
        <v>65.900000000000006</v>
      </c>
      <c r="E8" s="2" cm="1">
        <f t="array" ref="E8">_xlfn.XLOOKUP(1,('Zehnder Charleston'!$B$145:$B$264=E$3)*('Zehnder Charleston'!$D$145:$D$264=$B8),'Zehnder Charleston'!$K$145:$K$264,"")</f>
        <v>75.5</v>
      </c>
      <c r="F8" s="2" cm="1">
        <f t="array" ref="F8">_xlfn.XLOOKUP(1,('Zehnder Charleston'!$B$145:$B$264=F$3)*('Zehnder Charleston'!$D$145:$D$264=$B8),'Zehnder Charleston'!$K$145:$K$264,"")</f>
        <v>85.1</v>
      </c>
      <c r="G8" s="2" cm="1">
        <f t="array" ref="G8">_xlfn.XLOOKUP(1,('Zehnder Charleston'!$B$145:$B$264=G$3)*('Zehnder Charleston'!$D$145:$D$264=$B8),'Zehnder Charleston'!$K$145:$K$264,"")</f>
        <v>94.6</v>
      </c>
      <c r="H8" s="2" cm="1">
        <f t="array" ref="H8">_xlfn.XLOOKUP(1,('Zehnder Charleston'!$B$145:$B$264=H$3)*('Zehnder Charleston'!$D$145:$D$264=$B8),'Zehnder Charleston'!$K$145:$K$264,"")</f>
        <v>104</v>
      </c>
      <c r="I8" s="2" cm="1">
        <f t="array" ref="I8">_xlfn.XLOOKUP(1,('Zehnder Charleston'!$B$145:$B$264=I$3)*('Zehnder Charleston'!$D$145:$D$264=$B8),'Zehnder Charleston'!$K$145:$K$264,"")</f>
        <v>113</v>
      </c>
      <c r="J8" s="2" cm="1">
        <f t="array" ref="J8">_xlfn.XLOOKUP(1,('Zehnder Charleston'!$B$145:$B$264=J$3)*('Zehnder Charleston'!$D$145:$D$264=$B8),'Zehnder Charleston'!$K$145:$K$264,"")</f>
        <v>123</v>
      </c>
      <c r="K8" s="2" cm="1">
        <f t="array" ref="K8">_xlfn.XLOOKUP(1,('Zehnder Charleston'!$B$145:$B$264=K$3)*('Zehnder Charleston'!$D$145:$D$264=$B8),'Zehnder Charleston'!$K$145:$K$264,"")</f>
        <v>151</v>
      </c>
      <c r="L8" s="2" cm="1">
        <f t="array" ref="L8">_xlfn.XLOOKUP(1,('Zehnder Charleston'!$B$145:$B$264=L$3)*('Zehnder Charleston'!$D$145:$D$264=$B8),'Zehnder Charleston'!$K$145:$K$264,"")</f>
        <v>179</v>
      </c>
      <c r="M8" s="2" cm="1">
        <f t="array" ref="M8">_xlfn.XLOOKUP(1,('Zehnder Charleston'!$B$145:$B$264=M$3)*('Zehnder Charleston'!$D$145:$D$264=$B8),'Zehnder Charleston'!$K$145:$K$264,"")</f>
        <v>198</v>
      </c>
      <c r="N8" s="2" cm="1">
        <f t="array" ref="N8">_xlfn.XLOOKUP(1,('Zehnder Charleston'!$B$145:$B$264=N$3)*('Zehnder Charleston'!$D$145:$D$264=$B8),'Zehnder Charleston'!$K$145:$K$264,"")</f>
        <v>217</v>
      </c>
      <c r="O8" s="2" cm="1">
        <f t="array" ref="O8">_xlfn.XLOOKUP(1,('Zehnder Charleston'!$B$145:$B$264=O$3)*('Zehnder Charleston'!$D$145:$D$264=$B8),'Zehnder Charleston'!$K$145:$K$264,"")</f>
        <v>236</v>
      </c>
      <c r="P8" s="2" cm="1">
        <f t="array" ref="P8">_xlfn.XLOOKUP(1,('Zehnder Charleston'!$B$145:$B$264=P$3)*('Zehnder Charleston'!$D$145:$D$264=$B8),'Zehnder Charleston'!$K$145:$K$264,"")</f>
        <v>293</v>
      </c>
      <c r="Q8" s="2" cm="1">
        <f t="array" ref="Q8">_xlfn.XLOOKUP(1,('Zehnder Charleston'!$B$145:$B$264=Q$3)*('Zehnder Charleston'!$D$145:$D$264=$B8),'Zehnder Charleston'!$K$145:$K$264,"")</f>
        <v>349</v>
      </c>
      <c r="R8" s="2" cm="1">
        <f t="array" ref="R8">_xlfn.XLOOKUP(1,('Zehnder Charleston'!$B$145:$B$264=R$3)*('Zehnder Charleston'!$D$145:$D$264=$B8),'Zehnder Charleston'!$K$145:$K$264,"")</f>
        <v>387</v>
      </c>
      <c r="S8" s="2" cm="1">
        <f t="array" ref="S8">_xlfn.XLOOKUP(1,('Zehnder Charleston'!$B$145:$B$264=S$3)*('Zehnder Charleston'!$D$145:$D$264=$B8),'Zehnder Charleston'!$K$145:$K$264,"")</f>
        <v>425</v>
      </c>
      <c r="T8" s="2" cm="1">
        <f t="array" ref="T8">_xlfn.XLOOKUP(1,('Zehnder Charleston'!$B$145:$B$264=T$3)*('Zehnder Charleston'!$D$145:$D$264=$B8),'Zehnder Charleston'!$K$145:$K$264,"")</f>
        <v>481</v>
      </c>
      <c r="U8" s="2" cm="1">
        <f t="array" ref="U8">_xlfn.XLOOKUP(1,('Zehnder Charleston'!$B$145:$B$264=U$3)*('Zehnder Charleston'!$D$145:$D$264=$B8),'Zehnder Charleston'!$K$145:$K$264,"")</f>
        <v>537</v>
      </c>
      <c r="V8" s="2" cm="1">
        <f t="array" ref="V8">_xlfn.XLOOKUP(1,('Zehnder Charleston'!$B$145:$B$264=V$3)*('Zehnder Charleston'!$D$145:$D$264=$B8),'Zehnder Charleston'!$K$145:$K$264,"")</f>
        <v>575</v>
      </c>
    </row>
    <row r="9" spans="1:28" x14ac:dyDescent="0.2">
      <c r="M9"/>
      <c r="N9"/>
      <c r="O9"/>
      <c r="P9"/>
      <c r="Q9"/>
    </row>
    <row r="10" spans="1:28" ht="13.5" x14ac:dyDescent="0.25">
      <c r="A10" s="1" t="s">
        <v>150</v>
      </c>
      <c r="C10" s="4" t="s">
        <v>2</v>
      </c>
      <c r="M10"/>
      <c r="N10"/>
      <c r="O10"/>
      <c r="P10"/>
      <c r="Q10"/>
    </row>
    <row r="11" spans="1:28" ht="13.5" x14ac:dyDescent="0.25">
      <c r="A11" s="1"/>
      <c r="C11" s="4"/>
      <c r="M11"/>
      <c r="N11"/>
      <c r="O11"/>
      <c r="P11"/>
      <c r="Q11"/>
    </row>
    <row r="12" spans="1:28" x14ac:dyDescent="0.2">
      <c r="A12" s="1" t="s">
        <v>0</v>
      </c>
      <c r="C12" s="5">
        <f t="shared" ref="C12:V12" si="0">C$3</f>
        <v>260</v>
      </c>
      <c r="D12" s="5">
        <f t="shared" si="0"/>
        <v>300</v>
      </c>
      <c r="E12" s="5">
        <f t="shared" si="0"/>
        <v>350</v>
      </c>
      <c r="F12" s="5">
        <f t="shared" si="0"/>
        <v>400</v>
      </c>
      <c r="G12" s="5">
        <f t="shared" si="0"/>
        <v>450</v>
      </c>
      <c r="H12" s="5">
        <f t="shared" si="0"/>
        <v>500</v>
      </c>
      <c r="I12" s="5">
        <f t="shared" si="0"/>
        <v>550</v>
      </c>
      <c r="J12" s="5">
        <f t="shared" si="0"/>
        <v>600</v>
      </c>
      <c r="K12" s="5">
        <f t="shared" si="0"/>
        <v>750</v>
      </c>
      <c r="L12" s="5">
        <f t="shared" si="0"/>
        <v>900</v>
      </c>
      <c r="M12" s="5">
        <f t="shared" si="0"/>
        <v>1000</v>
      </c>
      <c r="N12" s="5">
        <f t="shared" si="0"/>
        <v>1100</v>
      </c>
      <c r="O12" s="5">
        <f t="shared" si="0"/>
        <v>1200</v>
      </c>
      <c r="P12" s="5">
        <f t="shared" si="0"/>
        <v>1500</v>
      </c>
      <c r="Q12" s="5">
        <f t="shared" si="0"/>
        <v>1800</v>
      </c>
      <c r="R12" s="5">
        <f t="shared" si="0"/>
        <v>2000</v>
      </c>
      <c r="S12" s="5">
        <f t="shared" si="0"/>
        <v>2200</v>
      </c>
      <c r="T12" s="5">
        <f t="shared" si="0"/>
        <v>2500</v>
      </c>
      <c r="U12" s="5">
        <f t="shared" si="0"/>
        <v>2800</v>
      </c>
      <c r="V12" s="5">
        <f t="shared" si="0"/>
        <v>3000</v>
      </c>
    </row>
    <row r="13" spans="1:28" ht="13.5" x14ac:dyDescent="0.25">
      <c r="A13" s="4" t="s">
        <v>3</v>
      </c>
      <c r="B13" s="2">
        <f>B4</f>
        <v>62</v>
      </c>
      <c r="C13" s="2" cm="1">
        <f t="array" ref="C13">_xlfn.XLOOKUP(1,('Zehnder Charleston'!$B$145:$B$264=C$3)*('Zehnder Charleston'!$D$145:$D$264=$B4),'Zehnder Charleston'!$J$145:$J$264,"")</f>
        <v>1.3</v>
      </c>
      <c r="D13" s="2" cm="1">
        <f t="array" ref="D13">_xlfn.XLOOKUP(1,('Zehnder Charleston'!$B$145:$B$264=D$2)*('Zehnder Charleston'!$D$145:$D$264=$B4),'Zehnder Charleston'!$J$145:$J$264,"")</f>
        <v>1.3</v>
      </c>
      <c r="E13" s="2" cm="1">
        <f t="array" ref="E13">_xlfn.XLOOKUP(1,('Zehnder Charleston'!$B$145:$B$264=E$2)*('Zehnder Charleston'!$D$145:$D$264=$B4),'Zehnder Charleston'!$J$145:$J$264,"")</f>
        <v>1.3</v>
      </c>
      <c r="F13" s="2" cm="1">
        <f t="array" ref="F13">_xlfn.XLOOKUP(1,('Zehnder Charleston'!$B$145:$B$264=F$2)*('Zehnder Charleston'!$D$145:$D$264=$B4),'Zehnder Charleston'!$J$145:$J$264,"")</f>
        <v>1.3</v>
      </c>
      <c r="G13" s="2" cm="1">
        <f t="array" ref="G13">_xlfn.XLOOKUP(1,('Zehnder Charleston'!$B$145:$B$264=G$2)*('Zehnder Charleston'!$D$145:$D$264=$B4),'Zehnder Charleston'!$J$145:$J$264,"")</f>
        <v>1.3</v>
      </c>
      <c r="H13" s="2" cm="1">
        <f t="array" ref="H13">_xlfn.XLOOKUP(1,('Zehnder Charleston'!$B$145:$B$264=H$2)*('Zehnder Charleston'!$D$145:$D$264=$B4),'Zehnder Charleston'!$J$145:$J$264,"")</f>
        <v>1.3</v>
      </c>
      <c r="I13" s="2" cm="1">
        <f t="array" ref="I13">_xlfn.XLOOKUP(1,('Zehnder Charleston'!$B$145:$B$264=I$2)*('Zehnder Charleston'!$D$145:$D$264=$B4),'Zehnder Charleston'!$J$145:$J$264,"")</f>
        <v>1.3</v>
      </c>
      <c r="J13" s="2" cm="1">
        <f t="array" ref="J13">_xlfn.XLOOKUP(1,('Zehnder Charleston'!$B$145:$B$264=J$2)*('Zehnder Charleston'!$D$145:$D$264=$B4),'Zehnder Charleston'!$J$145:$J$264,"")</f>
        <v>1.3</v>
      </c>
      <c r="K13" s="2" cm="1">
        <f t="array" ref="K13">_xlfn.XLOOKUP(1,('Zehnder Charleston'!$B$145:$B$264=K$2)*('Zehnder Charleston'!$D$145:$D$264=$B4),'Zehnder Charleston'!$J$145:$J$264,"")</f>
        <v>1.3</v>
      </c>
      <c r="L13" s="2" cm="1">
        <f t="array" ref="L13">_xlfn.XLOOKUP(1,('Zehnder Charleston'!$B$145:$B$264=L$2)*('Zehnder Charleston'!$D$145:$D$264=$B4),'Zehnder Charleston'!$J$145:$J$264,"")</f>
        <v>1.3</v>
      </c>
      <c r="M13" s="2" cm="1">
        <f t="array" ref="M13">_xlfn.XLOOKUP(1,('Zehnder Charleston'!$B$145:$B$264=M$2)*('Zehnder Charleston'!$D$145:$D$264=$B4),'Zehnder Charleston'!$J$145:$J$264,"")</f>
        <v>1.3</v>
      </c>
      <c r="N13" s="2" cm="1">
        <f t="array" ref="N13">_xlfn.XLOOKUP(1,('Zehnder Charleston'!$B$145:$B$264=N$2)*('Zehnder Charleston'!$D$145:$D$264=$B4),'Zehnder Charleston'!$J$145:$J$264,"")</f>
        <v>1.3</v>
      </c>
      <c r="O13" s="2" cm="1">
        <f t="array" ref="O13">_xlfn.XLOOKUP(1,('Zehnder Charleston'!$B$145:$B$264=O$2)*('Zehnder Charleston'!$D$145:$D$264=$B4),'Zehnder Charleston'!$J$145:$J$264,"")</f>
        <v>1.33</v>
      </c>
      <c r="P13" s="2" cm="1">
        <f t="array" ref="P13">_xlfn.XLOOKUP(1,('Zehnder Charleston'!$B$145:$B$264=P$2)*('Zehnder Charleston'!$D$145:$D$264=$B4),'Zehnder Charleston'!$J$145:$J$264,"")</f>
        <v>1.33</v>
      </c>
      <c r="Q13" s="2" cm="1">
        <f t="array" ref="Q13">_xlfn.XLOOKUP(1,('Zehnder Charleston'!$B$145:$B$264=Q$2)*('Zehnder Charleston'!$D$145:$D$264=$B4),'Zehnder Charleston'!$J$145:$J$264,"")</f>
        <v>1.32</v>
      </c>
      <c r="R13" s="2" cm="1">
        <f t="array" ref="R13">_xlfn.XLOOKUP(1,('Zehnder Charleston'!$B$145:$B$264=R$2)*('Zehnder Charleston'!$D$145:$D$264=$B4),'Zehnder Charleston'!$J$145:$J$264,"")</f>
        <v>1.32</v>
      </c>
      <c r="S13" s="2" cm="1">
        <f t="array" ref="S13">_xlfn.XLOOKUP(1,('Zehnder Charleston'!$B$145:$B$264=S$2)*('Zehnder Charleston'!$D$145:$D$264=$B4),'Zehnder Charleston'!$J$145:$J$264,"")</f>
        <v>1.32</v>
      </c>
      <c r="T13" s="2" cm="1">
        <f t="array" ref="T13">_xlfn.XLOOKUP(1,('Zehnder Charleston'!$B$145:$B$264=T$2)*('Zehnder Charleston'!$D$145:$D$264=$B4),'Zehnder Charleston'!$J$145:$J$264,"")</f>
        <v>1.32</v>
      </c>
      <c r="U13" s="2" cm="1">
        <f t="array" ref="U13">_xlfn.XLOOKUP(1,('Zehnder Charleston'!$B$145:$B$264=U$2)*('Zehnder Charleston'!$D$145:$D$264=$B4),'Zehnder Charleston'!$J$145:$J$264,"")</f>
        <v>1.32</v>
      </c>
      <c r="V13" s="2" cm="1">
        <f t="array" ref="V13">_xlfn.XLOOKUP(1,('Zehnder Charleston'!$B$145:$B$264=V$2)*('Zehnder Charleston'!$D$145:$D$264=$B4),'Zehnder Charleston'!$J$145:$J$264,"")</f>
        <v>1.31</v>
      </c>
      <c r="AB13" s="2" t="str" cm="1">
        <f t="array" ref="AB13">_xlfn.XLOOKUP(1,('Zehnder Charleston'!$B$2:$B$138=V$3)*('Zehnder Charleston'!$D$2:$D$138=$B4),'Zehnder Charleston'!$J$2:$J$138,"")</f>
        <v/>
      </c>
    </row>
    <row r="14" spans="1:28" x14ac:dyDescent="0.2">
      <c r="B14" s="2">
        <f>B5</f>
        <v>100</v>
      </c>
      <c r="C14" s="2" cm="1">
        <f t="array" ref="C14">_xlfn.XLOOKUP(1,('Zehnder Charleston'!$B$145:$B$264=C$3)*('Zehnder Charleston'!$D$145:$D$264=$B5),'Zehnder Charleston'!$J$145:$J$264,"")</f>
        <v>1.27</v>
      </c>
      <c r="D14" s="2" cm="1">
        <f t="array" ref="D14">_xlfn.XLOOKUP(1,('Zehnder Charleston'!$B$145:$B$264=D$3)*('Zehnder Charleston'!$D$145:$D$264=$B5),'Zehnder Charleston'!$J$145:$J$264,"")</f>
        <v>1.27</v>
      </c>
      <c r="E14" s="2" cm="1">
        <f t="array" ref="E14">_xlfn.XLOOKUP(1,('Zehnder Charleston'!$B$145:$B$264=E$3)*('Zehnder Charleston'!$D$145:$D$264=$B5),'Zehnder Charleston'!$J$145:$J$264,"")</f>
        <v>1.28</v>
      </c>
      <c r="F14" s="2" cm="1">
        <f t="array" ref="F14">_xlfn.XLOOKUP(1,('Zehnder Charleston'!$B$145:$B$264=F$3)*('Zehnder Charleston'!$D$145:$D$264=$B5),'Zehnder Charleston'!$J$145:$J$264,"")</f>
        <v>1.28</v>
      </c>
      <c r="G14" s="2" cm="1">
        <f t="array" ref="G14">_xlfn.XLOOKUP(1,('Zehnder Charleston'!$B$145:$B$264=G$3)*('Zehnder Charleston'!$D$145:$D$264=$B5),'Zehnder Charleston'!$J$145:$J$264,"")</f>
        <v>1.28</v>
      </c>
      <c r="H14" s="2" cm="1">
        <f t="array" ref="H14">_xlfn.XLOOKUP(1,('Zehnder Charleston'!$B$145:$B$264=H$3)*('Zehnder Charleston'!$D$145:$D$264=$B5),'Zehnder Charleston'!$J$145:$J$264,"")</f>
        <v>1.28</v>
      </c>
      <c r="I14" s="2" cm="1">
        <f t="array" ref="I14">_xlfn.XLOOKUP(1,('Zehnder Charleston'!$B$145:$B$264=I$3)*('Zehnder Charleston'!$D$145:$D$264=$B5),'Zehnder Charleston'!$J$145:$J$264,"")</f>
        <v>1.28</v>
      </c>
      <c r="J14" s="2" cm="1">
        <f t="array" ref="J14">_xlfn.XLOOKUP(1,('Zehnder Charleston'!$B$145:$B$264=J$3)*('Zehnder Charleston'!$D$145:$D$264=$B5),'Zehnder Charleston'!$J$145:$J$264,"")</f>
        <v>1.28</v>
      </c>
      <c r="K14" s="2" cm="1">
        <f t="array" ref="K14">_xlfn.XLOOKUP(1,('Zehnder Charleston'!$B$145:$B$264=K$3)*('Zehnder Charleston'!$D$145:$D$264=$B5),'Zehnder Charleston'!$J$145:$J$264,"")</f>
        <v>1.29</v>
      </c>
      <c r="L14" s="2" cm="1">
        <f t="array" ref="L14">_xlfn.XLOOKUP(1,('Zehnder Charleston'!$B$145:$B$264=L$3)*('Zehnder Charleston'!$D$145:$D$264=$B5),'Zehnder Charleston'!$J$145:$J$264,"")</f>
        <v>1.29</v>
      </c>
      <c r="M14" s="2" cm="1">
        <f t="array" ref="M14">_xlfn.XLOOKUP(1,('Zehnder Charleston'!$B$145:$B$264=M$3)*('Zehnder Charleston'!$D$145:$D$264=$B5),'Zehnder Charleston'!$J$145:$J$264,"")</f>
        <v>1.29</v>
      </c>
      <c r="N14" s="2" cm="1">
        <f t="array" ref="N14">_xlfn.XLOOKUP(1,('Zehnder Charleston'!$B$145:$B$264=N$3)*('Zehnder Charleston'!$D$145:$D$264=$B5),'Zehnder Charleston'!$J$145:$J$264,"")</f>
        <v>1.3</v>
      </c>
      <c r="O14" s="2" cm="1">
        <f t="array" ref="O14">_xlfn.XLOOKUP(1,('Zehnder Charleston'!$B$145:$B$264=O$3)*('Zehnder Charleston'!$D$145:$D$264=$B5),'Zehnder Charleston'!$J$145:$J$264,"")</f>
        <v>1.31</v>
      </c>
      <c r="P14" s="2" cm="1">
        <f t="array" ref="P14">_xlfn.XLOOKUP(1,('Zehnder Charleston'!$B$145:$B$264=P$3)*('Zehnder Charleston'!$D$145:$D$264=$B5),'Zehnder Charleston'!$J$145:$J$264,"")</f>
        <v>1.31</v>
      </c>
      <c r="Q14" s="2" cm="1">
        <f t="array" ref="Q14">_xlfn.XLOOKUP(1,('Zehnder Charleston'!$B$145:$B$264=Q$3)*('Zehnder Charleston'!$D$145:$D$264=$B5),'Zehnder Charleston'!$J$145:$J$264,"")</f>
        <v>1.31</v>
      </c>
      <c r="R14" s="2" cm="1">
        <f t="array" ref="R14">_xlfn.XLOOKUP(1,('Zehnder Charleston'!$B$145:$B$264=R$3)*('Zehnder Charleston'!$D$145:$D$264=$B5),'Zehnder Charleston'!$J$145:$J$264,"")</f>
        <v>1.31</v>
      </c>
      <c r="S14" s="2" cm="1">
        <f t="array" ref="S14">_xlfn.XLOOKUP(1,('Zehnder Charleston'!$B$145:$B$264=S$3)*('Zehnder Charleston'!$D$145:$D$264=$B5),'Zehnder Charleston'!$J$145:$J$264,"")</f>
        <v>1.31</v>
      </c>
      <c r="T14" s="2" cm="1">
        <f t="array" ref="T14">_xlfn.XLOOKUP(1,('Zehnder Charleston'!$B$145:$B$264=T$3)*('Zehnder Charleston'!$D$145:$D$264=$B5),'Zehnder Charleston'!$J$145:$J$264,"")</f>
        <v>1.32</v>
      </c>
      <c r="U14" s="2" cm="1">
        <f t="array" ref="U14">_xlfn.XLOOKUP(1,('Zehnder Charleston'!$B$145:$B$264=U$3)*('Zehnder Charleston'!$D$145:$D$264=$B5),'Zehnder Charleston'!$J$145:$J$264,"")</f>
        <v>1.32</v>
      </c>
      <c r="V14" s="2" cm="1">
        <f t="array" ref="V14">_xlfn.XLOOKUP(1,('Zehnder Charleston'!$B$145:$B$264=V$3)*('Zehnder Charleston'!$D$145:$D$264=$B5),'Zehnder Charleston'!$J$145:$J$264,"")</f>
        <v>1.32</v>
      </c>
    </row>
    <row r="15" spans="1:28" x14ac:dyDescent="0.2">
      <c r="B15" s="2">
        <f>B6</f>
        <v>136</v>
      </c>
      <c r="C15" s="2" cm="1">
        <f t="array" ref="C15">_xlfn.XLOOKUP(1,('Zehnder Charleston'!$B$145:$B$264=C$3)*('Zehnder Charleston'!$D$145:$D$264=$B6),'Zehnder Charleston'!$J$145:$J$264,"")</f>
        <v>1.27</v>
      </c>
      <c r="D15" s="2" cm="1">
        <f t="array" ref="D15">_xlfn.XLOOKUP(1,('Zehnder Charleston'!$B$145:$B$264=D$3)*('Zehnder Charleston'!$D$145:$D$264=$B6),'Zehnder Charleston'!$J$145:$J$264,"")</f>
        <v>1.27</v>
      </c>
      <c r="E15" s="2" cm="1">
        <f t="array" ref="E15">_xlfn.XLOOKUP(1,('Zehnder Charleston'!$B$145:$B$264=E$3)*('Zehnder Charleston'!$D$145:$D$264=$B6),'Zehnder Charleston'!$J$145:$J$264,"")</f>
        <v>1.28</v>
      </c>
      <c r="F15" s="2" cm="1">
        <f t="array" ref="F15">_xlfn.XLOOKUP(1,('Zehnder Charleston'!$B$145:$B$264=F$3)*('Zehnder Charleston'!$D$145:$D$264=$B6),'Zehnder Charleston'!$J$145:$J$264,"")</f>
        <v>1.28</v>
      </c>
      <c r="G15" s="2" cm="1">
        <f t="array" ref="G15">_xlfn.XLOOKUP(1,('Zehnder Charleston'!$B$145:$B$264=G$3)*('Zehnder Charleston'!$D$145:$D$264=$B6),'Zehnder Charleston'!$J$145:$J$264,"")</f>
        <v>1.28</v>
      </c>
      <c r="H15" s="2" cm="1">
        <f t="array" ref="H15">_xlfn.XLOOKUP(1,('Zehnder Charleston'!$B$145:$B$264=H$3)*('Zehnder Charleston'!$D$145:$D$264=$B6),'Zehnder Charleston'!$J$145:$J$264,"")</f>
        <v>1.28</v>
      </c>
      <c r="I15" s="2" cm="1">
        <f t="array" ref="I15">_xlfn.XLOOKUP(1,('Zehnder Charleston'!$B$145:$B$264=I$3)*('Zehnder Charleston'!$D$145:$D$264=$B6),'Zehnder Charleston'!$J$145:$J$264,"")</f>
        <v>1.28</v>
      </c>
      <c r="J15" s="2" cm="1">
        <f t="array" ref="J15">_xlfn.XLOOKUP(1,('Zehnder Charleston'!$B$145:$B$264=J$3)*('Zehnder Charleston'!$D$145:$D$264=$B6),'Zehnder Charleston'!$J$145:$J$264,"")</f>
        <v>1.28</v>
      </c>
      <c r="K15" s="2" cm="1">
        <f t="array" ref="K15">_xlfn.XLOOKUP(1,('Zehnder Charleston'!$B$145:$B$264=K$3)*('Zehnder Charleston'!$D$145:$D$264=$B6),'Zehnder Charleston'!$J$145:$J$264,"")</f>
        <v>1.29</v>
      </c>
      <c r="L15" s="2" cm="1">
        <f t="array" ref="L15">_xlfn.XLOOKUP(1,('Zehnder Charleston'!$B$145:$B$264=L$3)*('Zehnder Charleston'!$D$145:$D$264=$B6),'Zehnder Charleston'!$J$145:$J$264,"")</f>
        <v>1.29</v>
      </c>
      <c r="M15" s="2" cm="1">
        <f t="array" ref="M15">_xlfn.XLOOKUP(1,('Zehnder Charleston'!$B$145:$B$264=M$3)*('Zehnder Charleston'!$D$145:$D$264=$B6),'Zehnder Charleston'!$J$145:$J$264,"")</f>
        <v>1.29</v>
      </c>
      <c r="N15" s="2" cm="1">
        <f t="array" ref="N15">_xlfn.XLOOKUP(1,('Zehnder Charleston'!$B$145:$B$264=N$3)*('Zehnder Charleston'!$D$145:$D$264=$B6),'Zehnder Charleston'!$J$145:$J$264,"")</f>
        <v>1.3</v>
      </c>
      <c r="O15" s="2" cm="1">
        <f t="array" ref="O15">_xlfn.XLOOKUP(1,('Zehnder Charleston'!$B$145:$B$264=O$3)*('Zehnder Charleston'!$D$145:$D$264=$B6),'Zehnder Charleston'!$J$145:$J$264,"")</f>
        <v>1.31</v>
      </c>
      <c r="P15" s="2" cm="1">
        <f t="array" ref="P15">_xlfn.XLOOKUP(1,('Zehnder Charleston'!$B$145:$B$264=P$3)*('Zehnder Charleston'!$D$145:$D$264=$B6),'Zehnder Charleston'!$J$145:$J$264,"")</f>
        <v>1.31</v>
      </c>
      <c r="Q15" s="2" cm="1">
        <f t="array" ref="Q15">_xlfn.XLOOKUP(1,('Zehnder Charleston'!$B$145:$B$264=Q$3)*('Zehnder Charleston'!$D$145:$D$264=$B6),'Zehnder Charleston'!$J$145:$J$264,"")</f>
        <v>1.31</v>
      </c>
      <c r="R15" s="2" cm="1">
        <f t="array" ref="R15">_xlfn.XLOOKUP(1,('Zehnder Charleston'!$B$145:$B$264=R$3)*('Zehnder Charleston'!$D$145:$D$264=$B6),'Zehnder Charleston'!$J$145:$J$264,"")</f>
        <v>1.31</v>
      </c>
      <c r="S15" s="2" cm="1">
        <f t="array" ref="S15">_xlfn.XLOOKUP(1,('Zehnder Charleston'!$B$145:$B$264=S$3)*('Zehnder Charleston'!$D$145:$D$264=$B6),'Zehnder Charleston'!$J$145:$J$264,"")</f>
        <v>1.31</v>
      </c>
      <c r="T15" s="2" cm="1">
        <f t="array" ref="T15">_xlfn.XLOOKUP(1,('Zehnder Charleston'!$B$145:$B$264=T$3)*('Zehnder Charleston'!$D$145:$D$264=$B6),'Zehnder Charleston'!$J$145:$J$264,"")</f>
        <v>1.32</v>
      </c>
      <c r="U15" s="2" cm="1">
        <f t="array" ref="U15">_xlfn.XLOOKUP(1,('Zehnder Charleston'!$B$145:$B$264=U$3)*('Zehnder Charleston'!$D$145:$D$264=$B6),'Zehnder Charleston'!$J$145:$J$264,"")</f>
        <v>1.32</v>
      </c>
      <c r="V15" s="2" cm="1">
        <f t="array" ref="V15">_xlfn.XLOOKUP(1,('Zehnder Charleston'!$B$145:$B$264=V$3)*('Zehnder Charleston'!$D$145:$D$264=$B6),'Zehnder Charleston'!$J$145:$J$264,"")</f>
        <v>1.32</v>
      </c>
    </row>
    <row r="16" spans="1:28" x14ac:dyDescent="0.2">
      <c r="B16" s="2">
        <f>B7</f>
        <v>173</v>
      </c>
      <c r="C16" s="2" cm="1">
        <f t="array" ref="C16">_xlfn.XLOOKUP(1,('Zehnder Charleston'!$B$145:$B$264=C$3)*('Zehnder Charleston'!$D$145:$D$264=$B7),'Zehnder Charleston'!$J$145:$J$264,"")</f>
        <v>1.27</v>
      </c>
      <c r="D16" s="2" cm="1">
        <f t="array" ref="D16">_xlfn.XLOOKUP(1,('Zehnder Charleston'!$B$145:$B$264=D$3)*('Zehnder Charleston'!$D$145:$D$264=$B7),'Zehnder Charleston'!$J$145:$J$264,"")</f>
        <v>1.27</v>
      </c>
      <c r="E16" s="2" cm="1">
        <f t="array" ref="E16">_xlfn.XLOOKUP(1,('Zehnder Charleston'!$B$145:$B$264=E$3)*('Zehnder Charleston'!$D$145:$D$264=$B7),'Zehnder Charleston'!$J$145:$J$264,"")</f>
        <v>1.28</v>
      </c>
      <c r="F16" s="2" cm="1">
        <f t="array" ref="F16">_xlfn.XLOOKUP(1,('Zehnder Charleston'!$B$145:$B$264=F$3)*('Zehnder Charleston'!$D$145:$D$264=$B7),'Zehnder Charleston'!$J$145:$J$264,"")</f>
        <v>1.28</v>
      </c>
      <c r="G16" s="2" cm="1">
        <f t="array" ref="G16">_xlfn.XLOOKUP(1,('Zehnder Charleston'!$B$145:$B$264=G$3)*('Zehnder Charleston'!$D$145:$D$264=$B7),'Zehnder Charleston'!$J$145:$J$264,"")</f>
        <v>1.28</v>
      </c>
      <c r="H16" s="2" cm="1">
        <f t="array" ref="H16">_xlfn.XLOOKUP(1,('Zehnder Charleston'!$B$145:$B$264=H$3)*('Zehnder Charleston'!$D$145:$D$264=$B7),'Zehnder Charleston'!$J$145:$J$264,"")</f>
        <v>1.28</v>
      </c>
      <c r="I16" s="2" cm="1">
        <f t="array" ref="I16">_xlfn.XLOOKUP(1,('Zehnder Charleston'!$B$145:$B$264=I$3)*('Zehnder Charleston'!$D$145:$D$264=$B7),'Zehnder Charleston'!$J$145:$J$264,"")</f>
        <v>1.28</v>
      </c>
      <c r="J16" s="2" cm="1">
        <f t="array" ref="J16">_xlfn.XLOOKUP(1,('Zehnder Charleston'!$B$145:$B$264=J$3)*('Zehnder Charleston'!$D$145:$D$264=$B7),'Zehnder Charleston'!$J$145:$J$264,"")</f>
        <v>1.28</v>
      </c>
      <c r="K16" s="2" cm="1">
        <f t="array" ref="K16">_xlfn.XLOOKUP(1,('Zehnder Charleston'!$B$145:$B$264=K$3)*('Zehnder Charleston'!$D$145:$D$264=$B7),'Zehnder Charleston'!$J$145:$J$264,"")</f>
        <v>1.29</v>
      </c>
      <c r="L16" s="2" cm="1">
        <f t="array" ref="L16">_xlfn.XLOOKUP(1,('Zehnder Charleston'!$B$145:$B$264=L$3)*('Zehnder Charleston'!$D$145:$D$264=$B7),'Zehnder Charleston'!$J$145:$J$264,"")</f>
        <v>1.29</v>
      </c>
      <c r="M16" s="2" cm="1">
        <f t="array" ref="M16">_xlfn.XLOOKUP(1,('Zehnder Charleston'!$B$145:$B$264=M$3)*('Zehnder Charleston'!$D$145:$D$264=$B7),'Zehnder Charleston'!$J$145:$J$264,"")</f>
        <v>1.29</v>
      </c>
      <c r="N16" s="2" cm="1">
        <f t="array" ref="N16">_xlfn.XLOOKUP(1,('Zehnder Charleston'!$B$145:$B$264=N$3)*('Zehnder Charleston'!$D$145:$D$264=$B7),'Zehnder Charleston'!$J$145:$J$264,"")</f>
        <v>1.3</v>
      </c>
      <c r="O16" s="2" cm="1">
        <f t="array" ref="O16">_xlfn.XLOOKUP(1,('Zehnder Charleston'!$B$145:$B$264=O$3)*('Zehnder Charleston'!$D$145:$D$264=$B7),'Zehnder Charleston'!$J$145:$J$264,"")</f>
        <v>1.31</v>
      </c>
      <c r="P16" s="2" cm="1">
        <f t="array" ref="P16">_xlfn.XLOOKUP(1,('Zehnder Charleston'!$B$145:$B$264=P$3)*('Zehnder Charleston'!$D$145:$D$264=$B7),'Zehnder Charleston'!$J$145:$J$264,"")</f>
        <v>1.31</v>
      </c>
      <c r="Q16" s="2" cm="1">
        <f t="array" ref="Q16">_xlfn.XLOOKUP(1,('Zehnder Charleston'!$B$145:$B$264=Q$3)*('Zehnder Charleston'!$D$145:$D$264=$B7),'Zehnder Charleston'!$J$145:$J$264,"")</f>
        <v>1.31</v>
      </c>
      <c r="R16" s="2" cm="1">
        <f t="array" ref="R16">_xlfn.XLOOKUP(1,('Zehnder Charleston'!$B$145:$B$264=R$3)*('Zehnder Charleston'!$D$145:$D$264=$B7),'Zehnder Charleston'!$J$145:$J$264,"")</f>
        <v>1.31</v>
      </c>
      <c r="S16" s="2" cm="1">
        <f t="array" ref="S16">_xlfn.XLOOKUP(1,('Zehnder Charleston'!$B$145:$B$264=S$3)*('Zehnder Charleston'!$D$145:$D$264=$B7),'Zehnder Charleston'!$J$145:$J$264,"")</f>
        <v>1.31</v>
      </c>
      <c r="T16" s="2" cm="1">
        <f t="array" ref="T16">_xlfn.XLOOKUP(1,('Zehnder Charleston'!$B$145:$B$264=T$3)*('Zehnder Charleston'!$D$145:$D$264=$B7),'Zehnder Charleston'!$J$145:$J$264,"")</f>
        <v>1.32</v>
      </c>
      <c r="U16" s="2" cm="1">
        <f t="array" ref="U16">_xlfn.XLOOKUP(1,('Zehnder Charleston'!$B$145:$B$264=U$3)*('Zehnder Charleston'!$D$145:$D$264=$B7),'Zehnder Charleston'!$J$145:$J$264,"")</f>
        <v>1.32</v>
      </c>
      <c r="V16" s="2" cm="1">
        <f t="array" ref="V16">_xlfn.XLOOKUP(1,('Zehnder Charleston'!$B$145:$B$264=V$3)*('Zehnder Charleston'!$D$145:$D$264=$B7),'Zehnder Charleston'!$J$145:$J$264,"")</f>
        <v>1.32</v>
      </c>
    </row>
    <row r="17" spans="1:28" x14ac:dyDescent="0.2">
      <c r="B17" s="2">
        <f>B8</f>
        <v>210</v>
      </c>
      <c r="C17" s="2" cm="1">
        <f t="array" ref="C17">_xlfn.XLOOKUP(1,('Zehnder Charleston'!$B$145:$B$264=C$3)*('Zehnder Charleston'!$D$145:$D$264=$B8),'Zehnder Charleston'!$J$145:$J$264,"")</f>
        <v>1.27</v>
      </c>
      <c r="D17" s="2" cm="1">
        <f t="array" ref="D17">_xlfn.XLOOKUP(1,('Zehnder Charleston'!$B$145:$B$264=D$3)*('Zehnder Charleston'!$D$145:$D$264=$B8),'Zehnder Charleston'!$J$145:$J$264,"")</f>
        <v>1.27</v>
      </c>
      <c r="E17" s="2" cm="1">
        <f t="array" ref="E17">_xlfn.XLOOKUP(1,('Zehnder Charleston'!$B$145:$B$264=E$3)*('Zehnder Charleston'!$D$145:$D$264=$B8),'Zehnder Charleston'!$J$145:$J$264,"")</f>
        <v>1.28</v>
      </c>
      <c r="F17" s="2" cm="1">
        <f t="array" ref="F17">_xlfn.XLOOKUP(1,('Zehnder Charleston'!$B$145:$B$264=F$3)*('Zehnder Charleston'!$D$145:$D$264=$B8),'Zehnder Charleston'!$J$145:$J$264,"")</f>
        <v>1.28</v>
      </c>
      <c r="G17" s="2" cm="1">
        <f t="array" ref="G17">_xlfn.XLOOKUP(1,('Zehnder Charleston'!$B$145:$B$264=G$3)*('Zehnder Charleston'!$D$145:$D$264=$B8),'Zehnder Charleston'!$J$145:$J$264,"")</f>
        <v>1.28</v>
      </c>
      <c r="H17" s="2" cm="1">
        <f t="array" ref="H17">_xlfn.XLOOKUP(1,('Zehnder Charleston'!$B$145:$B$264=H$3)*('Zehnder Charleston'!$D$145:$D$264=$B8),'Zehnder Charleston'!$J$145:$J$264,"")</f>
        <v>1.28</v>
      </c>
      <c r="I17" s="2" cm="1">
        <f t="array" ref="I17">_xlfn.XLOOKUP(1,('Zehnder Charleston'!$B$145:$B$264=I$3)*('Zehnder Charleston'!$D$145:$D$264=$B8),'Zehnder Charleston'!$J$145:$J$264,"")</f>
        <v>1.28</v>
      </c>
      <c r="J17" s="2" cm="1">
        <f t="array" ref="J17">_xlfn.XLOOKUP(1,('Zehnder Charleston'!$B$145:$B$264=J$3)*('Zehnder Charleston'!$D$145:$D$264=$B8),'Zehnder Charleston'!$J$145:$J$264,"")</f>
        <v>1.28</v>
      </c>
      <c r="K17" s="2" cm="1">
        <f t="array" ref="K17">_xlfn.XLOOKUP(1,('Zehnder Charleston'!$B$145:$B$264=K$3)*('Zehnder Charleston'!$D$145:$D$264=$B8),'Zehnder Charleston'!$J$145:$J$264,"")</f>
        <v>1.29</v>
      </c>
      <c r="L17" s="2" cm="1">
        <f t="array" ref="L17">_xlfn.XLOOKUP(1,('Zehnder Charleston'!$B$145:$B$264=L$3)*('Zehnder Charleston'!$D$145:$D$264=$B8),'Zehnder Charleston'!$J$145:$J$264,"")</f>
        <v>1.29</v>
      </c>
      <c r="M17" s="2" cm="1">
        <f t="array" ref="M17">_xlfn.XLOOKUP(1,('Zehnder Charleston'!$B$145:$B$264=M$3)*('Zehnder Charleston'!$D$145:$D$264=$B8),'Zehnder Charleston'!$J$145:$J$264,"")</f>
        <v>1.29</v>
      </c>
      <c r="N17" s="2" cm="1">
        <f t="array" ref="N17">_xlfn.XLOOKUP(1,('Zehnder Charleston'!$B$145:$B$264=N$3)*('Zehnder Charleston'!$D$145:$D$264=$B8),'Zehnder Charleston'!$J$145:$J$264,"")</f>
        <v>1.3</v>
      </c>
      <c r="O17" s="2" cm="1">
        <f t="array" ref="O17">_xlfn.XLOOKUP(1,('Zehnder Charleston'!$B$145:$B$264=O$3)*('Zehnder Charleston'!$D$145:$D$264=$B8),'Zehnder Charleston'!$J$145:$J$264,"")</f>
        <v>1.31</v>
      </c>
      <c r="P17" s="2" cm="1">
        <f t="array" ref="P17">_xlfn.XLOOKUP(1,('Zehnder Charleston'!$B$145:$B$264=P$3)*('Zehnder Charleston'!$D$145:$D$264=$B8),'Zehnder Charleston'!$J$145:$J$264,"")</f>
        <v>1.31</v>
      </c>
      <c r="Q17" s="2" cm="1">
        <f t="array" ref="Q17">_xlfn.XLOOKUP(1,('Zehnder Charleston'!$B$145:$B$264=Q$3)*('Zehnder Charleston'!$D$145:$D$264=$B8),'Zehnder Charleston'!$J$145:$J$264,"")</f>
        <v>1.31</v>
      </c>
      <c r="R17" s="2" cm="1">
        <f t="array" ref="R17">_xlfn.XLOOKUP(1,('Zehnder Charleston'!$B$145:$B$264=R$3)*('Zehnder Charleston'!$D$145:$D$264=$B8),'Zehnder Charleston'!$J$145:$J$264,"")</f>
        <v>1.31</v>
      </c>
      <c r="S17" s="2" cm="1">
        <f t="array" ref="S17">_xlfn.XLOOKUP(1,('Zehnder Charleston'!$B$145:$B$264=S$3)*('Zehnder Charleston'!$D$145:$D$264=$B8),'Zehnder Charleston'!$J$145:$J$264,"")</f>
        <v>1.31</v>
      </c>
      <c r="T17" s="2" cm="1">
        <f t="array" ref="T17">_xlfn.XLOOKUP(1,('Zehnder Charleston'!$B$145:$B$264=T$3)*('Zehnder Charleston'!$D$145:$D$264=$B8),'Zehnder Charleston'!$J$145:$J$264,"")</f>
        <v>1.32</v>
      </c>
      <c r="U17" s="2" cm="1">
        <f t="array" ref="U17">_xlfn.XLOOKUP(1,('Zehnder Charleston'!$B$145:$B$264=U$3)*('Zehnder Charleston'!$D$145:$D$264=$B8),'Zehnder Charleston'!$J$145:$J$264,"")</f>
        <v>1.32</v>
      </c>
      <c r="V17" s="2" cm="1">
        <f t="array" ref="V17">_xlfn.XLOOKUP(1,('Zehnder Charleston'!$B$145:$B$264=V$3)*('Zehnder Charleston'!$D$145:$D$264=$B8),'Zehnder Charleston'!$J$145:$J$264,"")</f>
        <v>1.32</v>
      </c>
    </row>
    <row r="18" spans="1:28" x14ac:dyDescent="0.2">
      <c r="M18"/>
      <c r="N18"/>
      <c r="O18"/>
      <c r="P18"/>
      <c r="Q18"/>
    </row>
    <row r="19" spans="1:28" ht="26.25" x14ac:dyDescent="0.25">
      <c r="A19" s="57" t="s">
        <v>151</v>
      </c>
      <c r="C19" s="4" t="s">
        <v>2</v>
      </c>
      <c r="M19"/>
      <c r="N19"/>
      <c r="O19"/>
      <c r="P19"/>
      <c r="Q19"/>
    </row>
    <row r="20" spans="1:28" ht="12.75" customHeight="1" x14ac:dyDescent="0.2">
      <c r="A20" s="1" t="s">
        <v>152</v>
      </c>
      <c r="C20" s="5">
        <f t="shared" ref="C20:V20" si="1">C$3</f>
        <v>260</v>
      </c>
      <c r="D20" s="5">
        <f t="shared" si="1"/>
        <v>300</v>
      </c>
      <c r="E20" s="5">
        <f t="shared" si="1"/>
        <v>350</v>
      </c>
      <c r="F20" s="5">
        <f t="shared" si="1"/>
        <v>400</v>
      </c>
      <c r="G20" s="5">
        <f t="shared" si="1"/>
        <v>450</v>
      </c>
      <c r="H20" s="5">
        <f t="shared" si="1"/>
        <v>500</v>
      </c>
      <c r="I20" s="5">
        <f t="shared" si="1"/>
        <v>550</v>
      </c>
      <c r="J20" s="5">
        <f t="shared" si="1"/>
        <v>600</v>
      </c>
      <c r="K20" s="5">
        <f t="shared" si="1"/>
        <v>750</v>
      </c>
      <c r="L20" s="5">
        <f t="shared" si="1"/>
        <v>900</v>
      </c>
      <c r="M20" s="5">
        <f t="shared" si="1"/>
        <v>1000</v>
      </c>
      <c r="N20" s="5">
        <f t="shared" si="1"/>
        <v>1100</v>
      </c>
      <c r="O20" s="5">
        <f t="shared" si="1"/>
        <v>1200</v>
      </c>
      <c r="P20" s="5">
        <f t="shared" si="1"/>
        <v>1500</v>
      </c>
      <c r="Q20" s="5">
        <f t="shared" si="1"/>
        <v>1800</v>
      </c>
      <c r="R20" s="5">
        <f t="shared" si="1"/>
        <v>2000</v>
      </c>
      <c r="S20" s="5">
        <f t="shared" si="1"/>
        <v>2200</v>
      </c>
      <c r="T20" s="5">
        <f t="shared" si="1"/>
        <v>2500</v>
      </c>
      <c r="U20" s="5">
        <f t="shared" si="1"/>
        <v>2800</v>
      </c>
      <c r="V20" s="5">
        <f t="shared" si="1"/>
        <v>3000</v>
      </c>
    </row>
    <row r="21" spans="1:28" ht="12.75" customHeight="1" x14ac:dyDescent="0.2">
      <c r="A21" s="1"/>
      <c r="C21" s="5"/>
      <c r="D21" s="5"/>
      <c r="E21" s="5"/>
      <c r="F21" s="5"/>
      <c r="G21" s="5"/>
      <c r="H21" s="5"/>
      <c r="I21" s="5"/>
      <c r="J21" s="5"/>
      <c r="K21" s="5"/>
      <c r="L21" s="5"/>
      <c r="M21" s="5"/>
      <c r="N21" s="5"/>
      <c r="O21" s="5"/>
      <c r="P21" s="5"/>
      <c r="Q21" s="5"/>
      <c r="R21" s="5"/>
      <c r="S21" s="5"/>
      <c r="T21" s="5"/>
      <c r="U21" s="5"/>
      <c r="V21" s="5"/>
    </row>
    <row r="22" spans="1:28" ht="13.5" customHeight="1" x14ac:dyDescent="0.25">
      <c r="A22" s="4" t="s">
        <v>3</v>
      </c>
      <c r="B22" s="2">
        <f>B4</f>
        <v>62</v>
      </c>
      <c r="C22" s="2" cm="1">
        <f t="array" ref="C22">_xlfn.XLOOKUP(1,('Zehnder Charleston'!$B$145:$B$264=C$3)*('Zehnder Charleston'!$D$145:$D$264=$B4),'Zehnder Charleston'!$G$145:$G$264,"")</f>
        <v>0.47</v>
      </c>
      <c r="D22" s="2" cm="1">
        <f t="array" ref="D22">_xlfn.XLOOKUP(1,('Zehnder Charleston'!$B$145:$B$264=D$2)*('Zehnder Charleston'!$D$145:$D$264=$B4),'Zehnder Charleston'!$G$145:$G$264,"")</f>
        <v>0.51</v>
      </c>
      <c r="E22" s="2" cm="1">
        <f t="array" ref="E22">_xlfn.XLOOKUP(1,('Zehnder Charleston'!$B$145:$B$264=E$2)*('Zehnder Charleston'!$D$145:$D$264=$B4),'Zehnder Charleston'!$G$145:$G$264,"")</f>
        <v>0.57999999999999996</v>
      </c>
      <c r="F22" s="2" cm="1">
        <f t="array" ref="F22">_xlfn.XLOOKUP(1,('Zehnder Charleston'!$B$145:$B$264=F$2)*('Zehnder Charleston'!$D$145:$D$264=$B4),'Zehnder Charleston'!$G$145:$G$264,"")</f>
        <v>0.62</v>
      </c>
      <c r="G22" s="2" cm="1">
        <f t="array" ref="G22">_xlfn.XLOOKUP(1,('Zehnder Charleston'!$B$145:$B$264=G$2)*('Zehnder Charleston'!$D$145:$D$264=$B4),'Zehnder Charleston'!$G$145:$G$264,"")</f>
        <v>0.69</v>
      </c>
      <c r="H22" s="2" cm="1">
        <f t="array" ref="H22">_xlfn.XLOOKUP(1,('Zehnder Charleston'!$B$145:$B$264=H$2)*('Zehnder Charleston'!$D$145:$D$264=$B4),'Zehnder Charleston'!$G$145:$G$264,"")</f>
        <v>0.75</v>
      </c>
      <c r="I22" s="2" cm="1">
        <f t="array" ref="I22">_xlfn.XLOOKUP(1,('Zehnder Charleston'!$B$145:$B$264=I$2)*('Zehnder Charleston'!$D$145:$D$264=$B4),'Zehnder Charleston'!$G$145:$G$264,"")</f>
        <v>0.82</v>
      </c>
      <c r="J22" s="2" cm="1">
        <f t="array" ref="J22">_xlfn.XLOOKUP(1,('Zehnder Charleston'!$B$145:$B$264=J$2)*('Zehnder Charleston'!$D$145:$D$264=$B4),'Zehnder Charleston'!$G$145:$G$264,"")</f>
        <v>0.88</v>
      </c>
      <c r="K22" s="2" cm="1">
        <f t="array" ref="K22">_xlfn.XLOOKUP(1,('Zehnder Charleston'!$B$145:$B$264=K$2)*('Zehnder Charleston'!$D$145:$D$264=$B4),'Zehnder Charleston'!$G$145:$G$264,"")</f>
        <v>1.08</v>
      </c>
      <c r="L22" s="2" cm="1">
        <f t="array" ref="L22">_xlfn.XLOOKUP(1,('Zehnder Charleston'!$B$145:$B$264=L$2)*('Zehnder Charleston'!$D$145:$D$264=$B4),'Zehnder Charleston'!$G$145:$G$264,"")</f>
        <v>1.28</v>
      </c>
      <c r="M22" s="2" cm="1">
        <f t="array" ref="M22">_xlfn.XLOOKUP(1,('Zehnder Charleston'!$B$145:$B$264=M$2)*('Zehnder Charleston'!$D$145:$D$264=$B4),'Zehnder Charleston'!$G$145:$G$264,"")</f>
        <v>1.41</v>
      </c>
      <c r="N22" s="2" cm="1">
        <f t="array" ref="N22">_xlfn.XLOOKUP(1,('Zehnder Charleston'!$B$145:$B$264=N$2)*('Zehnder Charleston'!$D$145:$D$264=$B4),'Zehnder Charleston'!$G$145:$G$264,"")</f>
        <v>1.54</v>
      </c>
      <c r="O22" s="2" cm="1">
        <f t="array" ref="O22">_xlfn.XLOOKUP(1,('Zehnder Charleston'!$B$145:$B$264=O$2)*('Zehnder Charleston'!$D$145:$D$264=$B4),'Zehnder Charleston'!$G$145:$G$264,"")</f>
        <v>1.67</v>
      </c>
      <c r="P22" s="2" cm="1">
        <f t="array" ref="P22">_xlfn.XLOOKUP(1,('Zehnder Charleston'!$B$145:$B$264=P$2)*('Zehnder Charleston'!$D$145:$D$264=$B4),'Zehnder Charleston'!$G$145:$G$264,"")</f>
        <v>2.0699999999999998</v>
      </c>
      <c r="Q22" s="2" cm="1">
        <f t="array" ref="Q22">_xlfn.XLOOKUP(1,('Zehnder Charleston'!$B$145:$B$264=Q$2)*('Zehnder Charleston'!$D$145:$D$264=$B4),'Zehnder Charleston'!$G$145:$G$264,"")</f>
        <v>2.46</v>
      </c>
      <c r="R22" s="2" cm="1">
        <f t="array" ref="R22">_xlfn.XLOOKUP(1,('Zehnder Charleston'!$B$145:$B$264=R$2)*('Zehnder Charleston'!$D$145:$D$264=$B4),'Zehnder Charleston'!$G$145:$G$264,"")</f>
        <v>2.72</v>
      </c>
      <c r="S22" s="2" cm="1">
        <f t="array" ref="S22">_xlfn.XLOOKUP(1,('Zehnder Charleston'!$B$145:$B$264=S$2)*('Zehnder Charleston'!$D$145:$D$264=$B4),'Zehnder Charleston'!$G$145:$G$264,"")</f>
        <v>2.98</v>
      </c>
      <c r="T22" s="2" cm="1">
        <f t="array" ref="T22">_xlfn.XLOOKUP(1,('Zehnder Charleston'!$B$145:$B$264=T$2)*('Zehnder Charleston'!$D$145:$D$264=$B4),'Zehnder Charleston'!$G$145:$G$264,"")</f>
        <v>3.38</v>
      </c>
      <c r="U22" s="2" cm="1">
        <f t="array" ref="U22">_xlfn.XLOOKUP(1,('Zehnder Charleston'!$B$145:$B$264=U$2)*('Zehnder Charleston'!$D$145:$D$264=$B4),'Zehnder Charleston'!$G$145:$G$264,"")</f>
        <v>3.77</v>
      </c>
      <c r="V22" s="2" cm="1">
        <f t="array" ref="V22">_xlfn.XLOOKUP(1,('Zehnder Charleston'!$B$145:$B$264=V$2)*('Zehnder Charleston'!$D$145:$D$264=$B4),'Zehnder Charleston'!$G$145:$G$264,"")</f>
        <v>4.03</v>
      </c>
      <c r="AB22" s="2" t="str" cm="1">
        <f t="array" ref="AB22">_xlfn.XLOOKUP(1,('Zehnder Charleston'!$B$2:$B$138=V$3)*('Zehnder Charleston'!$D$2:$D$138=$B4),'Zehnder Charleston'!$G$2:$G$138,"")</f>
        <v/>
      </c>
    </row>
    <row r="23" spans="1:28" ht="12.75" customHeight="1" x14ac:dyDescent="0.2">
      <c r="B23" s="2">
        <f>B5</f>
        <v>100</v>
      </c>
      <c r="C23" s="2" cm="1">
        <f t="array" ref="C23">_xlfn.XLOOKUP(1,('Zehnder Charleston'!$B$145:$B$264=C$3)*('Zehnder Charleston'!$D$145:$D$264=$B5),'Zehnder Charleston'!$G$145:$G$264,"")</f>
        <v>0.63</v>
      </c>
      <c r="D23" s="2" cm="1">
        <f t="array" ref="D23">_xlfn.XLOOKUP(1,('Zehnder Charleston'!$B$145:$B$264=D$3)*('Zehnder Charleston'!$D$145:$D$264=$B5),'Zehnder Charleston'!$G$145:$G$264,"")</f>
        <v>0.71</v>
      </c>
      <c r="E23" s="2" cm="1">
        <f t="array" ref="E23">_xlfn.XLOOKUP(1,('Zehnder Charleston'!$B$145:$B$264=E$3)*('Zehnder Charleston'!$D$145:$D$264=$B5),'Zehnder Charleston'!$G$145:$G$264,"")</f>
        <v>0.8</v>
      </c>
      <c r="F23" s="2" cm="1">
        <f t="array" ref="F23">_xlfn.XLOOKUP(1,('Zehnder Charleston'!$B$145:$B$264=F$3)*('Zehnder Charleston'!$D$145:$D$264=$B5),'Zehnder Charleston'!$G$145:$G$264,"")</f>
        <v>0.91</v>
      </c>
      <c r="G23" s="2" cm="1">
        <f t="array" ref="G23">_xlfn.XLOOKUP(1,('Zehnder Charleston'!$B$145:$B$264=G$3)*('Zehnder Charleston'!$D$145:$D$264=$B5),'Zehnder Charleston'!$G$145:$G$264,"")</f>
        <v>1.01</v>
      </c>
      <c r="H23" s="2" cm="1">
        <f t="array" ref="H23">_xlfn.XLOOKUP(1,('Zehnder Charleston'!$B$145:$B$264=H$3)*('Zehnder Charleston'!$D$145:$D$264=$B5),'Zehnder Charleston'!$G$145:$G$264,"")</f>
        <v>1.1000000000000001</v>
      </c>
      <c r="I23" s="2" cm="1">
        <f t="array" ref="I23">_xlfn.XLOOKUP(1,('Zehnder Charleston'!$B$145:$B$264=I$3)*('Zehnder Charleston'!$D$145:$D$264=$B5),'Zehnder Charleston'!$G$145:$G$264,"")</f>
        <v>1.2</v>
      </c>
      <c r="J23" s="2" cm="1">
        <f t="array" ref="J23">_xlfn.XLOOKUP(1,('Zehnder Charleston'!$B$145:$B$264=J$3)*('Zehnder Charleston'!$D$145:$D$264=$B5),'Zehnder Charleston'!$G$145:$G$264,"")</f>
        <v>1.3</v>
      </c>
      <c r="K23" s="2" cm="1">
        <f t="array" ref="K23">_xlfn.XLOOKUP(1,('Zehnder Charleston'!$B$145:$B$264=K$3)*('Zehnder Charleston'!$D$145:$D$264=$B5),'Zehnder Charleston'!$G$145:$G$264,"")</f>
        <v>1.59</v>
      </c>
      <c r="L23" s="2" cm="1">
        <f t="array" ref="L23">_xlfn.XLOOKUP(1,('Zehnder Charleston'!$B$145:$B$264=L$3)*('Zehnder Charleston'!$D$145:$D$264=$B5),'Zehnder Charleston'!$G$145:$G$264,"")</f>
        <v>1.89</v>
      </c>
      <c r="M23" s="2" cm="1">
        <f t="array" ref="M23">_xlfn.XLOOKUP(1,('Zehnder Charleston'!$B$145:$B$264=M$3)*('Zehnder Charleston'!$D$145:$D$264=$B5),'Zehnder Charleston'!$G$145:$G$264,"")</f>
        <v>2.08</v>
      </c>
      <c r="N23" s="2" cm="1">
        <f t="array" ref="N23">_xlfn.XLOOKUP(1,('Zehnder Charleston'!$B$145:$B$264=N$3)*('Zehnder Charleston'!$D$145:$D$264=$B5),'Zehnder Charleston'!$G$145:$G$264,"")</f>
        <v>2.2799999999999998</v>
      </c>
      <c r="O23" s="2" cm="1">
        <f t="array" ref="O23">_xlfn.XLOOKUP(1,('Zehnder Charleston'!$B$145:$B$264=O$3)*('Zehnder Charleston'!$D$145:$D$264=$B5),'Zehnder Charleston'!$G$145:$G$264,"")</f>
        <v>2.48</v>
      </c>
      <c r="P23" s="2" cm="1">
        <f t="array" ref="P23">_xlfn.XLOOKUP(1,('Zehnder Charleston'!$B$145:$B$264=P$3)*('Zehnder Charleston'!$D$145:$D$264=$B5),'Zehnder Charleston'!$G$145:$G$264,"")</f>
        <v>3.06</v>
      </c>
      <c r="Q23" s="2" cm="1">
        <f t="array" ref="Q23">_xlfn.XLOOKUP(1,('Zehnder Charleston'!$B$145:$B$264=Q$3)*('Zehnder Charleston'!$D$145:$D$264=$B5),'Zehnder Charleston'!$G$145:$G$264,"")</f>
        <v>3.65</v>
      </c>
      <c r="R23" s="2" cm="1">
        <f t="array" ref="R23">_xlfn.XLOOKUP(1,('Zehnder Charleston'!$B$145:$B$264=R$3)*('Zehnder Charleston'!$D$145:$D$264=$B5),'Zehnder Charleston'!$G$145:$G$264,"")</f>
        <v>4.04</v>
      </c>
      <c r="S23" s="2" cm="1">
        <f t="array" ref="S23">_xlfn.XLOOKUP(1,('Zehnder Charleston'!$B$145:$B$264=S$3)*('Zehnder Charleston'!$D$145:$D$264=$B5),'Zehnder Charleston'!$G$145:$G$264,"")</f>
        <v>4.4400000000000004</v>
      </c>
      <c r="T23" s="2" cm="1">
        <f t="array" ref="T23">_xlfn.XLOOKUP(1,('Zehnder Charleston'!$B$145:$B$264=T$3)*('Zehnder Charleston'!$D$145:$D$264=$B5),'Zehnder Charleston'!$G$145:$G$264,"")</f>
        <v>5.0199999999999996</v>
      </c>
      <c r="U23" s="2" cm="1">
        <f t="array" ref="U23">_xlfn.XLOOKUP(1,('Zehnder Charleston'!$B$145:$B$264=U$3)*('Zehnder Charleston'!$D$145:$D$264=$B5),'Zehnder Charleston'!$G$145:$G$264,"")</f>
        <v>5.61</v>
      </c>
      <c r="V23" s="2" cm="1">
        <f t="array" ref="V23">_xlfn.XLOOKUP(1,('Zehnder Charleston'!$B$145:$B$264=V$3)*('Zehnder Charleston'!$D$145:$D$264=$B5),'Zehnder Charleston'!$G$145:$G$264,"")</f>
        <v>6</v>
      </c>
    </row>
    <row r="24" spans="1:28" ht="12.75" customHeight="1" x14ac:dyDescent="0.2">
      <c r="B24" s="2">
        <f>B6</f>
        <v>136</v>
      </c>
      <c r="C24" s="2" cm="1">
        <f t="array" ref="C24">_xlfn.XLOOKUP(1,('Zehnder Charleston'!$B$145:$B$264=C$3)*('Zehnder Charleston'!$D$145:$D$264=$B6),'Zehnder Charleston'!$G$145:$G$264,"")</f>
        <v>0.85</v>
      </c>
      <c r="D24" s="2" cm="1">
        <f t="array" ref="D24">_xlfn.XLOOKUP(1,('Zehnder Charleston'!$B$145:$B$264=D$3)*('Zehnder Charleston'!$D$145:$D$264=$B6),'Zehnder Charleston'!$G$145:$G$264,"")</f>
        <v>0.95</v>
      </c>
      <c r="E24" s="2" cm="1">
        <f t="array" ref="E24">_xlfn.XLOOKUP(1,('Zehnder Charleston'!$B$145:$B$264=E$3)*('Zehnder Charleston'!$D$145:$D$264=$B6),'Zehnder Charleston'!$G$145:$G$264,"")</f>
        <v>1.08</v>
      </c>
      <c r="F24" s="2" cm="1">
        <f t="array" ref="F24">_xlfn.XLOOKUP(1,('Zehnder Charleston'!$B$145:$B$264=F$3)*('Zehnder Charleston'!$D$145:$D$264=$B6),'Zehnder Charleston'!$G$145:$G$264,"")</f>
        <v>1.23</v>
      </c>
      <c r="G24" s="2" cm="1">
        <f t="array" ref="G24">_xlfn.XLOOKUP(1,('Zehnder Charleston'!$B$145:$B$264=G$3)*('Zehnder Charleston'!$D$145:$D$264=$B6),'Zehnder Charleston'!$G$145:$G$264,"")</f>
        <v>1.36</v>
      </c>
      <c r="H24" s="2" cm="1">
        <f t="array" ref="H24">_xlfn.XLOOKUP(1,('Zehnder Charleston'!$B$145:$B$264=H$3)*('Zehnder Charleston'!$D$145:$D$264=$B6),'Zehnder Charleston'!$G$145:$G$264,"")</f>
        <v>1.49</v>
      </c>
      <c r="I24" s="2" cm="1">
        <f t="array" ref="I24">_xlfn.XLOOKUP(1,('Zehnder Charleston'!$B$145:$B$264=I$3)*('Zehnder Charleston'!$D$145:$D$264=$B6),'Zehnder Charleston'!$G$145:$G$264,"")</f>
        <v>1.62</v>
      </c>
      <c r="J24" s="2" cm="1">
        <f t="array" ref="J24">_xlfn.XLOOKUP(1,('Zehnder Charleston'!$B$145:$B$264=J$3)*('Zehnder Charleston'!$D$145:$D$264=$B6),'Zehnder Charleston'!$G$145:$G$264,"")</f>
        <v>1.75</v>
      </c>
      <c r="K24" s="2" cm="1">
        <f t="array" ref="K24">_xlfn.XLOOKUP(1,('Zehnder Charleston'!$B$145:$B$264=K$3)*('Zehnder Charleston'!$D$145:$D$264=$B6),'Zehnder Charleston'!$G$145:$G$264,"")</f>
        <v>2.13</v>
      </c>
      <c r="L24" s="2" cm="1">
        <f t="array" ref="L24">_xlfn.XLOOKUP(1,('Zehnder Charleston'!$B$145:$B$264=L$3)*('Zehnder Charleston'!$D$145:$D$264=$B6),'Zehnder Charleston'!$G$145:$G$264,"")</f>
        <v>2.52</v>
      </c>
      <c r="M24" s="2" cm="1">
        <f t="array" ref="M24">_xlfn.XLOOKUP(1,('Zehnder Charleston'!$B$145:$B$264=M$3)*('Zehnder Charleston'!$D$145:$D$264=$B6),'Zehnder Charleston'!$G$145:$G$264,"")</f>
        <v>2.78</v>
      </c>
      <c r="N24" s="2" cm="1">
        <f t="array" ref="N24">_xlfn.XLOOKUP(1,('Zehnder Charleston'!$B$145:$B$264=N$3)*('Zehnder Charleston'!$D$145:$D$264=$B6),'Zehnder Charleston'!$G$145:$G$264,"")</f>
        <v>3.03</v>
      </c>
      <c r="O24" s="2" cm="1">
        <f t="array" ref="O24">_xlfn.XLOOKUP(1,('Zehnder Charleston'!$B$145:$B$264=O$3)*('Zehnder Charleston'!$D$145:$D$264=$B6),'Zehnder Charleston'!$G$145:$G$264,"")</f>
        <v>3.29</v>
      </c>
      <c r="P24" s="2" cm="1">
        <f t="array" ref="P24">_xlfn.XLOOKUP(1,('Zehnder Charleston'!$B$145:$B$264=P$3)*('Zehnder Charleston'!$D$145:$D$264=$B6),'Zehnder Charleston'!$G$145:$G$264,"")</f>
        <v>4.0599999999999996</v>
      </c>
      <c r="Q24" s="2" cm="1">
        <f t="array" ref="Q24">_xlfn.XLOOKUP(1,('Zehnder Charleston'!$B$145:$B$264=Q$3)*('Zehnder Charleston'!$D$145:$D$264=$B6),'Zehnder Charleston'!$G$145:$G$264,"")</f>
        <v>4.83</v>
      </c>
      <c r="R24" s="2" cm="1">
        <f t="array" ref="R24">_xlfn.XLOOKUP(1,('Zehnder Charleston'!$B$145:$B$264=R$3)*('Zehnder Charleston'!$D$145:$D$264=$B6),'Zehnder Charleston'!$G$145:$G$264,"")</f>
        <v>5.35</v>
      </c>
      <c r="S24" s="2" cm="1">
        <f t="array" ref="S24">_xlfn.XLOOKUP(1,('Zehnder Charleston'!$B$145:$B$264=S$3)*('Zehnder Charleston'!$D$145:$D$264=$B6),'Zehnder Charleston'!$G$145:$G$264,"")</f>
        <v>5.86</v>
      </c>
      <c r="T24" s="2" cm="1">
        <f t="array" ref="T24">_xlfn.XLOOKUP(1,('Zehnder Charleston'!$B$145:$B$264=T$3)*('Zehnder Charleston'!$D$145:$D$264=$B6),'Zehnder Charleston'!$G$145:$G$264,"")</f>
        <v>6.64</v>
      </c>
      <c r="U24" s="2" cm="1">
        <f t="array" ref="U24">_xlfn.XLOOKUP(1,('Zehnder Charleston'!$B$145:$B$264=U$3)*('Zehnder Charleston'!$D$145:$D$264=$B6),'Zehnder Charleston'!$G$145:$G$264,"")</f>
        <v>7.41</v>
      </c>
      <c r="V24" s="2" cm="1">
        <f t="array" ref="V24">_xlfn.XLOOKUP(1,('Zehnder Charleston'!$B$145:$B$264=V$3)*('Zehnder Charleston'!$D$145:$D$264=$B6),'Zehnder Charleston'!$G$145:$G$264,"")</f>
        <v>7.92</v>
      </c>
    </row>
    <row r="25" spans="1:28" ht="12.75" customHeight="1" x14ac:dyDescent="0.2">
      <c r="B25" s="2">
        <f>B7</f>
        <v>173</v>
      </c>
      <c r="C25" s="2" cm="1">
        <f t="array" ref="C25">_xlfn.XLOOKUP(1,('Zehnder Charleston'!$B$145:$B$264=C$3)*('Zehnder Charleston'!$D$145:$D$264=$B7),'Zehnder Charleston'!$G$145:$G$264,"")</f>
        <v>0.95</v>
      </c>
      <c r="D25" s="2" cm="1">
        <f t="array" ref="D25">_xlfn.XLOOKUP(1,('Zehnder Charleston'!$B$145:$B$264=D$3)*('Zehnder Charleston'!$D$145:$D$264=$B7),'Zehnder Charleston'!$G$145:$G$264,"")</f>
        <v>1.08</v>
      </c>
      <c r="E25" s="2" cm="1">
        <f t="array" ref="E25">_xlfn.XLOOKUP(1,('Zehnder Charleston'!$B$145:$B$264=E$3)*('Zehnder Charleston'!$D$145:$D$264=$B7),'Zehnder Charleston'!$G$145:$G$264,"")</f>
        <v>1.25</v>
      </c>
      <c r="F25" s="2" cm="1">
        <f t="array" ref="F25">_xlfn.XLOOKUP(1,('Zehnder Charleston'!$B$145:$B$264=F$3)*('Zehnder Charleston'!$D$145:$D$264=$B7),'Zehnder Charleston'!$G$145:$G$264,"")</f>
        <v>1.58</v>
      </c>
      <c r="G25" s="2" cm="1">
        <f t="array" ref="G25">_xlfn.XLOOKUP(1,('Zehnder Charleston'!$B$145:$B$264=G$3)*('Zehnder Charleston'!$D$145:$D$264=$B7),'Zehnder Charleston'!$G$145:$G$264,"")</f>
        <v>1.74</v>
      </c>
      <c r="H25" s="2" cm="1">
        <f t="array" ref="H25">_xlfn.XLOOKUP(1,('Zehnder Charleston'!$B$145:$B$264=H$3)*('Zehnder Charleston'!$D$145:$D$264=$B7),'Zehnder Charleston'!$G$145:$G$264,"")</f>
        <v>1.91</v>
      </c>
      <c r="I25" s="2" cm="1">
        <f t="array" ref="I25">_xlfn.XLOOKUP(1,('Zehnder Charleston'!$B$145:$B$264=I$3)*('Zehnder Charleston'!$D$145:$D$264=$B7),'Zehnder Charleston'!$G$145:$G$264,"")</f>
        <v>2.0699999999999998</v>
      </c>
      <c r="J25" s="2" cm="1">
        <f t="array" ref="J25">_xlfn.XLOOKUP(1,('Zehnder Charleston'!$B$145:$B$264=J$3)*('Zehnder Charleston'!$D$145:$D$264=$B7),'Zehnder Charleston'!$G$145:$G$264,"")</f>
        <v>2.23</v>
      </c>
      <c r="K25" s="2" cm="1">
        <f t="array" ref="K25">_xlfn.XLOOKUP(1,('Zehnder Charleston'!$B$145:$B$264=K$3)*('Zehnder Charleston'!$D$145:$D$264=$B7),'Zehnder Charleston'!$G$145:$G$264,"")</f>
        <v>2.72</v>
      </c>
      <c r="L25" s="2" cm="1">
        <f t="array" ref="L25">_xlfn.XLOOKUP(1,('Zehnder Charleston'!$B$145:$B$264=L$3)*('Zehnder Charleston'!$D$145:$D$264=$B7),'Zehnder Charleston'!$G$145:$G$264,"")</f>
        <v>3.21</v>
      </c>
      <c r="M25" s="2" cm="1">
        <f t="array" ref="M25">_xlfn.XLOOKUP(1,('Zehnder Charleston'!$B$145:$B$264=M$3)*('Zehnder Charleston'!$D$145:$D$264=$B7),'Zehnder Charleston'!$G$145:$G$264,"")</f>
        <v>3.54</v>
      </c>
      <c r="N25" s="2" cm="1">
        <f t="array" ref="N25">_xlfn.XLOOKUP(1,('Zehnder Charleston'!$B$145:$B$264=N$3)*('Zehnder Charleston'!$D$145:$D$264=$B7),'Zehnder Charleston'!$G$145:$G$264,"")</f>
        <v>3.87</v>
      </c>
      <c r="O25" s="2" cm="1">
        <f t="array" ref="O25">_xlfn.XLOOKUP(1,('Zehnder Charleston'!$B$145:$B$264=O$3)*('Zehnder Charleston'!$D$145:$D$264=$B7),'Zehnder Charleston'!$G$145:$G$264,"")</f>
        <v>4.1900000000000004</v>
      </c>
      <c r="P25" s="2" cm="1">
        <f t="array" ref="P25">_xlfn.XLOOKUP(1,('Zehnder Charleston'!$B$145:$B$264=P$3)*('Zehnder Charleston'!$D$145:$D$264=$B7),'Zehnder Charleston'!$G$145:$G$264,"")</f>
        <v>5.17</v>
      </c>
      <c r="Q25" s="2" cm="1">
        <f t="array" ref="Q25">_xlfn.XLOOKUP(1,('Zehnder Charleston'!$B$145:$B$264=Q$3)*('Zehnder Charleston'!$D$145:$D$264=$B7),'Zehnder Charleston'!$G$145:$G$264,"")</f>
        <v>6.15</v>
      </c>
      <c r="R25" s="2" cm="1">
        <f t="array" ref="R25">_xlfn.XLOOKUP(1,('Zehnder Charleston'!$B$145:$B$264=R$3)*('Zehnder Charleston'!$D$145:$D$264=$B7),'Zehnder Charleston'!$G$145:$G$264,"")</f>
        <v>6.81</v>
      </c>
      <c r="S25" s="2" cm="1">
        <f t="array" ref="S25">_xlfn.XLOOKUP(1,('Zehnder Charleston'!$B$145:$B$264=S$3)*('Zehnder Charleston'!$D$145:$D$264=$B7),'Zehnder Charleston'!$G$145:$G$264,"")</f>
        <v>7.46</v>
      </c>
      <c r="T25" s="2" cm="1">
        <f t="array" ref="T25">_xlfn.XLOOKUP(1,('Zehnder Charleston'!$B$145:$B$264=T$3)*('Zehnder Charleston'!$D$145:$D$264=$B7),'Zehnder Charleston'!$G$145:$G$264,"")</f>
        <v>8.44</v>
      </c>
      <c r="U25" s="2" cm="1">
        <f t="array" ref="U25">_xlfn.XLOOKUP(1,('Zehnder Charleston'!$B$145:$B$264=U$3)*('Zehnder Charleston'!$D$145:$D$264=$B7),'Zehnder Charleston'!$G$145:$G$264,"")</f>
        <v>9.42</v>
      </c>
      <c r="V25" s="2" cm="1">
        <f t="array" ref="V25">_xlfn.XLOOKUP(1,('Zehnder Charleston'!$B$145:$B$264=V$3)*('Zehnder Charleston'!$D$145:$D$264=$B7),'Zehnder Charleston'!$G$145:$G$264,"")</f>
        <v>10.08</v>
      </c>
    </row>
    <row r="26" spans="1:28" x14ac:dyDescent="0.2">
      <c r="B26" s="2">
        <f>B8</f>
        <v>210</v>
      </c>
      <c r="C26" s="2" cm="1">
        <f t="array" ref="C26">_xlfn.XLOOKUP(1,('Zehnder Charleston'!$B$145:$B$264=C$3)*('Zehnder Charleston'!$D$145:$D$264=$B8),'Zehnder Charleston'!$G$145:$G$264,"")</f>
        <v>1.33</v>
      </c>
      <c r="D26" s="2" cm="1">
        <f t="array" ref="D26">_xlfn.XLOOKUP(1,('Zehnder Charleston'!$B$145:$B$264=D$3)*('Zehnder Charleston'!$D$145:$D$264=$B8),'Zehnder Charleston'!$G$145:$G$264,"")</f>
        <v>1.49</v>
      </c>
      <c r="E26" s="2" cm="1">
        <f t="array" ref="E26">_xlfn.XLOOKUP(1,('Zehnder Charleston'!$B$145:$B$264=E$3)*('Zehnder Charleston'!$D$145:$D$264=$B8),'Zehnder Charleston'!$G$145:$G$264,"")</f>
        <v>1.69</v>
      </c>
      <c r="F26" s="2" cm="1">
        <f t="array" ref="F26">_xlfn.XLOOKUP(1,('Zehnder Charleston'!$B$145:$B$264=F$3)*('Zehnder Charleston'!$D$145:$D$264=$B8),'Zehnder Charleston'!$G$145:$G$264,"")</f>
        <v>1.87</v>
      </c>
      <c r="G26" s="2" cm="1">
        <f t="array" ref="G26">_xlfn.XLOOKUP(1,('Zehnder Charleston'!$B$145:$B$264=G$3)*('Zehnder Charleston'!$D$145:$D$264=$B8),'Zehnder Charleston'!$G$145:$G$264,"")</f>
        <v>2.06</v>
      </c>
      <c r="H26" s="2" cm="1">
        <f t="array" ref="H26">_xlfn.XLOOKUP(1,('Zehnder Charleston'!$B$145:$B$264=H$3)*('Zehnder Charleston'!$D$145:$D$264=$B8),'Zehnder Charleston'!$G$145:$G$264,"")</f>
        <v>2.2599999999999998</v>
      </c>
      <c r="I26" s="2" cm="1">
        <f t="array" ref="I26">_xlfn.XLOOKUP(1,('Zehnder Charleston'!$B$145:$B$264=I$3)*('Zehnder Charleston'!$D$145:$D$264=$B8),'Zehnder Charleston'!$G$145:$G$264,"")</f>
        <v>2.46</v>
      </c>
      <c r="J26" s="2" cm="1">
        <f t="array" ref="J26">_xlfn.XLOOKUP(1,('Zehnder Charleston'!$B$145:$B$264=J$3)*('Zehnder Charleston'!$D$145:$D$264=$B8),'Zehnder Charleston'!$G$145:$G$264,"")</f>
        <v>2.65</v>
      </c>
      <c r="K26" s="2" cm="1">
        <f t="array" ref="K26">_xlfn.XLOOKUP(1,('Zehnder Charleston'!$B$145:$B$264=K$3)*('Zehnder Charleston'!$D$145:$D$264=$B8),'Zehnder Charleston'!$G$145:$G$264,"")</f>
        <v>3.25</v>
      </c>
      <c r="L26" s="2" cm="1">
        <f t="array" ref="L26">_xlfn.XLOOKUP(1,('Zehnder Charleston'!$B$145:$B$264=L$3)*('Zehnder Charleston'!$D$145:$D$264=$B8),'Zehnder Charleston'!$G$145:$G$264,"")</f>
        <v>3.84</v>
      </c>
      <c r="M26" s="2" cm="1">
        <f t="array" ref="M26">_xlfn.XLOOKUP(1,('Zehnder Charleston'!$B$145:$B$264=M$3)*('Zehnder Charleston'!$D$145:$D$264=$B8),'Zehnder Charleston'!$G$145:$G$264,"")</f>
        <v>4.2300000000000004</v>
      </c>
      <c r="N26" s="2" cm="1">
        <f t="array" ref="N26">_xlfn.XLOOKUP(1,('Zehnder Charleston'!$B$145:$B$264=N$3)*('Zehnder Charleston'!$D$145:$D$264=$B8),'Zehnder Charleston'!$G$145:$G$264,"")</f>
        <v>4.62</v>
      </c>
      <c r="O26" s="2" cm="1">
        <f t="array" ref="O26">_xlfn.XLOOKUP(1,('Zehnder Charleston'!$B$145:$B$264=O$3)*('Zehnder Charleston'!$D$145:$D$264=$B8),'Zehnder Charleston'!$G$145:$G$264,"")</f>
        <v>5.0199999999999996</v>
      </c>
      <c r="P26" s="2" cm="1">
        <f t="array" ref="P26">_xlfn.XLOOKUP(1,('Zehnder Charleston'!$B$145:$B$264=P$3)*('Zehnder Charleston'!$D$145:$D$264=$B8),'Zehnder Charleston'!$G$145:$G$264,"")</f>
        <v>6.2</v>
      </c>
      <c r="Q26" s="2" cm="1">
        <f t="array" ref="Q26">_xlfn.XLOOKUP(1,('Zehnder Charleston'!$B$145:$B$264=Q$3)*('Zehnder Charleston'!$D$145:$D$264=$B8),'Zehnder Charleston'!$G$145:$G$264,"")</f>
        <v>7.38</v>
      </c>
      <c r="R26" s="2" cm="1">
        <f t="array" ref="R26">_xlfn.XLOOKUP(1,('Zehnder Charleston'!$B$145:$B$264=R$3)*('Zehnder Charleston'!$D$145:$D$264=$B8),'Zehnder Charleston'!$G$145:$G$264,"")</f>
        <v>8.17</v>
      </c>
      <c r="S26" s="2" cm="1">
        <f t="array" ref="S26">_xlfn.XLOOKUP(1,('Zehnder Charleston'!$B$145:$B$264=S$3)*('Zehnder Charleston'!$D$145:$D$264=$B8),'Zehnder Charleston'!$G$145:$G$264,"")</f>
        <v>8.9600000000000009</v>
      </c>
      <c r="T26" s="2" cm="1">
        <f t="array" ref="T26">_xlfn.XLOOKUP(1,('Zehnder Charleston'!$B$145:$B$264=T$3)*('Zehnder Charleston'!$D$145:$D$264=$B8),'Zehnder Charleston'!$G$145:$G$264,"")</f>
        <v>10.14</v>
      </c>
      <c r="U26" s="2" cm="1">
        <f t="array" ref="U26">_xlfn.XLOOKUP(1,('Zehnder Charleston'!$B$145:$B$264=U$3)*('Zehnder Charleston'!$D$145:$D$264=$B8),'Zehnder Charleston'!$G$145:$G$264,"")</f>
        <v>11.32</v>
      </c>
      <c r="V26" s="2" cm="1">
        <f t="array" ref="V26">_xlfn.XLOOKUP(1,('Zehnder Charleston'!$B$145:$B$264=V$3)*('Zehnder Charleston'!$D$145:$D$264=$B8),'Zehnder Charleston'!$G$145:$G$264,"")</f>
        <v>12.11</v>
      </c>
    </row>
    <row r="27" spans="1:28" x14ac:dyDescent="0.2">
      <c r="C27" s="8"/>
      <c r="D27" s="8"/>
      <c r="E27" s="8"/>
      <c r="F27" s="8"/>
      <c r="G27" s="8"/>
      <c r="H27" s="8"/>
      <c r="I27" s="8"/>
      <c r="J27" s="8"/>
      <c r="K27" s="8"/>
      <c r="L27" s="8"/>
      <c r="M27"/>
      <c r="N27"/>
      <c r="O27"/>
      <c r="P27"/>
      <c r="Q27"/>
    </row>
    <row r="28" spans="1:28" ht="40.5" x14ac:dyDescent="0.25">
      <c r="A28" s="57" t="s">
        <v>153</v>
      </c>
      <c r="C28" s="4" t="s">
        <v>2</v>
      </c>
      <c r="M28"/>
      <c r="N28"/>
      <c r="O28"/>
      <c r="P28"/>
      <c r="Q28"/>
    </row>
    <row r="29" spans="1:28" x14ac:dyDescent="0.2">
      <c r="A29" s="1" t="s">
        <v>154</v>
      </c>
      <c r="C29" s="5">
        <f t="shared" ref="C29:V29" si="2">C$3</f>
        <v>260</v>
      </c>
      <c r="D29" s="5">
        <f t="shared" si="2"/>
        <v>300</v>
      </c>
      <c r="E29" s="5">
        <f t="shared" si="2"/>
        <v>350</v>
      </c>
      <c r="F29" s="5">
        <f t="shared" si="2"/>
        <v>400</v>
      </c>
      <c r="G29" s="5">
        <f t="shared" si="2"/>
        <v>450</v>
      </c>
      <c r="H29" s="5">
        <f t="shared" si="2"/>
        <v>500</v>
      </c>
      <c r="I29" s="5">
        <f t="shared" si="2"/>
        <v>550</v>
      </c>
      <c r="J29" s="5">
        <f t="shared" si="2"/>
        <v>600</v>
      </c>
      <c r="K29" s="5">
        <f t="shared" si="2"/>
        <v>750</v>
      </c>
      <c r="L29" s="5">
        <f t="shared" si="2"/>
        <v>900</v>
      </c>
      <c r="M29" s="5">
        <f t="shared" si="2"/>
        <v>1000</v>
      </c>
      <c r="N29" s="5">
        <f t="shared" si="2"/>
        <v>1100</v>
      </c>
      <c r="O29" s="5">
        <f t="shared" si="2"/>
        <v>1200</v>
      </c>
      <c r="P29" s="5">
        <f t="shared" si="2"/>
        <v>1500</v>
      </c>
      <c r="Q29" s="5">
        <f t="shared" si="2"/>
        <v>1800</v>
      </c>
      <c r="R29" s="5">
        <f t="shared" si="2"/>
        <v>2000</v>
      </c>
      <c r="S29" s="5">
        <f t="shared" si="2"/>
        <v>2200</v>
      </c>
      <c r="T29" s="5">
        <f t="shared" si="2"/>
        <v>2500</v>
      </c>
      <c r="U29" s="5">
        <f t="shared" si="2"/>
        <v>2800</v>
      </c>
      <c r="V29" s="5">
        <f t="shared" si="2"/>
        <v>3000</v>
      </c>
    </row>
    <row r="30" spans="1:28" x14ac:dyDescent="0.2">
      <c r="A30" s="1"/>
      <c r="C30" s="5"/>
      <c r="D30" s="5"/>
      <c r="E30" s="5"/>
      <c r="F30" s="5"/>
      <c r="G30" s="5"/>
      <c r="H30" s="5"/>
      <c r="I30" s="5"/>
      <c r="J30" s="5"/>
      <c r="K30" s="5"/>
      <c r="L30" s="5"/>
      <c r="M30" s="5"/>
      <c r="N30" s="5"/>
      <c r="O30" s="5"/>
      <c r="P30" s="5"/>
      <c r="Q30" s="5"/>
      <c r="R30" s="5"/>
      <c r="S30" s="5"/>
      <c r="T30" s="5"/>
      <c r="U30" s="5"/>
      <c r="V30" s="5"/>
    </row>
    <row r="31" spans="1:28" ht="13.5" x14ac:dyDescent="0.25">
      <c r="A31" s="4" t="s">
        <v>3</v>
      </c>
      <c r="B31" s="2">
        <f>B4</f>
        <v>62</v>
      </c>
      <c r="C31" s="2" cm="1">
        <f t="array" ref="C31">_xlfn.XLOOKUP(1,('Zehnder Charleston'!$B$145:$B$264=C$3)*('Zehnder Charleston'!$D$145:$D$264=$B4),'Zehnder Charleston'!$E$145:$E$264,"")</f>
        <v>0.04</v>
      </c>
      <c r="D31" s="2" cm="1">
        <f t="array" ref="D31">_xlfn.XLOOKUP(1,('Zehnder Charleston'!$B$145:$B$264=D$2)*('Zehnder Charleston'!$D$145:$D$264=$B4),'Zehnder Charleston'!$E$145:$E$264,"")</f>
        <v>0.05</v>
      </c>
      <c r="E31" s="2" cm="1">
        <f t="array" ref="E31">_xlfn.XLOOKUP(1,('Zehnder Charleston'!$B$145:$B$264=E$2)*('Zehnder Charleston'!$D$145:$D$264=$B4),'Zehnder Charleston'!$E$145:$E$264,"")</f>
        <v>0.06</v>
      </c>
      <c r="F31" s="2" cm="1">
        <f t="array" ref="F31">_xlfn.XLOOKUP(1,('Zehnder Charleston'!$B$145:$B$264=F$2)*('Zehnder Charleston'!$D$145:$D$264=$B4),'Zehnder Charleston'!$E$145:$E$264,"")</f>
        <v>7.0000000000000007E-2</v>
      </c>
      <c r="G31" s="2" cm="1">
        <f t="array" ref="G31">_xlfn.XLOOKUP(1,('Zehnder Charleston'!$B$145:$B$264=G$2)*('Zehnder Charleston'!$D$145:$D$264=$B4),'Zehnder Charleston'!$E$145:$E$264,"")</f>
        <v>7.0000000000000007E-2</v>
      </c>
      <c r="H31" s="2" cm="1">
        <f t="array" ref="H31">_xlfn.XLOOKUP(1,('Zehnder Charleston'!$B$145:$B$264=H$2)*('Zehnder Charleston'!$D$145:$D$264=$B4),'Zehnder Charleston'!$E$145:$E$264,"")</f>
        <v>0.08</v>
      </c>
      <c r="I31" s="2" cm="1">
        <f t="array" ref="I31">_xlfn.XLOOKUP(1,('Zehnder Charleston'!$B$145:$B$264=I$2)*('Zehnder Charleston'!$D$145:$D$264=$B4),'Zehnder Charleston'!$E$145:$E$264,"")</f>
        <v>0.09</v>
      </c>
      <c r="J31" s="2" cm="1">
        <f t="array" ref="J31">_xlfn.XLOOKUP(1,('Zehnder Charleston'!$B$145:$B$264=J$2)*('Zehnder Charleston'!$D$145:$D$264=$B4),'Zehnder Charleston'!$E$145:$E$264,"")</f>
        <v>0.1</v>
      </c>
      <c r="K31" s="2" cm="1">
        <f t="array" ref="K31">_xlfn.XLOOKUP(1,('Zehnder Charleston'!$B$145:$B$264=K$2)*('Zehnder Charleston'!$D$145:$D$264=$B4),'Zehnder Charleston'!$E$145:$E$264,"")</f>
        <v>0.12</v>
      </c>
      <c r="L31" s="2" cm="1">
        <f t="array" ref="L31">_xlfn.XLOOKUP(1,('Zehnder Charleston'!$B$145:$B$264=L$2)*('Zehnder Charleston'!$D$145:$D$264=$B4),'Zehnder Charleston'!$E$145:$E$264,"")</f>
        <v>0.14000000000000001</v>
      </c>
      <c r="M31" s="2" cm="1">
        <f t="array" ref="M31">_xlfn.XLOOKUP(1,('Zehnder Charleston'!$B$145:$B$264=M$2)*('Zehnder Charleston'!$D$145:$D$264=$B4),'Zehnder Charleston'!$E$145:$E$264,"")</f>
        <v>0.16</v>
      </c>
      <c r="N31" s="2" cm="1">
        <f t="array" ref="N31">_xlfn.XLOOKUP(1,('Zehnder Charleston'!$B$145:$B$264=N$2)*('Zehnder Charleston'!$D$145:$D$264=$B4),'Zehnder Charleston'!$E$145:$E$264,"")</f>
        <v>0.18</v>
      </c>
      <c r="O31" s="2" cm="1">
        <f t="array" ref="O31">_xlfn.XLOOKUP(1,('Zehnder Charleston'!$B$145:$B$264=O$2)*('Zehnder Charleston'!$D$145:$D$264=$B4),'Zehnder Charleston'!$E$145:$E$264,"")</f>
        <v>0.19</v>
      </c>
      <c r="P31" s="2" cm="1">
        <f t="array" ref="P31">_xlfn.XLOOKUP(1,('Zehnder Charleston'!$B$145:$B$264=P$2)*('Zehnder Charleston'!$D$145:$D$264=$B4),'Zehnder Charleston'!$E$145:$E$264,"")</f>
        <v>0.24</v>
      </c>
      <c r="Q31" s="2" cm="1">
        <f t="array" ref="Q31">_xlfn.XLOOKUP(1,('Zehnder Charleston'!$B$145:$B$264=Q$2)*('Zehnder Charleston'!$D$145:$D$264=$B4),'Zehnder Charleston'!$E$145:$E$264,"")</f>
        <v>0.28999999999999998</v>
      </c>
      <c r="R31" s="2" cm="1">
        <f t="array" ref="R31">_xlfn.XLOOKUP(1,('Zehnder Charleston'!$B$145:$B$264=R$2)*('Zehnder Charleston'!$D$145:$D$264=$B4),'Zehnder Charleston'!$E$145:$E$264,"")</f>
        <v>0.32</v>
      </c>
      <c r="S31" s="2" cm="1">
        <f t="array" ref="S31">_xlfn.XLOOKUP(1,('Zehnder Charleston'!$B$145:$B$264=S$2)*('Zehnder Charleston'!$D$145:$D$264=$B4),'Zehnder Charleston'!$E$145:$E$264,"")</f>
        <v>0.35</v>
      </c>
      <c r="T31" s="2" cm="1">
        <f t="array" ref="T31">_xlfn.XLOOKUP(1,('Zehnder Charleston'!$B$145:$B$264=T$2)*('Zehnder Charleston'!$D$145:$D$264=$B4),'Zehnder Charleston'!$E$145:$E$264,"")</f>
        <v>0.4</v>
      </c>
      <c r="U31" s="2" cm="1">
        <f t="array" ref="U31">_xlfn.XLOOKUP(1,('Zehnder Charleston'!$B$145:$B$264=U$2)*('Zehnder Charleston'!$D$145:$D$264=$B4),'Zehnder Charleston'!$E$145:$E$264,"")</f>
        <v>0.45</v>
      </c>
      <c r="V31" s="2" cm="1">
        <f t="array" ref="V31">_xlfn.XLOOKUP(1,('Zehnder Charleston'!$B$145:$B$264=V$2)*('Zehnder Charleston'!$D$145:$D$264=$B4),'Zehnder Charleston'!$E$145:$E$264,"")</f>
        <v>0.48</v>
      </c>
      <c r="AB31" s="2" t="str" cm="1">
        <f t="array" ref="AB31">_xlfn.XLOOKUP(1,('Zehnder Charleston'!$B$2:$B$138=V$3)*('Zehnder Charleston'!$D$2:$D$138=$B4),'Zehnder Charleston'!$E$2:$E$138,"")</f>
        <v/>
      </c>
    </row>
    <row r="32" spans="1:28" x14ac:dyDescent="0.2">
      <c r="B32" s="2">
        <f>B5</f>
        <v>100</v>
      </c>
      <c r="C32" s="2" cm="1">
        <f t="array" ref="C32">_xlfn.XLOOKUP(1,('Zehnder Charleston'!$B$145:$B$264=C$3)*('Zehnder Charleston'!$D$145:$D$264=$B5),'Zehnder Charleston'!$E$145:$E$264,"")</f>
        <v>0.06</v>
      </c>
      <c r="D32" s="2" cm="1">
        <f t="array" ref="D32">_xlfn.XLOOKUP(1,('Zehnder Charleston'!$B$145:$B$264=D$3)*('Zehnder Charleston'!$D$145:$D$264=$B5),'Zehnder Charleston'!$E$145:$E$264,"")</f>
        <v>7.0000000000000007E-2</v>
      </c>
      <c r="E32" s="2" cm="1">
        <f t="array" ref="E32">_xlfn.XLOOKUP(1,('Zehnder Charleston'!$B$145:$B$264=E$3)*('Zehnder Charleston'!$D$145:$D$264=$B5),'Zehnder Charleston'!$E$145:$E$264,"")</f>
        <v>0.08</v>
      </c>
      <c r="F32" s="2" cm="1">
        <f t="array" ref="F32">_xlfn.XLOOKUP(1,('Zehnder Charleston'!$B$145:$B$264=F$3)*('Zehnder Charleston'!$D$145:$D$264=$B5),'Zehnder Charleston'!$E$145:$E$264,"")</f>
        <v>0.1</v>
      </c>
      <c r="G32" s="2" cm="1">
        <f t="array" ref="G32">_xlfn.XLOOKUP(1,('Zehnder Charleston'!$B$145:$B$264=G$3)*('Zehnder Charleston'!$D$145:$D$264=$B5),'Zehnder Charleston'!$E$145:$E$264,"")</f>
        <v>0.11</v>
      </c>
      <c r="H32" s="2" cm="1">
        <f t="array" ref="H32">_xlfn.XLOOKUP(1,('Zehnder Charleston'!$B$145:$B$264=H$3)*('Zehnder Charleston'!$D$145:$D$264=$B5),'Zehnder Charleston'!$E$145:$E$264,"")</f>
        <v>0.12</v>
      </c>
      <c r="I32" s="2" cm="1">
        <f t="array" ref="I32">_xlfn.XLOOKUP(1,('Zehnder Charleston'!$B$145:$B$264=I$3)*('Zehnder Charleston'!$D$145:$D$264=$B5),'Zehnder Charleston'!$E$145:$E$264,"")</f>
        <v>0.13</v>
      </c>
      <c r="J32" s="2" cm="1">
        <f t="array" ref="J32">_xlfn.XLOOKUP(1,('Zehnder Charleston'!$B$145:$B$264=J$3)*('Zehnder Charleston'!$D$145:$D$264=$B5),'Zehnder Charleston'!$E$145:$E$264,"")</f>
        <v>0.14000000000000001</v>
      </c>
      <c r="K32" s="2" cm="1">
        <f t="array" ref="K32">_xlfn.XLOOKUP(1,('Zehnder Charleston'!$B$145:$B$264=K$3)*('Zehnder Charleston'!$D$145:$D$264=$B5),'Zehnder Charleston'!$E$145:$E$264,"")</f>
        <v>0.18</v>
      </c>
      <c r="L32" s="2" cm="1">
        <f t="array" ref="L32">_xlfn.XLOOKUP(1,('Zehnder Charleston'!$B$145:$B$264=L$3)*('Zehnder Charleston'!$D$145:$D$264=$B5),'Zehnder Charleston'!$E$145:$E$264,"")</f>
        <v>0.21</v>
      </c>
      <c r="M32" s="2" cm="1">
        <f t="array" ref="M32">_xlfn.XLOOKUP(1,('Zehnder Charleston'!$B$145:$B$264=M$3)*('Zehnder Charleston'!$D$145:$D$264=$B5),'Zehnder Charleston'!$E$145:$E$264,"")</f>
        <v>0.24</v>
      </c>
      <c r="N32" s="2" cm="1">
        <f t="array" ref="N32">_xlfn.XLOOKUP(1,('Zehnder Charleston'!$B$145:$B$264=N$3)*('Zehnder Charleston'!$D$145:$D$264=$B5),'Zehnder Charleston'!$E$145:$E$264,"")</f>
        <v>0.26</v>
      </c>
      <c r="O32" s="2" cm="1">
        <f t="array" ref="O32">_xlfn.XLOOKUP(1,('Zehnder Charleston'!$B$145:$B$264=O$3)*('Zehnder Charleston'!$D$145:$D$264=$B5),'Zehnder Charleston'!$E$145:$E$264,"")</f>
        <v>0.28999999999999998</v>
      </c>
      <c r="P32" s="2" cm="1">
        <f t="array" ref="P32">_xlfn.XLOOKUP(1,('Zehnder Charleston'!$B$145:$B$264=P$3)*('Zehnder Charleston'!$D$145:$D$264=$B5),'Zehnder Charleston'!$E$145:$E$264,"")</f>
        <v>0.36</v>
      </c>
      <c r="Q32" s="2" cm="1">
        <f t="array" ref="Q32">_xlfn.XLOOKUP(1,('Zehnder Charleston'!$B$145:$B$264=Q$3)*('Zehnder Charleston'!$D$145:$D$264=$B5),'Zehnder Charleston'!$E$145:$E$264,"")</f>
        <v>0.43</v>
      </c>
      <c r="R32" s="2" cm="1">
        <f t="array" ref="R32">_xlfn.XLOOKUP(1,('Zehnder Charleston'!$B$145:$B$264=R$3)*('Zehnder Charleston'!$D$145:$D$264=$B5),'Zehnder Charleston'!$E$145:$E$264,"")</f>
        <v>0.47</v>
      </c>
      <c r="S32" s="2" cm="1">
        <f t="array" ref="S32">_xlfn.XLOOKUP(1,('Zehnder Charleston'!$B$145:$B$264=S$3)*('Zehnder Charleston'!$D$145:$D$264=$B5),'Zehnder Charleston'!$E$145:$E$264,"")</f>
        <v>0.52</v>
      </c>
      <c r="T32" s="2" cm="1">
        <f t="array" ref="T32">_xlfn.XLOOKUP(1,('Zehnder Charleston'!$B$145:$B$264=T$3)*('Zehnder Charleston'!$D$145:$D$264=$B5),'Zehnder Charleston'!$E$145:$E$264,"")</f>
        <v>0.59</v>
      </c>
      <c r="U32" s="2" cm="1">
        <f t="array" ref="U32">_xlfn.XLOOKUP(1,('Zehnder Charleston'!$B$145:$B$264=U$3)*('Zehnder Charleston'!$D$145:$D$264=$B5),'Zehnder Charleston'!$E$145:$E$264,"")</f>
        <v>0.66</v>
      </c>
      <c r="V32" s="2" cm="1">
        <f t="array" ref="V32">_xlfn.XLOOKUP(1,('Zehnder Charleston'!$B$145:$B$264=V$3)*('Zehnder Charleston'!$D$145:$D$264=$B5),'Zehnder Charleston'!$E$145:$E$264,"")</f>
        <v>0.71</v>
      </c>
    </row>
    <row r="33" spans="1:35" x14ac:dyDescent="0.2">
      <c r="B33" s="2">
        <f>B6</f>
        <v>136</v>
      </c>
      <c r="C33" s="2" cm="1">
        <f t="array" ref="C33">_xlfn.XLOOKUP(1,('Zehnder Charleston'!$B$145:$B$264=C$3)*('Zehnder Charleston'!$D$145:$D$264=$B6),'Zehnder Charleston'!$E$145:$E$264,"")</f>
        <v>0.09</v>
      </c>
      <c r="D33" s="2" cm="1">
        <f t="array" ref="D33">_xlfn.XLOOKUP(1,('Zehnder Charleston'!$B$145:$B$264=D$3)*('Zehnder Charleston'!$D$145:$D$264=$B6),'Zehnder Charleston'!$E$145:$E$264,"")</f>
        <v>0.1</v>
      </c>
      <c r="E33" s="2" cm="1">
        <f t="array" ref="E33">_xlfn.XLOOKUP(1,('Zehnder Charleston'!$B$145:$B$264=E$3)*('Zehnder Charleston'!$D$145:$D$264=$B6),'Zehnder Charleston'!$E$145:$E$264,"")</f>
        <v>0.11</v>
      </c>
      <c r="F33" s="2" cm="1">
        <f t="array" ref="F33">_xlfn.XLOOKUP(1,('Zehnder Charleston'!$B$145:$B$264=F$3)*('Zehnder Charleston'!$D$145:$D$264=$B6),'Zehnder Charleston'!$E$145:$E$264,"")</f>
        <v>0.13</v>
      </c>
      <c r="G33" s="2" cm="1">
        <f t="array" ref="G33">_xlfn.XLOOKUP(1,('Zehnder Charleston'!$B$145:$B$264=G$3)*('Zehnder Charleston'!$D$145:$D$264=$B6),'Zehnder Charleston'!$E$145:$E$264,"")</f>
        <v>0.15</v>
      </c>
      <c r="H33" s="2" cm="1">
        <f t="array" ref="H33">_xlfn.XLOOKUP(1,('Zehnder Charleston'!$B$145:$B$264=H$3)*('Zehnder Charleston'!$D$145:$D$264=$B6),'Zehnder Charleston'!$E$145:$E$264,"")</f>
        <v>0.16</v>
      </c>
      <c r="I33" s="2" cm="1">
        <f t="array" ref="I33">_xlfn.XLOOKUP(1,('Zehnder Charleston'!$B$145:$B$264=I$3)*('Zehnder Charleston'!$D$145:$D$264=$B6),'Zehnder Charleston'!$E$145:$E$264,"")</f>
        <v>0.18</v>
      </c>
      <c r="J33" s="2" cm="1">
        <f t="array" ref="J33">_xlfn.XLOOKUP(1,('Zehnder Charleston'!$B$145:$B$264=J$3)*('Zehnder Charleston'!$D$145:$D$264=$B6),'Zehnder Charleston'!$E$145:$E$264,"")</f>
        <v>0.19</v>
      </c>
      <c r="K33" s="2" cm="1">
        <f t="array" ref="K33">_xlfn.XLOOKUP(1,('Zehnder Charleston'!$B$145:$B$264=K$3)*('Zehnder Charleston'!$D$145:$D$264=$B6),'Zehnder Charleston'!$E$145:$E$264,"")</f>
        <v>0.24</v>
      </c>
      <c r="L33" s="2" cm="1">
        <f t="array" ref="L33">_xlfn.XLOOKUP(1,('Zehnder Charleston'!$B$145:$B$264=L$3)*('Zehnder Charleston'!$D$145:$D$264=$B6),'Zehnder Charleston'!$E$145:$E$264,"")</f>
        <v>0.28999999999999998</v>
      </c>
      <c r="M33" s="2" cm="1">
        <f t="array" ref="M33">_xlfn.XLOOKUP(1,('Zehnder Charleston'!$B$145:$B$264=M$3)*('Zehnder Charleston'!$D$145:$D$264=$B6),'Zehnder Charleston'!$E$145:$E$264,"")</f>
        <v>0.32</v>
      </c>
      <c r="N33" s="2" cm="1">
        <f t="array" ref="N33">_xlfn.XLOOKUP(1,('Zehnder Charleston'!$B$145:$B$264=N$3)*('Zehnder Charleston'!$D$145:$D$264=$B6),'Zehnder Charleston'!$E$145:$E$264,"")</f>
        <v>0.35</v>
      </c>
      <c r="O33" s="2" cm="1">
        <f t="array" ref="O33">_xlfn.XLOOKUP(1,('Zehnder Charleston'!$B$145:$B$264=O$3)*('Zehnder Charleston'!$D$145:$D$264=$B6),'Zehnder Charleston'!$E$145:$E$264,"")</f>
        <v>0.38</v>
      </c>
      <c r="P33" s="2" cm="1">
        <f t="array" ref="P33">_xlfn.XLOOKUP(1,('Zehnder Charleston'!$B$145:$B$264=P$3)*('Zehnder Charleston'!$D$145:$D$264=$B6),'Zehnder Charleston'!$E$145:$E$264,"")</f>
        <v>0.47</v>
      </c>
      <c r="Q33" s="2" cm="1">
        <f t="array" ref="Q33">_xlfn.XLOOKUP(1,('Zehnder Charleston'!$B$145:$B$264=Q$3)*('Zehnder Charleston'!$D$145:$D$264=$B6),'Zehnder Charleston'!$E$145:$E$264,"")</f>
        <v>0.56999999999999995</v>
      </c>
      <c r="R33" s="2" cm="1">
        <f t="array" ref="R33">_xlfn.XLOOKUP(1,('Zehnder Charleston'!$B$145:$B$264=R$3)*('Zehnder Charleston'!$D$145:$D$264=$B6),'Zehnder Charleston'!$E$145:$E$264,"")</f>
        <v>0.63</v>
      </c>
      <c r="S33" s="2" cm="1">
        <f t="array" ref="S33">_xlfn.XLOOKUP(1,('Zehnder Charleston'!$B$145:$B$264=S$3)*('Zehnder Charleston'!$D$145:$D$264=$B6),'Zehnder Charleston'!$E$145:$E$264,"")</f>
        <v>0.7</v>
      </c>
      <c r="T33" s="2" cm="1">
        <f t="array" ref="T33">_xlfn.XLOOKUP(1,('Zehnder Charleston'!$B$145:$B$264=T$3)*('Zehnder Charleston'!$D$145:$D$264=$B6),'Zehnder Charleston'!$E$145:$E$264,"")</f>
        <v>0.79</v>
      </c>
      <c r="U33" s="2" cm="1">
        <f t="array" ref="U33">_xlfn.XLOOKUP(1,('Zehnder Charleston'!$B$145:$B$264=U$3)*('Zehnder Charleston'!$D$145:$D$264=$B6),'Zehnder Charleston'!$E$145:$E$264,"")</f>
        <v>0.87</v>
      </c>
      <c r="V33" s="2" cm="1">
        <f t="array" ref="V33">_xlfn.XLOOKUP(1,('Zehnder Charleston'!$B$145:$B$264=V$3)*('Zehnder Charleston'!$D$145:$D$264=$B6),'Zehnder Charleston'!$E$145:$E$264,"")</f>
        <v>0.95</v>
      </c>
    </row>
    <row r="34" spans="1:35" x14ac:dyDescent="0.2">
      <c r="B34" s="2">
        <f>B7</f>
        <v>173</v>
      </c>
      <c r="C34" s="2" cm="1">
        <f t="array" ref="C34">_xlfn.XLOOKUP(1,('Zehnder Charleston'!$B$145:$B$264=C$3)*('Zehnder Charleston'!$D$145:$D$264=$B7),'Zehnder Charleston'!$E$145:$E$264,"")</f>
        <v>0.11</v>
      </c>
      <c r="D34" s="2" cm="1">
        <f t="array" ref="D34">_xlfn.XLOOKUP(1,('Zehnder Charleston'!$B$145:$B$264=D$3)*('Zehnder Charleston'!$D$145:$D$264=$B7),'Zehnder Charleston'!$E$145:$E$264,"")</f>
        <v>0.12</v>
      </c>
      <c r="E34" s="2" cm="1">
        <f t="array" ref="E34">_xlfn.XLOOKUP(1,('Zehnder Charleston'!$B$145:$B$264=E$3)*('Zehnder Charleston'!$D$145:$D$264=$B7),'Zehnder Charleston'!$E$145:$E$264,"")</f>
        <v>0.14000000000000001</v>
      </c>
      <c r="F34" s="2" cm="1">
        <f t="array" ref="F34">_xlfn.XLOOKUP(1,('Zehnder Charleston'!$B$145:$B$264=F$3)*('Zehnder Charleston'!$D$145:$D$264=$B7),'Zehnder Charleston'!$E$145:$E$264,"")</f>
        <v>0.16</v>
      </c>
      <c r="G34" s="2" cm="1">
        <f t="array" ref="G34">_xlfn.XLOOKUP(1,('Zehnder Charleston'!$B$145:$B$264=G$3)*('Zehnder Charleston'!$D$145:$D$264=$B7),'Zehnder Charleston'!$E$145:$E$264,"")</f>
        <v>0.18</v>
      </c>
      <c r="H34" s="2" cm="1">
        <f t="array" ref="H34">_xlfn.XLOOKUP(1,('Zehnder Charleston'!$B$145:$B$264=H$3)*('Zehnder Charleston'!$D$145:$D$264=$B7),'Zehnder Charleston'!$E$145:$E$264,"")</f>
        <v>0.2</v>
      </c>
      <c r="I34" s="2" cm="1">
        <f t="array" ref="I34">_xlfn.XLOOKUP(1,('Zehnder Charleston'!$B$145:$B$264=I$3)*('Zehnder Charleston'!$D$145:$D$264=$B7),'Zehnder Charleston'!$E$145:$E$264,"")</f>
        <v>0.22</v>
      </c>
      <c r="J34" s="2" cm="1">
        <f t="array" ref="J34">_xlfn.XLOOKUP(1,('Zehnder Charleston'!$B$145:$B$264=J$3)*('Zehnder Charleston'!$D$145:$D$264=$B7),'Zehnder Charleston'!$E$145:$E$264,"")</f>
        <v>0.24</v>
      </c>
      <c r="K34" s="2" cm="1">
        <f t="array" ref="K34">_xlfn.XLOOKUP(1,('Zehnder Charleston'!$B$145:$B$264=K$3)*('Zehnder Charleston'!$D$145:$D$264=$B7),'Zehnder Charleston'!$E$145:$E$264,"")</f>
        <v>0.3</v>
      </c>
      <c r="L34" s="2" cm="1">
        <f t="array" ref="L34">_xlfn.XLOOKUP(1,('Zehnder Charleston'!$B$145:$B$264=L$3)*('Zehnder Charleston'!$D$145:$D$264=$B7),'Zehnder Charleston'!$E$145:$E$264,"")</f>
        <v>0.36</v>
      </c>
      <c r="M34" s="2" cm="1">
        <f t="array" ref="M34">_xlfn.XLOOKUP(1,('Zehnder Charleston'!$B$145:$B$264=M$3)*('Zehnder Charleston'!$D$145:$D$264=$B7),'Zehnder Charleston'!$E$145:$E$264,"")</f>
        <v>0.4</v>
      </c>
      <c r="N34" s="2" cm="1">
        <f t="array" ref="N34">_xlfn.XLOOKUP(1,('Zehnder Charleston'!$B$145:$B$264=N$3)*('Zehnder Charleston'!$D$145:$D$264=$B7),'Zehnder Charleston'!$E$145:$E$264,"")</f>
        <v>0.44</v>
      </c>
      <c r="O34" s="2" cm="1">
        <f t="array" ref="O34">_xlfn.XLOOKUP(1,('Zehnder Charleston'!$B$145:$B$264=O$3)*('Zehnder Charleston'!$D$145:$D$264=$B7),'Zehnder Charleston'!$E$145:$E$264,"")</f>
        <v>0.48</v>
      </c>
      <c r="P34" s="2" cm="1">
        <f t="array" ref="P34">_xlfn.XLOOKUP(1,('Zehnder Charleston'!$B$145:$B$264=P$3)*('Zehnder Charleston'!$D$145:$D$264=$B7),'Zehnder Charleston'!$E$145:$E$264,"")</f>
        <v>0.59</v>
      </c>
      <c r="Q34" s="2" cm="1">
        <f t="array" ref="Q34">_xlfn.XLOOKUP(1,('Zehnder Charleston'!$B$145:$B$264=Q$3)*('Zehnder Charleston'!$D$145:$D$264=$B7),'Zehnder Charleston'!$E$145:$E$264,"")</f>
        <v>0.71</v>
      </c>
      <c r="R34" s="2" cm="1">
        <f t="array" ref="R34">_xlfn.XLOOKUP(1,('Zehnder Charleston'!$B$145:$B$264=R$3)*('Zehnder Charleston'!$D$145:$D$264=$B7),'Zehnder Charleston'!$E$145:$E$264,"")</f>
        <v>0.79</v>
      </c>
      <c r="S34" s="2" cm="1">
        <f t="array" ref="S34">_xlfn.XLOOKUP(1,('Zehnder Charleston'!$B$145:$B$264=S$3)*('Zehnder Charleston'!$D$145:$D$264=$B7),'Zehnder Charleston'!$E$145:$E$264,"")</f>
        <v>0.87</v>
      </c>
      <c r="T34" s="2" cm="1">
        <f t="array" ref="T34">_xlfn.XLOOKUP(1,('Zehnder Charleston'!$B$145:$B$264=T$3)*('Zehnder Charleston'!$D$145:$D$264=$B7),'Zehnder Charleston'!$E$145:$E$264,"")</f>
        <v>0.99</v>
      </c>
      <c r="U34" s="2" cm="1">
        <f t="array" ref="U34">_xlfn.XLOOKUP(1,('Zehnder Charleston'!$B$145:$B$264=U$3)*('Zehnder Charleston'!$D$145:$D$264=$B7),'Zehnder Charleston'!$E$145:$E$264,"")</f>
        <v>1.1100000000000001</v>
      </c>
      <c r="V34" s="2" cm="1">
        <f t="array" ref="V34">_xlfn.XLOOKUP(1,('Zehnder Charleston'!$B$145:$B$264=V$3)*('Zehnder Charleston'!$D$145:$D$264=$B7),'Zehnder Charleston'!$E$145:$E$264,"")</f>
        <v>1.19</v>
      </c>
    </row>
    <row r="35" spans="1:35" x14ac:dyDescent="0.2">
      <c r="B35" s="2">
        <f>B8</f>
        <v>210</v>
      </c>
      <c r="C35" s="2" cm="1">
        <f t="array" ref="C35">_xlfn.XLOOKUP(1,('Zehnder Charleston'!$B$145:$B$264=C$3)*('Zehnder Charleston'!$D$145:$D$264=$B8),'Zehnder Charleston'!$E$145:$E$264,"")</f>
        <v>0.13</v>
      </c>
      <c r="D35" s="2" cm="1">
        <f t="array" ref="D35">_xlfn.XLOOKUP(1,('Zehnder Charleston'!$B$145:$B$264=D$3)*('Zehnder Charleston'!$D$145:$D$264=$B8),'Zehnder Charleston'!$E$145:$E$264,"")</f>
        <v>0.15</v>
      </c>
      <c r="E35" s="2" cm="1">
        <f t="array" ref="E35">_xlfn.XLOOKUP(1,('Zehnder Charleston'!$B$145:$B$264=E$3)*('Zehnder Charleston'!$D$145:$D$264=$B8),'Zehnder Charleston'!$E$145:$E$264,"")</f>
        <v>0.17</v>
      </c>
      <c r="F35" s="2" cm="1">
        <f t="array" ref="F35">_xlfn.XLOOKUP(1,('Zehnder Charleston'!$B$145:$B$264=F$3)*('Zehnder Charleston'!$D$145:$D$264=$B8),'Zehnder Charleston'!$E$145:$E$264,"")</f>
        <v>0.19</v>
      </c>
      <c r="G35" s="2" cm="1">
        <f t="array" ref="G35">_xlfn.XLOOKUP(1,('Zehnder Charleston'!$B$145:$B$264=G$3)*('Zehnder Charleston'!$D$145:$D$264=$B8),'Zehnder Charleston'!$E$145:$E$264,"")</f>
        <v>0.22</v>
      </c>
      <c r="H35" s="2" cm="1">
        <f t="array" ref="H35">_xlfn.XLOOKUP(1,('Zehnder Charleston'!$B$145:$B$264=H$3)*('Zehnder Charleston'!$D$145:$D$264=$B8),'Zehnder Charleston'!$E$145:$E$264,"")</f>
        <v>0.24</v>
      </c>
      <c r="I35" s="2" cm="1">
        <f t="array" ref="I35">_xlfn.XLOOKUP(1,('Zehnder Charleston'!$B$145:$B$264=I$3)*('Zehnder Charleston'!$D$145:$D$264=$B8),'Zehnder Charleston'!$E$145:$E$264,"")</f>
        <v>0.26</v>
      </c>
      <c r="J35" s="2" cm="1">
        <f t="array" ref="J35">_xlfn.XLOOKUP(1,('Zehnder Charleston'!$B$145:$B$264=J$3)*('Zehnder Charleston'!$D$145:$D$264=$B8),'Zehnder Charleston'!$E$145:$E$264,"")</f>
        <v>0.28999999999999998</v>
      </c>
      <c r="K35" s="2" cm="1">
        <f t="array" ref="K35">_xlfn.XLOOKUP(1,('Zehnder Charleston'!$B$145:$B$264=K$3)*('Zehnder Charleston'!$D$145:$D$264=$B8),'Zehnder Charleston'!$E$145:$E$264,"")</f>
        <v>0.36</v>
      </c>
      <c r="L35" s="2" cm="1">
        <f t="array" ref="L35">_xlfn.XLOOKUP(1,('Zehnder Charleston'!$B$145:$B$264=L$3)*('Zehnder Charleston'!$D$145:$D$264=$B8),'Zehnder Charleston'!$E$145:$E$264,"")</f>
        <v>0.43</v>
      </c>
      <c r="M35" s="2" cm="1">
        <f t="array" ref="M35">_xlfn.XLOOKUP(1,('Zehnder Charleston'!$B$145:$B$264=M$3)*('Zehnder Charleston'!$D$145:$D$264=$B8),'Zehnder Charleston'!$E$145:$E$264,"")</f>
        <v>0.48</v>
      </c>
      <c r="N35" s="2" cm="1">
        <f t="array" ref="N35">_xlfn.XLOOKUP(1,('Zehnder Charleston'!$B$145:$B$264=N$3)*('Zehnder Charleston'!$D$145:$D$264=$B8),'Zehnder Charleston'!$E$145:$E$264,"")</f>
        <v>0.52</v>
      </c>
      <c r="O35" s="2" cm="1">
        <f t="array" ref="O35">_xlfn.XLOOKUP(1,('Zehnder Charleston'!$B$145:$B$264=O$3)*('Zehnder Charleston'!$D$145:$D$264=$B8),'Zehnder Charleston'!$E$145:$E$264,"")</f>
        <v>0.56999999999999995</v>
      </c>
      <c r="P35" s="2" cm="1">
        <f t="array" ref="P35">_xlfn.XLOOKUP(1,('Zehnder Charleston'!$B$145:$B$264=P$3)*('Zehnder Charleston'!$D$145:$D$264=$B8),'Zehnder Charleston'!$E$145:$E$264,"")</f>
        <v>0.71</v>
      </c>
      <c r="Q35" s="2" cm="1">
        <f t="array" ref="Q35">_xlfn.XLOOKUP(1,('Zehnder Charleston'!$B$145:$B$264=Q$3)*('Zehnder Charleston'!$D$145:$D$264=$B8),'Zehnder Charleston'!$E$145:$E$264,"")</f>
        <v>0.85</v>
      </c>
      <c r="R35" s="2" cm="1">
        <f t="array" ref="R35">_xlfn.XLOOKUP(1,('Zehnder Charleston'!$B$145:$B$264=R$3)*('Zehnder Charleston'!$D$145:$D$264=$B8),'Zehnder Charleston'!$E$145:$E$264,"")</f>
        <v>0.95</v>
      </c>
      <c r="S35" s="2" cm="1">
        <f t="array" ref="S35">_xlfn.XLOOKUP(1,('Zehnder Charleston'!$B$145:$B$264=S$3)*('Zehnder Charleston'!$D$145:$D$264=$B8),'Zehnder Charleston'!$E$145:$E$264,"")</f>
        <v>1.04</v>
      </c>
      <c r="T35" s="2" cm="1">
        <f t="array" ref="T35">_xlfn.XLOOKUP(1,('Zehnder Charleston'!$B$145:$B$264=T$3)*('Zehnder Charleston'!$D$145:$D$264=$B8),'Zehnder Charleston'!$E$145:$E$264,"")</f>
        <v>1.19</v>
      </c>
      <c r="U35" s="2" cm="1">
        <f t="array" ref="U35">_xlfn.XLOOKUP(1,('Zehnder Charleston'!$B$145:$B$264=U$3)*('Zehnder Charleston'!$D$145:$D$264=$B8),'Zehnder Charleston'!$E$145:$E$264,"")</f>
        <v>1.34</v>
      </c>
      <c r="V35" s="2" cm="1">
        <f t="array" ref="V35">_xlfn.XLOOKUP(1,('Zehnder Charleston'!$B$145:$B$264=V$3)*('Zehnder Charleston'!$D$145:$D$264=$B8),'Zehnder Charleston'!$E$145:$E$264,"")</f>
        <v>1.42</v>
      </c>
    </row>
    <row r="36" spans="1:35" x14ac:dyDescent="0.2">
      <c r="C36" s="8"/>
      <c r="D36" s="8"/>
      <c r="E36" s="8"/>
      <c r="F36" s="8"/>
      <c r="G36" s="8"/>
      <c r="H36" s="8"/>
      <c r="I36" s="8"/>
      <c r="J36" s="8"/>
      <c r="K36" s="8"/>
      <c r="L36" s="8"/>
      <c r="M36"/>
      <c r="N36"/>
      <c r="O36"/>
      <c r="P36"/>
      <c r="Q36"/>
    </row>
    <row r="37" spans="1:35" ht="39" x14ac:dyDescent="0.25">
      <c r="A37" s="57" t="s">
        <v>155</v>
      </c>
      <c r="C37" s="4" t="s">
        <v>2</v>
      </c>
      <c r="M37"/>
      <c r="N37"/>
      <c r="O37"/>
      <c r="P37"/>
      <c r="Q37"/>
    </row>
    <row r="38" spans="1:35" ht="13.5" x14ac:dyDescent="0.25">
      <c r="A38" s="57"/>
      <c r="C38" s="4"/>
      <c r="M38"/>
      <c r="N38"/>
      <c r="O38"/>
      <c r="P38"/>
      <c r="Q38"/>
    </row>
    <row r="39" spans="1:35" x14ac:dyDescent="0.2">
      <c r="A39" s="57" t="s">
        <v>156</v>
      </c>
      <c r="C39" s="5">
        <f t="shared" ref="C39:V39" si="3">C$3</f>
        <v>260</v>
      </c>
      <c r="D39" s="5">
        <f t="shared" si="3"/>
        <v>300</v>
      </c>
      <c r="E39" s="5">
        <f t="shared" si="3"/>
        <v>350</v>
      </c>
      <c r="F39" s="5">
        <f t="shared" si="3"/>
        <v>400</v>
      </c>
      <c r="G39" s="5">
        <f t="shared" si="3"/>
        <v>450</v>
      </c>
      <c r="H39" s="5">
        <f t="shared" si="3"/>
        <v>500</v>
      </c>
      <c r="I39" s="5">
        <f t="shared" si="3"/>
        <v>550</v>
      </c>
      <c r="J39" s="5">
        <f t="shared" si="3"/>
        <v>600</v>
      </c>
      <c r="K39" s="5">
        <f t="shared" si="3"/>
        <v>750</v>
      </c>
      <c r="L39" s="5">
        <f t="shared" si="3"/>
        <v>900</v>
      </c>
      <c r="M39" s="5">
        <f t="shared" si="3"/>
        <v>1000</v>
      </c>
      <c r="N39" s="5">
        <f t="shared" si="3"/>
        <v>1100</v>
      </c>
      <c r="O39" s="5">
        <f t="shared" si="3"/>
        <v>1200</v>
      </c>
      <c r="P39" s="5">
        <f t="shared" si="3"/>
        <v>1500</v>
      </c>
      <c r="Q39" s="5">
        <f t="shared" si="3"/>
        <v>1800</v>
      </c>
      <c r="R39" s="5">
        <f t="shared" si="3"/>
        <v>2000</v>
      </c>
      <c r="S39" s="5">
        <f t="shared" si="3"/>
        <v>2200</v>
      </c>
      <c r="T39" s="5">
        <f t="shared" si="3"/>
        <v>2500</v>
      </c>
      <c r="U39" s="5">
        <f t="shared" si="3"/>
        <v>2800</v>
      </c>
      <c r="V39" s="5">
        <f t="shared" si="3"/>
        <v>3000</v>
      </c>
      <c r="AB39" s="5"/>
      <c r="AC39" s="5"/>
      <c r="AD39" s="5"/>
      <c r="AE39" s="5"/>
      <c r="AF39" s="5"/>
      <c r="AG39" s="5"/>
      <c r="AH39" s="5"/>
      <c r="AI39" s="5"/>
    </row>
    <row r="40" spans="1:35" ht="13.5" x14ac:dyDescent="0.25">
      <c r="A40" s="4" t="s">
        <v>3</v>
      </c>
      <c r="B40" s="2">
        <f>B4</f>
        <v>62</v>
      </c>
      <c r="C40" s="2" cm="1">
        <f t="array" ref="C40">_xlfn.XLOOKUP(1,('Zehnder Charleston'!$B$145:$B$264=C$3)*('Zehnder Charleston'!$D$145:$D$264=$B4),'Zehnder Charleston'!$F$145:$F$264,"")</f>
        <v>0.4</v>
      </c>
      <c r="D40" s="2" cm="1">
        <f t="array" ref="D40">_xlfn.XLOOKUP(1,('Zehnder Charleston'!$B$145:$B$264=D$2)*('Zehnder Charleston'!$D$145:$D$264=$B4),'Zehnder Charleston'!$F$145:$F$264,"")</f>
        <v>0.4</v>
      </c>
      <c r="E40" s="2" cm="1">
        <f t="array" ref="E40">_xlfn.XLOOKUP(1,('Zehnder Charleston'!$B$145:$B$264=E$2)*('Zehnder Charleston'!$D$145:$D$264=$B4),'Zehnder Charleston'!$F$145:$F$264,"")</f>
        <v>0.4</v>
      </c>
      <c r="F40" s="2" cm="1">
        <f t="array" ref="F40">_xlfn.XLOOKUP(1,('Zehnder Charleston'!$B$145:$B$264=F$2)*('Zehnder Charleston'!$D$145:$D$264=$B4),'Zehnder Charleston'!$F$145:$F$264,"")</f>
        <v>0.5</v>
      </c>
      <c r="G40" s="2" cm="1">
        <f t="array" ref="G40">_xlfn.XLOOKUP(1,('Zehnder Charleston'!$B$145:$B$264=G$2)*('Zehnder Charleston'!$D$145:$D$264=$B4),'Zehnder Charleston'!$F$145:$F$264,"")</f>
        <v>0.5</v>
      </c>
      <c r="H40" s="2" cm="1">
        <f t="array" ref="H40">_xlfn.XLOOKUP(1,('Zehnder Charleston'!$B$145:$B$264=H$2)*('Zehnder Charleston'!$D$145:$D$264=$B4),'Zehnder Charleston'!$F$145:$F$264,"")</f>
        <v>0.6</v>
      </c>
      <c r="I40" s="2" cm="1">
        <f t="array" ref="I40">_xlfn.XLOOKUP(1,('Zehnder Charleston'!$B$145:$B$264=I$2)*('Zehnder Charleston'!$D$145:$D$264=$B4),'Zehnder Charleston'!$F$145:$F$264,"")</f>
        <v>0.6</v>
      </c>
      <c r="J40" s="2" cm="1">
        <f t="array" ref="J40">_xlfn.XLOOKUP(1,('Zehnder Charleston'!$B$145:$B$264=J$2)*('Zehnder Charleston'!$D$145:$D$264=$B4),'Zehnder Charleston'!$F$145:$F$264,"")</f>
        <v>0.6</v>
      </c>
      <c r="K40" s="2" cm="1">
        <f t="array" ref="K40">_xlfn.XLOOKUP(1,('Zehnder Charleston'!$B$145:$B$264=K$2)*('Zehnder Charleston'!$D$145:$D$264=$B4),'Zehnder Charleston'!$F$145:$F$264,"")</f>
        <v>0.8</v>
      </c>
      <c r="L40" s="2" cm="1">
        <f t="array" ref="L40">_xlfn.XLOOKUP(1,('Zehnder Charleston'!$B$145:$B$264=L$2)*('Zehnder Charleston'!$D$145:$D$264=$B4),'Zehnder Charleston'!$F$145:$F$264,"")</f>
        <v>0.9</v>
      </c>
      <c r="M40" s="2" cm="1">
        <f t="array" ref="M40">_xlfn.XLOOKUP(1,('Zehnder Charleston'!$B$145:$B$264=M$2)*('Zehnder Charleston'!$D$145:$D$264=$B4),'Zehnder Charleston'!$F$145:$F$264,"")</f>
        <v>1</v>
      </c>
      <c r="N40" s="2" cm="1">
        <f t="array" ref="N40">_xlfn.XLOOKUP(1,('Zehnder Charleston'!$B$145:$B$264=N$2)*('Zehnder Charleston'!$D$145:$D$264=$B4),'Zehnder Charleston'!$F$145:$F$264,"")</f>
        <v>1</v>
      </c>
      <c r="O40" s="2" cm="1">
        <f t="array" ref="O40">_xlfn.XLOOKUP(1,('Zehnder Charleston'!$B$145:$B$264=O$2)*('Zehnder Charleston'!$D$145:$D$264=$B4),'Zehnder Charleston'!$F$145:$F$264,"")</f>
        <v>1.1000000000000001</v>
      </c>
      <c r="P40" s="2" cm="1">
        <f t="array" ref="P40">_xlfn.XLOOKUP(1,('Zehnder Charleston'!$B$145:$B$264=P$2)*('Zehnder Charleston'!$D$145:$D$264=$B4),'Zehnder Charleston'!$F$145:$F$264,"")</f>
        <v>1.3</v>
      </c>
      <c r="Q40" s="2" cm="1">
        <f t="array" ref="Q40">_xlfn.XLOOKUP(1,('Zehnder Charleston'!$B$145:$B$264=Q$2)*('Zehnder Charleston'!$D$145:$D$264=$B4),'Zehnder Charleston'!$F$145:$F$264,"")</f>
        <v>1.6</v>
      </c>
      <c r="R40" s="2" cm="1">
        <f t="array" ref="R40">_xlfn.XLOOKUP(1,('Zehnder Charleston'!$B$145:$B$264=R$2)*('Zehnder Charleston'!$D$145:$D$264=$B4),'Zehnder Charleston'!$F$145:$F$264,"")</f>
        <v>1.8</v>
      </c>
      <c r="S40" s="2" cm="1">
        <f t="array" ref="S40">_xlfn.XLOOKUP(1,('Zehnder Charleston'!$B$145:$B$264=S$2)*('Zehnder Charleston'!$D$145:$D$264=$B4),'Zehnder Charleston'!$F$145:$F$264,"")</f>
        <v>1.9</v>
      </c>
      <c r="T40" s="2" cm="1">
        <f t="array" ref="T40">_xlfn.XLOOKUP(1,('Zehnder Charleston'!$B$145:$B$264=T$2)*('Zehnder Charleston'!$D$145:$D$264=$B4),'Zehnder Charleston'!$F$145:$F$264,"")</f>
        <v>2.2000000000000002</v>
      </c>
      <c r="U40" s="2" cm="1">
        <f t="array" ref="U40">_xlfn.XLOOKUP(1,('Zehnder Charleston'!$B$145:$B$264=U$2)*('Zehnder Charleston'!$D$145:$D$264=$B4),'Zehnder Charleston'!$F$145:$F$264,"")</f>
        <v>2.4</v>
      </c>
      <c r="V40" s="2" cm="1">
        <f t="array" ref="V40">_xlfn.XLOOKUP(1,('Zehnder Charleston'!$B$145:$B$264=V$2)*('Zehnder Charleston'!$D$145:$D$264=$B4),'Zehnder Charleston'!$F$145:$F$264,"")</f>
        <v>2.6</v>
      </c>
      <c r="AB40" s="2" t="str" cm="1">
        <f t="array" ref="AB40">_xlfn.XLOOKUP(1,('Zehnder Charleston'!$B$2:$B$138=V$3)*('Zehnder Charleston'!$D$2:$D$138=$B4),'Zehnder Charleston'!$F$2:$F$138,"")</f>
        <v/>
      </c>
    </row>
    <row r="41" spans="1:35" x14ac:dyDescent="0.2">
      <c r="B41" s="2">
        <f>B5</f>
        <v>100</v>
      </c>
      <c r="C41" s="2" cm="1">
        <f t="array" ref="C41">_xlfn.XLOOKUP(1,('Zehnder Charleston'!$B$145:$B$264=C$3)*('Zehnder Charleston'!$D$145:$D$264=$B5),'Zehnder Charleston'!$F$145:$F$264,"")</f>
        <v>0.6</v>
      </c>
      <c r="D41" s="2" cm="1">
        <f t="array" ref="D41">_xlfn.XLOOKUP(1,('Zehnder Charleston'!$B$145:$B$264=D$3)*('Zehnder Charleston'!$D$145:$D$264=$B5),'Zehnder Charleston'!$F$145:$F$264,"")</f>
        <v>0.6</v>
      </c>
      <c r="E41" s="2" cm="1">
        <f t="array" ref="E41">_xlfn.XLOOKUP(1,('Zehnder Charleston'!$B$145:$B$264=E$3)*('Zehnder Charleston'!$D$145:$D$264=$B5),'Zehnder Charleston'!$F$145:$F$264,"")</f>
        <v>0.7</v>
      </c>
      <c r="F41" s="2" cm="1">
        <f t="array" ref="F41">_xlfn.XLOOKUP(1,('Zehnder Charleston'!$B$145:$B$264=F$3)*('Zehnder Charleston'!$D$145:$D$264=$B5),'Zehnder Charleston'!$F$145:$F$264,"")</f>
        <v>0.7</v>
      </c>
      <c r="G41" s="2" cm="1">
        <f t="array" ref="G41">_xlfn.XLOOKUP(1,('Zehnder Charleston'!$B$145:$B$264=G$3)*('Zehnder Charleston'!$D$145:$D$264=$B5),'Zehnder Charleston'!$F$145:$F$264,"")</f>
        <v>0.8</v>
      </c>
      <c r="H41" s="2" cm="1">
        <f t="array" ref="H41">_xlfn.XLOOKUP(1,('Zehnder Charleston'!$B$145:$B$264=H$3)*('Zehnder Charleston'!$D$145:$D$264=$B5),'Zehnder Charleston'!$F$145:$F$264,"")</f>
        <v>0.9</v>
      </c>
      <c r="I41" s="2" cm="1">
        <f t="array" ref="I41">_xlfn.XLOOKUP(1,('Zehnder Charleston'!$B$145:$B$264=I$3)*('Zehnder Charleston'!$D$145:$D$264=$B5),'Zehnder Charleston'!$F$145:$F$264,"")</f>
        <v>0.9</v>
      </c>
      <c r="J41" s="2" cm="1">
        <f t="array" ref="J41">_xlfn.XLOOKUP(1,('Zehnder Charleston'!$B$145:$B$264=J$3)*('Zehnder Charleston'!$D$145:$D$264=$B5),'Zehnder Charleston'!$F$145:$F$264,"")</f>
        <v>1</v>
      </c>
      <c r="K41" s="2" cm="1">
        <f t="array" ref="K41">_xlfn.XLOOKUP(1,('Zehnder Charleston'!$B$145:$B$264=K$3)*('Zehnder Charleston'!$D$145:$D$264=$B5),'Zehnder Charleston'!$F$145:$F$264,"")</f>
        <v>1.2</v>
      </c>
      <c r="L41" s="2" cm="1">
        <f t="array" ref="L41">_xlfn.XLOOKUP(1,('Zehnder Charleston'!$B$145:$B$264=L$3)*('Zehnder Charleston'!$D$145:$D$264=$B5),'Zehnder Charleston'!$F$145:$F$264,"")</f>
        <v>1.3</v>
      </c>
      <c r="M41" s="2" cm="1">
        <f t="array" ref="M41">_xlfn.XLOOKUP(1,('Zehnder Charleston'!$B$145:$B$264=M$3)*('Zehnder Charleston'!$D$145:$D$264=$B5),'Zehnder Charleston'!$F$145:$F$264,"")</f>
        <v>1.5</v>
      </c>
      <c r="N41" s="2" cm="1">
        <f t="array" ref="N41">_xlfn.XLOOKUP(1,('Zehnder Charleston'!$B$145:$B$264=N$3)*('Zehnder Charleston'!$D$145:$D$264=$B5),'Zehnder Charleston'!$F$145:$F$264,"")</f>
        <v>1.6</v>
      </c>
      <c r="O41" s="2" cm="1">
        <f t="array" ref="O41">_xlfn.XLOOKUP(1,('Zehnder Charleston'!$B$145:$B$264=O$3)*('Zehnder Charleston'!$D$145:$D$264=$B5),'Zehnder Charleston'!$F$145:$F$264,"")</f>
        <v>1.7</v>
      </c>
      <c r="P41" s="2" cm="1">
        <f t="array" ref="P41">_xlfn.XLOOKUP(1,('Zehnder Charleston'!$B$145:$B$264=P$3)*('Zehnder Charleston'!$D$145:$D$264=$B5),'Zehnder Charleston'!$F$145:$F$264,"")</f>
        <v>2</v>
      </c>
      <c r="Q41" s="2" cm="1">
        <f t="array" ref="Q41">_xlfn.XLOOKUP(1,('Zehnder Charleston'!$B$145:$B$264=Q$3)*('Zehnder Charleston'!$D$145:$D$264=$B5),'Zehnder Charleston'!$F$145:$F$264,"")</f>
        <v>2.4</v>
      </c>
      <c r="R41" s="2" cm="1">
        <f t="array" ref="R41">_xlfn.XLOOKUP(1,('Zehnder Charleston'!$B$145:$B$264=R$3)*('Zehnder Charleston'!$D$145:$D$264=$B5),'Zehnder Charleston'!$F$145:$F$264,"")</f>
        <v>2.6</v>
      </c>
      <c r="S41" s="2" cm="1">
        <f t="array" ref="S41">_xlfn.XLOOKUP(1,('Zehnder Charleston'!$B$145:$B$264=S$3)*('Zehnder Charleston'!$D$145:$D$264=$B5),'Zehnder Charleston'!$F$145:$F$264,"")</f>
        <v>2.9</v>
      </c>
      <c r="T41" s="2" cm="1">
        <f t="array" ref="T41">_xlfn.XLOOKUP(1,('Zehnder Charleston'!$B$145:$B$264=T$3)*('Zehnder Charleston'!$D$145:$D$264=$B5),'Zehnder Charleston'!$F$145:$F$264,"")</f>
        <v>3.3</v>
      </c>
      <c r="U41" s="2" cm="1">
        <f t="array" ref="U41">_xlfn.XLOOKUP(1,('Zehnder Charleston'!$B$145:$B$264=U$3)*('Zehnder Charleston'!$D$145:$D$264=$B5),'Zehnder Charleston'!$F$145:$F$264,"")</f>
        <v>3.7</v>
      </c>
      <c r="V41" s="2" cm="1">
        <f t="array" ref="V41">_xlfn.XLOOKUP(1,('Zehnder Charleston'!$B$145:$B$264=V$3)*('Zehnder Charleston'!$D$145:$D$264=$B5),'Zehnder Charleston'!$F$145:$F$264,"")</f>
        <v>4</v>
      </c>
    </row>
    <row r="42" spans="1:35" x14ac:dyDescent="0.2">
      <c r="B42" s="2">
        <f>B6</f>
        <v>136</v>
      </c>
      <c r="C42" s="2" cm="1">
        <f t="array" ref="C42">_xlfn.XLOOKUP(1,('Zehnder Charleston'!$B$145:$B$264=C$3)*('Zehnder Charleston'!$D$145:$D$264=$B6),'Zehnder Charleston'!$F$145:$F$264,"")</f>
        <v>0.7</v>
      </c>
      <c r="D42" s="2" cm="1">
        <f t="array" ref="D42">_xlfn.XLOOKUP(1,('Zehnder Charleston'!$B$145:$B$264=D$3)*('Zehnder Charleston'!$D$145:$D$264=$B6),'Zehnder Charleston'!$F$145:$F$264,"")</f>
        <v>0.8</v>
      </c>
      <c r="E42" s="2" cm="1">
        <f t="array" ref="E42">_xlfn.XLOOKUP(1,('Zehnder Charleston'!$B$145:$B$264=E$3)*('Zehnder Charleston'!$D$145:$D$264=$B6),'Zehnder Charleston'!$F$145:$F$264,"")</f>
        <v>0.9</v>
      </c>
      <c r="F42" s="2" cm="1">
        <f t="array" ref="F42">_xlfn.XLOOKUP(1,('Zehnder Charleston'!$B$145:$B$264=F$3)*('Zehnder Charleston'!$D$145:$D$264=$B6),'Zehnder Charleston'!$F$145:$F$264,"")</f>
        <v>0.9</v>
      </c>
      <c r="G42" s="2" cm="1">
        <f t="array" ref="G42">_xlfn.XLOOKUP(1,('Zehnder Charleston'!$B$145:$B$264=G$3)*('Zehnder Charleston'!$D$145:$D$264=$B6),'Zehnder Charleston'!$F$145:$F$264,"")</f>
        <v>1</v>
      </c>
      <c r="H42" s="2" cm="1">
        <f t="array" ref="H42">_xlfn.XLOOKUP(1,('Zehnder Charleston'!$B$145:$B$264=H$3)*('Zehnder Charleston'!$D$145:$D$264=$B6),'Zehnder Charleston'!$F$145:$F$264,"")</f>
        <v>1.1000000000000001</v>
      </c>
      <c r="I42" s="2" cm="1">
        <f t="array" ref="I42">_xlfn.XLOOKUP(1,('Zehnder Charleston'!$B$145:$B$264=I$3)*('Zehnder Charleston'!$D$145:$D$264=$B6),'Zehnder Charleston'!$F$145:$F$264,"")</f>
        <v>1.2</v>
      </c>
      <c r="J42" s="2" cm="1">
        <f t="array" ref="J42">_xlfn.XLOOKUP(1,('Zehnder Charleston'!$B$145:$B$264=J$3)*('Zehnder Charleston'!$D$145:$D$264=$B6),'Zehnder Charleston'!$F$145:$F$264,"")</f>
        <v>1.3</v>
      </c>
      <c r="K42" s="2" cm="1">
        <f t="array" ref="K42">_xlfn.XLOOKUP(1,('Zehnder Charleston'!$B$145:$B$264=K$3)*('Zehnder Charleston'!$D$145:$D$264=$B6),'Zehnder Charleston'!$F$145:$F$264,"")</f>
        <v>1.5</v>
      </c>
      <c r="L42" s="2" cm="1">
        <f t="array" ref="L42">_xlfn.XLOOKUP(1,('Zehnder Charleston'!$B$145:$B$264=L$3)*('Zehnder Charleston'!$D$145:$D$264=$B6),'Zehnder Charleston'!$F$145:$F$264,"")</f>
        <v>1.8</v>
      </c>
      <c r="M42" s="2" cm="1">
        <f t="array" ref="M42">_xlfn.XLOOKUP(1,('Zehnder Charleston'!$B$145:$B$264=M$3)*('Zehnder Charleston'!$D$145:$D$264=$B6),'Zehnder Charleston'!$F$145:$F$264,"")</f>
        <v>1.9</v>
      </c>
      <c r="N42" s="2" cm="1">
        <f t="array" ref="N42">_xlfn.XLOOKUP(1,('Zehnder Charleston'!$B$145:$B$264=N$3)*('Zehnder Charleston'!$D$145:$D$264=$B6),'Zehnder Charleston'!$F$145:$F$264,"")</f>
        <v>2.1</v>
      </c>
      <c r="O42" s="2" cm="1">
        <f t="array" ref="O42">_xlfn.XLOOKUP(1,('Zehnder Charleston'!$B$145:$B$264=O$3)*('Zehnder Charleston'!$D$145:$D$264=$B6),'Zehnder Charleston'!$F$145:$F$264,"")</f>
        <v>2.2000000000000002</v>
      </c>
      <c r="P42" s="2" cm="1">
        <f t="array" ref="P42">_xlfn.XLOOKUP(1,('Zehnder Charleston'!$B$145:$B$264=P$3)*('Zehnder Charleston'!$D$145:$D$264=$B6),'Zehnder Charleston'!$F$145:$F$264,"")</f>
        <v>2.7</v>
      </c>
      <c r="Q42" s="2" cm="1">
        <f t="array" ref="Q42">_xlfn.XLOOKUP(1,('Zehnder Charleston'!$B$145:$B$264=Q$3)*('Zehnder Charleston'!$D$145:$D$264=$B6),'Zehnder Charleston'!$F$145:$F$264,"")</f>
        <v>3.1</v>
      </c>
      <c r="R42" s="2" cm="1">
        <f t="array" ref="R42">_xlfn.XLOOKUP(1,('Zehnder Charleston'!$B$145:$B$264=R$3)*('Zehnder Charleston'!$D$145:$D$264=$B6),'Zehnder Charleston'!$F$145:$F$264,"")</f>
        <v>3.4</v>
      </c>
      <c r="S42" s="2" cm="1">
        <f t="array" ref="S42">_xlfn.XLOOKUP(1,('Zehnder Charleston'!$B$145:$B$264=S$3)*('Zehnder Charleston'!$D$145:$D$264=$B6),'Zehnder Charleston'!$F$145:$F$264,"")</f>
        <v>3.7</v>
      </c>
      <c r="T42" s="2" cm="1">
        <f t="array" ref="T42">_xlfn.XLOOKUP(1,('Zehnder Charleston'!$B$145:$B$264=T$3)*('Zehnder Charleston'!$D$145:$D$264=$B6),'Zehnder Charleston'!$F$145:$F$264,"")</f>
        <v>4.3</v>
      </c>
      <c r="U42" s="2" cm="1">
        <f t="array" ref="U42">_xlfn.XLOOKUP(1,('Zehnder Charleston'!$B$145:$B$264=U$3)*('Zehnder Charleston'!$D$145:$D$264=$B6),'Zehnder Charleston'!$F$145:$F$264,"")</f>
        <v>4.9000000000000004</v>
      </c>
      <c r="V42" s="2" cm="1">
        <f t="array" ref="V42">_xlfn.XLOOKUP(1,('Zehnder Charleston'!$B$145:$B$264=V$3)*('Zehnder Charleston'!$D$145:$D$264=$B6),'Zehnder Charleston'!$F$145:$F$264,"")</f>
        <v>5.4</v>
      </c>
    </row>
    <row r="43" spans="1:35" x14ac:dyDescent="0.2">
      <c r="B43" s="2">
        <f>B7</f>
        <v>173</v>
      </c>
      <c r="C43" s="2" cm="1">
        <f t="array" ref="C43">_xlfn.XLOOKUP(1,('Zehnder Charleston'!$B$145:$B$264=C$3)*('Zehnder Charleston'!$D$145:$D$264=$B7),'Zehnder Charleston'!$F$145:$F$264,"")</f>
        <v>0.9</v>
      </c>
      <c r="D43" s="2" cm="1">
        <f t="array" ref="D43">_xlfn.XLOOKUP(1,('Zehnder Charleston'!$B$145:$B$264=D$3)*('Zehnder Charleston'!$D$145:$D$264=$B7),'Zehnder Charleston'!$F$145:$F$264,"")</f>
        <v>1</v>
      </c>
      <c r="E43" s="2" cm="1">
        <f t="array" ref="E43">_xlfn.XLOOKUP(1,('Zehnder Charleston'!$B$145:$B$264=E$3)*('Zehnder Charleston'!$D$145:$D$264=$B7),'Zehnder Charleston'!$F$145:$F$264,"")</f>
        <v>1.1000000000000001</v>
      </c>
      <c r="F43" s="2" cm="1">
        <f t="array" ref="F43">_xlfn.XLOOKUP(1,('Zehnder Charleston'!$B$145:$B$264=F$3)*('Zehnder Charleston'!$D$145:$D$264=$B7),'Zehnder Charleston'!$F$145:$F$264,"")</f>
        <v>1.2</v>
      </c>
      <c r="G43" s="2" cm="1">
        <f t="array" ref="G43">_xlfn.XLOOKUP(1,('Zehnder Charleston'!$B$145:$B$264=G$3)*('Zehnder Charleston'!$D$145:$D$264=$B7),'Zehnder Charleston'!$F$145:$F$264,"")</f>
        <v>1.3</v>
      </c>
      <c r="H43" s="2" cm="1">
        <f t="array" ref="H43">_xlfn.XLOOKUP(1,('Zehnder Charleston'!$B$145:$B$264=H$3)*('Zehnder Charleston'!$D$145:$D$264=$B7),'Zehnder Charleston'!$F$145:$F$264,"")</f>
        <v>1.4</v>
      </c>
      <c r="I43" s="2" cm="1">
        <f t="array" ref="I43">_xlfn.XLOOKUP(1,('Zehnder Charleston'!$B$145:$B$264=I$3)*('Zehnder Charleston'!$D$145:$D$264=$B7),'Zehnder Charleston'!$F$145:$F$264,"")</f>
        <v>1.5</v>
      </c>
      <c r="J43" s="2" cm="1">
        <f t="array" ref="J43">_xlfn.XLOOKUP(1,('Zehnder Charleston'!$B$145:$B$264=J$3)*('Zehnder Charleston'!$D$145:$D$264=$B7),'Zehnder Charleston'!$F$145:$F$264,"")</f>
        <v>1.6</v>
      </c>
      <c r="K43" s="2" cm="1">
        <f t="array" ref="K43">_xlfn.XLOOKUP(1,('Zehnder Charleston'!$B$145:$B$264=K$3)*('Zehnder Charleston'!$D$145:$D$264=$B7),'Zehnder Charleston'!$F$145:$F$264,"")</f>
        <v>1.9</v>
      </c>
      <c r="L43" s="2" cm="1">
        <f t="array" ref="L43">_xlfn.XLOOKUP(1,('Zehnder Charleston'!$B$145:$B$264=L$3)*('Zehnder Charleston'!$D$145:$D$264=$B7),'Zehnder Charleston'!$F$145:$F$264,"")</f>
        <v>2.2000000000000002</v>
      </c>
      <c r="M43" s="2" cm="1">
        <f t="array" ref="M43">_xlfn.XLOOKUP(1,('Zehnder Charleston'!$B$145:$B$264=M$3)*('Zehnder Charleston'!$D$145:$D$264=$B7),'Zehnder Charleston'!$F$145:$F$264,"")</f>
        <v>2.4</v>
      </c>
      <c r="N43" s="2" cm="1">
        <f t="array" ref="N43">_xlfn.XLOOKUP(1,('Zehnder Charleston'!$B$145:$B$264=N$3)*('Zehnder Charleston'!$D$145:$D$264=$B7),'Zehnder Charleston'!$F$145:$F$264,"")</f>
        <v>2.6</v>
      </c>
      <c r="O43" s="2" cm="1">
        <f t="array" ref="O43">_xlfn.XLOOKUP(1,('Zehnder Charleston'!$B$145:$B$264=O$3)*('Zehnder Charleston'!$D$145:$D$264=$B7),'Zehnder Charleston'!$F$145:$F$264,"")</f>
        <v>2.8</v>
      </c>
      <c r="P43" s="2" cm="1">
        <f t="array" ref="P43">_xlfn.XLOOKUP(1,('Zehnder Charleston'!$B$145:$B$264=P$3)*('Zehnder Charleston'!$D$145:$D$264=$B7),'Zehnder Charleston'!$F$145:$F$264,"")</f>
        <v>3.3</v>
      </c>
      <c r="Q43" s="2" cm="1">
        <f t="array" ref="Q43">_xlfn.XLOOKUP(1,('Zehnder Charleston'!$B$145:$B$264=Q$3)*('Zehnder Charleston'!$D$145:$D$264=$B7),'Zehnder Charleston'!$F$145:$F$264,"")</f>
        <v>3.9</v>
      </c>
      <c r="R43" s="2" cm="1">
        <f t="array" ref="R43">_xlfn.XLOOKUP(1,('Zehnder Charleston'!$B$145:$B$264=R$3)*('Zehnder Charleston'!$D$145:$D$264=$B7),'Zehnder Charleston'!$F$145:$F$264,"")</f>
        <v>4.3</v>
      </c>
      <c r="S43" s="2" cm="1">
        <f t="array" ref="S43">_xlfn.XLOOKUP(1,('Zehnder Charleston'!$B$145:$B$264=S$3)*('Zehnder Charleston'!$D$145:$D$264=$B7),'Zehnder Charleston'!$F$145:$F$264,"")</f>
        <v>4.7</v>
      </c>
      <c r="T43" s="2" cm="1">
        <f t="array" ref="T43">_xlfn.XLOOKUP(1,('Zehnder Charleston'!$B$145:$B$264=T$3)*('Zehnder Charleston'!$D$145:$D$264=$B7),'Zehnder Charleston'!$F$145:$F$264,"")</f>
        <v>5.4</v>
      </c>
      <c r="U43" s="2" cm="1">
        <f t="array" ref="U43">_xlfn.XLOOKUP(1,('Zehnder Charleston'!$B$145:$B$264=U$3)*('Zehnder Charleston'!$D$145:$D$264=$B7),'Zehnder Charleston'!$F$145:$F$264,"")</f>
        <v>6.1</v>
      </c>
      <c r="V43" s="2" cm="1">
        <f t="array" ref="V43">_xlfn.XLOOKUP(1,('Zehnder Charleston'!$B$145:$B$264=V$3)*('Zehnder Charleston'!$D$145:$D$264=$B7),'Zehnder Charleston'!$F$145:$F$264,"")</f>
        <v>6.6</v>
      </c>
    </row>
    <row r="44" spans="1:35" x14ac:dyDescent="0.2">
      <c r="B44" s="2">
        <f>B8</f>
        <v>210</v>
      </c>
      <c r="C44" s="2" cm="1">
        <f t="array" ref="C44">_xlfn.XLOOKUP(1,('Zehnder Charleston'!$B$145:$B$264=C$3)*('Zehnder Charleston'!$D$145:$D$264=$B8),'Zehnder Charleston'!$F$145:$F$264,"")</f>
        <v>1</v>
      </c>
      <c r="D44" s="2" cm="1">
        <f t="array" ref="D44">_xlfn.XLOOKUP(1,('Zehnder Charleston'!$B$145:$B$264=D$3)*('Zehnder Charleston'!$D$145:$D$264=$B8),'Zehnder Charleston'!$F$145:$F$264,"")</f>
        <v>1.1000000000000001</v>
      </c>
      <c r="E44" s="2" cm="1">
        <f t="array" ref="E44">_xlfn.XLOOKUP(1,('Zehnder Charleston'!$B$145:$B$264=E$3)*('Zehnder Charleston'!$D$145:$D$264=$B8),'Zehnder Charleston'!$F$145:$F$264,"")</f>
        <v>1.3</v>
      </c>
      <c r="F44" s="2" cm="1">
        <f t="array" ref="F44">_xlfn.XLOOKUP(1,('Zehnder Charleston'!$B$145:$B$264=F$3)*('Zehnder Charleston'!$D$145:$D$264=$B8),'Zehnder Charleston'!$F$145:$F$264,"")</f>
        <v>1.4</v>
      </c>
      <c r="G44" s="2" cm="1">
        <f t="array" ref="G44">_xlfn.XLOOKUP(1,('Zehnder Charleston'!$B$145:$B$264=G$3)*('Zehnder Charleston'!$D$145:$D$264=$B8),'Zehnder Charleston'!$F$145:$F$264,"")</f>
        <v>1.5</v>
      </c>
      <c r="H44" s="2" cm="1">
        <f t="array" ref="H44">_xlfn.XLOOKUP(1,('Zehnder Charleston'!$B$145:$B$264=H$3)*('Zehnder Charleston'!$D$145:$D$264=$B8),'Zehnder Charleston'!$F$145:$F$264,"")</f>
        <v>1.6</v>
      </c>
      <c r="I44" s="2" cm="1">
        <f t="array" ref="I44">_xlfn.XLOOKUP(1,('Zehnder Charleston'!$B$145:$B$264=I$3)*('Zehnder Charleston'!$D$145:$D$264=$B8),'Zehnder Charleston'!$F$145:$F$264,"")</f>
        <v>1.8</v>
      </c>
      <c r="J44" s="2" cm="1">
        <f t="array" ref="J44">_xlfn.XLOOKUP(1,('Zehnder Charleston'!$B$145:$B$264=J$3)*('Zehnder Charleston'!$D$145:$D$264=$B8),'Zehnder Charleston'!$F$145:$F$264,"")</f>
        <v>1.9</v>
      </c>
      <c r="K44" s="2" cm="1">
        <f t="array" ref="K44">_xlfn.XLOOKUP(1,('Zehnder Charleston'!$B$145:$B$264=K$3)*('Zehnder Charleston'!$D$145:$D$264=$B8),'Zehnder Charleston'!$F$145:$F$264,"")</f>
        <v>2.2000000000000002</v>
      </c>
      <c r="L44" s="2" cm="1">
        <f t="array" ref="L44">_xlfn.XLOOKUP(1,('Zehnder Charleston'!$B$145:$B$264=L$3)*('Zehnder Charleston'!$D$145:$D$264=$B8),'Zehnder Charleston'!$F$145:$F$264,"")</f>
        <v>2.6</v>
      </c>
      <c r="M44" s="2" cm="1">
        <f t="array" ref="M44">_xlfn.XLOOKUP(1,('Zehnder Charleston'!$B$145:$B$264=M$3)*('Zehnder Charleston'!$D$145:$D$264=$B8),'Zehnder Charleston'!$F$145:$F$264,"")</f>
        <v>2.8</v>
      </c>
      <c r="N44" s="2" cm="1">
        <f t="array" ref="N44">_xlfn.XLOOKUP(1,('Zehnder Charleston'!$B$145:$B$264=N$3)*('Zehnder Charleston'!$D$145:$D$264=$B8),'Zehnder Charleston'!$F$145:$F$264,"")</f>
        <v>3.1</v>
      </c>
      <c r="O44" s="2" cm="1">
        <f t="array" ref="O44">_xlfn.XLOOKUP(1,('Zehnder Charleston'!$B$145:$B$264=O$3)*('Zehnder Charleston'!$D$145:$D$264=$B8),'Zehnder Charleston'!$F$145:$F$264,"")</f>
        <v>3.3</v>
      </c>
      <c r="P44" s="2" cm="1">
        <f t="array" ref="P44">_xlfn.XLOOKUP(1,('Zehnder Charleston'!$B$145:$B$264=P$3)*('Zehnder Charleston'!$D$145:$D$264=$B8),'Zehnder Charleston'!$F$145:$F$264,"")</f>
        <v>4</v>
      </c>
      <c r="Q44" s="2" cm="1">
        <f t="array" ref="Q44">_xlfn.XLOOKUP(1,('Zehnder Charleston'!$B$145:$B$264=Q$3)*('Zehnder Charleston'!$D$145:$D$264=$B8),'Zehnder Charleston'!$F$145:$F$264,"")</f>
        <v>4.8</v>
      </c>
      <c r="R44" s="2" cm="1">
        <f t="array" ref="R44">_xlfn.XLOOKUP(1,('Zehnder Charleston'!$B$145:$B$264=R$3)*('Zehnder Charleston'!$D$145:$D$264=$B8),'Zehnder Charleston'!$F$145:$F$264,"")</f>
        <v>5.2</v>
      </c>
      <c r="S44" s="2" cm="1">
        <f t="array" ref="S44">_xlfn.XLOOKUP(1,('Zehnder Charleston'!$B$145:$B$264=S$3)*('Zehnder Charleston'!$D$145:$D$264=$B8),'Zehnder Charleston'!$F$145:$F$264,"")</f>
        <v>5.7</v>
      </c>
      <c r="T44" s="2" cm="1">
        <f t="array" ref="T44">_xlfn.XLOOKUP(1,('Zehnder Charleston'!$B$145:$B$264=T$3)*('Zehnder Charleston'!$D$145:$D$264=$B8),'Zehnder Charleston'!$F$145:$F$264,"")</f>
        <v>6.4</v>
      </c>
      <c r="U44" s="2" cm="1">
        <f t="array" ref="U44">_xlfn.XLOOKUP(1,('Zehnder Charleston'!$B$145:$B$264=U$3)*('Zehnder Charleston'!$D$145:$D$264=$B8),'Zehnder Charleston'!$F$145:$F$264,"")</f>
        <v>7.1</v>
      </c>
      <c r="V44" s="2" cm="1">
        <f t="array" ref="V44">_xlfn.XLOOKUP(1,('Zehnder Charleston'!$B$145:$B$264=V$3)*('Zehnder Charleston'!$D$145:$D$264=$B8),'Zehnder Charleston'!$F$145:$F$264,"")</f>
        <v>7.6</v>
      </c>
    </row>
    <row r="45" spans="1:35" x14ac:dyDescent="0.2">
      <c r="M45"/>
      <c r="N45"/>
      <c r="O45"/>
      <c r="P45"/>
      <c r="Q45"/>
    </row>
    <row r="46" spans="1:35" ht="51.75" x14ac:dyDescent="0.25">
      <c r="A46" s="57" t="s">
        <v>157</v>
      </c>
      <c r="C46" s="4" t="s">
        <v>2</v>
      </c>
      <c r="M46"/>
      <c r="N46"/>
      <c r="O46"/>
      <c r="P46"/>
      <c r="Q46"/>
    </row>
    <row r="47" spans="1:35" ht="13.5" x14ac:dyDescent="0.25">
      <c r="A47" s="57"/>
      <c r="C47" s="4"/>
      <c r="M47"/>
      <c r="N47"/>
      <c r="O47"/>
      <c r="P47"/>
      <c r="Q47"/>
    </row>
    <row r="48" spans="1:35" x14ac:dyDescent="0.2">
      <c r="A48" s="57" t="s">
        <v>158</v>
      </c>
      <c r="C48" s="5">
        <f t="shared" ref="C48:V48" si="4">C$3</f>
        <v>260</v>
      </c>
      <c r="D48" s="5">
        <f t="shared" si="4"/>
        <v>300</v>
      </c>
      <c r="E48" s="5">
        <f t="shared" si="4"/>
        <v>350</v>
      </c>
      <c r="F48" s="5">
        <f t="shared" si="4"/>
        <v>400</v>
      </c>
      <c r="G48" s="5">
        <f t="shared" si="4"/>
        <v>450</v>
      </c>
      <c r="H48" s="5">
        <f t="shared" si="4"/>
        <v>500</v>
      </c>
      <c r="I48" s="5">
        <f t="shared" si="4"/>
        <v>550</v>
      </c>
      <c r="J48" s="5">
        <f t="shared" si="4"/>
        <v>600</v>
      </c>
      <c r="K48" s="5">
        <f t="shared" si="4"/>
        <v>750</v>
      </c>
      <c r="L48" s="5">
        <f t="shared" si="4"/>
        <v>900</v>
      </c>
      <c r="M48" s="5">
        <f t="shared" si="4"/>
        <v>1000</v>
      </c>
      <c r="N48" s="5">
        <f t="shared" si="4"/>
        <v>1100</v>
      </c>
      <c r="O48" s="5">
        <f t="shared" si="4"/>
        <v>1200</v>
      </c>
      <c r="P48" s="5">
        <f t="shared" si="4"/>
        <v>1500</v>
      </c>
      <c r="Q48" s="5">
        <f t="shared" si="4"/>
        <v>1800</v>
      </c>
      <c r="R48" s="5">
        <f t="shared" si="4"/>
        <v>2000</v>
      </c>
      <c r="S48" s="5">
        <f t="shared" si="4"/>
        <v>2200</v>
      </c>
      <c r="T48" s="5">
        <f t="shared" si="4"/>
        <v>2500</v>
      </c>
      <c r="U48" s="5">
        <f t="shared" si="4"/>
        <v>2800</v>
      </c>
      <c r="V48" s="5">
        <f t="shared" si="4"/>
        <v>3000</v>
      </c>
    </row>
    <row r="49" spans="1:28" ht="13.5" x14ac:dyDescent="0.25">
      <c r="A49" s="4" t="s">
        <v>3</v>
      </c>
      <c r="B49" s="2">
        <f>B4</f>
        <v>62</v>
      </c>
      <c r="C49" s="2" cm="1">
        <f t="array" ref="C49">_xlfn.XLOOKUP(1,('Zehnder Charleston'!$B$145:$B$264=C$3)*('Zehnder Charleston'!$D$145:$D$264=$B4),'Zehnder Charleston'!$I$145:$I$264,"")</f>
        <v>2.1</v>
      </c>
      <c r="D49" s="2" cm="1">
        <f t="array" ref="D49">_xlfn.XLOOKUP(1,('Zehnder Charleston'!$B$145:$B$264=D$2)*('Zehnder Charleston'!$D$145:$D$264=$B4),'Zehnder Charleston'!$I$145:$I$264,"")</f>
        <v>2.2999999999999998</v>
      </c>
      <c r="E49" s="2" cm="1">
        <f t="array" ref="E49">_xlfn.XLOOKUP(1,('Zehnder Charleston'!$B$145:$B$264=E$2)*('Zehnder Charleston'!$D$145:$D$264=$B4),'Zehnder Charleston'!$I$145:$I$264,"")</f>
        <v>2.6</v>
      </c>
      <c r="F49" s="2" cm="1">
        <f t="array" ref="F49">_xlfn.XLOOKUP(1,('Zehnder Charleston'!$B$145:$B$264=F$2)*('Zehnder Charleston'!$D$145:$D$264=$B4),'Zehnder Charleston'!$I$145:$I$264,"")</f>
        <v>2.9</v>
      </c>
      <c r="G49" s="2" cm="1">
        <f t="array" ref="G49">_xlfn.XLOOKUP(1,('Zehnder Charleston'!$B$145:$B$264=G$2)*('Zehnder Charleston'!$D$145:$D$264=$B4),'Zehnder Charleston'!$I$145:$I$264,"")</f>
        <v>3.3</v>
      </c>
      <c r="H49" s="2" cm="1">
        <f t="array" ref="H49">_xlfn.XLOOKUP(1,('Zehnder Charleston'!$B$145:$B$264=H$2)*('Zehnder Charleston'!$D$145:$D$264=$B4),'Zehnder Charleston'!$I$145:$I$264,"")</f>
        <v>3.6</v>
      </c>
      <c r="I49" s="2" cm="1">
        <f t="array" ref="I49">_xlfn.XLOOKUP(1,('Zehnder Charleston'!$B$145:$B$264=I$2)*('Zehnder Charleston'!$D$145:$D$264=$B4),'Zehnder Charleston'!$I$145:$I$264,"")</f>
        <v>3.9</v>
      </c>
      <c r="J49" s="2" cm="1">
        <f t="array" ref="J49">_xlfn.XLOOKUP(1,('Zehnder Charleston'!$B$145:$B$264=J$2)*('Zehnder Charleston'!$D$145:$D$264=$B4),'Zehnder Charleston'!$I$145:$I$264,"")</f>
        <v>4.2</v>
      </c>
      <c r="K49" s="2" cm="1">
        <f t="array" ref="K49">_xlfn.XLOOKUP(1,('Zehnder Charleston'!$B$145:$B$264=K$2)*('Zehnder Charleston'!$D$145:$D$264=$B4),'Zehnder Charleston'!$I$145:$I$264,"")</f>
        <v>5.0999999999999996</v>
      </c>
      <c r="L49" s="2" cm="1">
        <f t="array" ref="L49">_xlfn.XLOOKUP(1,('Zehnder Charleston'!$B$145:$B$264=L$2)*('Zehnder Charleston'!$D$145:$D$264=$B4),'Zehnder Charleston'!$I$145:$I$264,"")</f>
        <v>6</v>
      </c>
      <c r="M49" s="2" cm="1">
        <f t="array" ref="M49">_xlfn.XLOOKUP(1,('Zehnder Charleston'!$B$145:$B$264=M$2)*('Zehnder Charleston'!$D$145:$D$264=$B4),'Zehnder Charleston'!$I$145:$I$264,"")</f>
        <v>6.5</v>
      </c>
      <c r="N49" s="2" cm="1">
        <f t="array" ref="N49">_xlfn.XLOOKUP(1,('Zehnder Charleston'!$B$145:$B$264=N$2)*('Zehnder Charleston'!$D$145:$D$264=$B4),'Zehnder Charleston'!$I$145:$I$264,"")</f>
        <v>7.1</v>
      </c>
      <c r="O49" s="2" cm="1">
        <f t="array" ref="O49">_xlfn.XLOOKUP(1,('Zehnder Charleston'!$B$145:$B$264=O$2)*('Zehnder Charleston'!$D$145:$D$264=$B4),'Zehnder Charleston'!$I$145:$I$264,"")</f>
        <v>7.8</v>
      </c>
      <c r="P49" s="2" cm="1">
        <f t="array" ref="P49">_xlfn.XLOOKUP(1,('Zehnder Charleston'!$B$145:$B$264=P$2)*('Zehnder Charleston'!$D$145:$D$264=$B4),'Zehnder Charleston'!$I$145:$I$264,"")</f>
        <v>9.9</v>
      </c>
      <c r="Q49" s="2" cm="1">
        <f t="array" ref="Q49">_xlfn.XLOOKUP(1,('Zehnder Charleston'!$B$145:$B$264=Q$2)*('Zehnder Charleston'!$D$145:$D$264=$B4),'Zehnder Charleston'!$I$145:$I$264,"")</f>
        <v>12</v>
      </c>
      <c r="R49" s="2" cm="1">
        <f t="array" ref="R49">_xlfn.XLOOKUP(1,('Zehnder Charleston'!$B$145:$B$264=R$2)*('Zehnder Charleston'!$D$145:$D$264=$B4),'Zehnder Charleston'!$I$145:$I$264,"")</f>
        <v>13.4</v>
      </c>
      <c r="S49" s="2" cm="1">
        <f t="array" ref="S49">_xlfn.XLOOKUP(1,('Zehnder Charleston'!$B$145:$B$264=S$2)*('Zehnder Charleston'!$D$145:$D$264=$B4),'Zehnder Charleston'!$I$145:$I$264,"")</f>
        <v>14.8</v>
      </c>
      <c r="T49" s="2" cm="1">
        <f t="array" ref="T49">_xlfn.XLOOKUP(1,('Zehnder Charleston'!$B$145:$B$264=T$2)*('Zehnder Charleston'!$D$145:$D$264=$B4),'Zehnder Charleston'!$I$145:$I$264,"")</f>
        <v>16.8</v>
      </c>
      <c r="U49" s="2" cm="1">
        <f t="array" ref="U49">_xlfn.XLOOKUP(1,('Zehnder Charleston'!$B$145:$B$264=U$2)*('Zehnder Charleston'!$D$145:$D$264=$B4),'Zehnder Charleston'!$I$145:$I$264,"")</f>
        <v>18.8</v>
      </c>
      <c r="V49" s="2" cm="1">
        <f t="array" ref="V49">_xlfn.XLOOKUP(1,('Zehnder Charleston'!$B$145:$B$264=V$2)*('Zehnder Charleston'!$D$145:$D$264=$B4),'Zehnder Charleston'!$I$145:$I$264,"")</f>
        <v>20.2</v>
      </c>
      <c r="AB49" s="2" t="str" cm="1">
        <f t="array" ref="AB49">_xlfn.XLOOKUP(1,('Zehnder Charleston'!$B$2:$B$138=V$3)*('Zehnder Charleston'!$D$2:$D$138=$B4),'Zehnder Charleston'!$I$2:$I$138,"")</f>
        <v/>
      </c>
    </row>
    <row r="50" spans="1:28" ht="12.75" customHeight="1" x14ac:dyDescent="0.2">
      <c r="B50" s="2">
        <f>B5</f>
        <v>100</v>
      </c>
      <c r="C50" s="2" cm="1">
        <f t="array" ref="C50">_xlfn.XLOOKUP(1,('Zehnder Charleston'!$B$145:$B$264=C$3)*('Zehnder Charleston'!$D$145:$D$264=$B5),'Zehnder Charleston'!$I$145:$I$264,"")</f>
        <v>2.7</v>
      </c>
      <c r="D50" s="2" cm="1">
        <f t="array" ref="D50">_xlfn.XLOOKUP(1,('Zehnder Charleston'!$B$145:$B$264=D$3)*('Zehnder Charleston'!$D$145:$D$264=$B5),'Zehnder Charleston'!$I$145:$I$264,"")</f>
        <v>3</v>
      </c>
      <c r="E50" s="2" cm="1">
        <f t="array" ref="E50">_xlfn.XLOOKUP(1,('Zehnder Charleston'!$B$145:$B$264=E$3)*('Zehnder Charleston'!$D$145:$D$264=$B5),'Zehnder Charleston'!$I$145:$I$264,"")</f>
        <v>3.5</v>
      </c>
      <c r="F50" s="2" cm="1">
        <f t="array" ref="F50">_xlfn.XLOOKUP(1,('Zehnder Charleston'!$B$145:$B$264=F$3)*('Zehnder Charleston'!$D$145:$D$264=$B5),'Zehnder Charleston'!$I$145:$I$264,"")</f>
        <v>3.9</v>
      </c>
      <c r="G50" s="2" cm="1">
        <f t="array" ref="G50">_xlfn.XLOOKUP(1,('Zehnder Charleston'!$B$145:$B$264=G$3)*('Zehnder Charleston'!$D$145:$D$264=$B5),'Zehnder Charleston'!$I$145:$I$264,"")</f>
        <v>4.4000000000000004</v>
      </c>
      <c r="H50" s="2" cm="1">
        <f t="array" ref="H50">_xlfn.XLOOKUP(1,('Zehnder Charleston'!$B$145:$B$264=H$3)*('Zehnder Charleston'!$D$145:$D$264=$B5),'Zehnder Charleston'!$I$145:$I$264,"")</f>
        <v>4.8</v>
      </c>
      <c r="I50" s="2" cm="1">
        <f t="array" ref="I50">_xlfn.XLOOKUP(1,('Zehnder Charleston'!$B$145:$B$264=I$3)*('Zehnder Charleston'!$D$145:$D$264=$B5),'Zehnder Charleston'!$I$145:$I$264,"")</f>
        <v>5.2</v>
      </c>
      <c r="J50" s="2" cm="1">
        <f t="array" ref="J50">_xlfn.XLOOKUP(1,('Zehnder Charleston'!$B$145:$B$264=J$3)*('Zehnder Charleston'!$D$145:$D$264=$B5),'Zehnder Charleston'!$I$145:$I$264,"")</f>
        <v>5.7</v>
      </c>
      <c r="K50" s="2" cm="1">
        <f t="array" ref="K50">_xlfn.XLOOKUP(1,('Zehnder Charleston'!$B$145:$B$264=K$3)*('Zehnder Charleston'!$D$145:$D$264=$B5),'Zehnder Charleston'!$I$145:$I$264,"")</f>
        <v>7</v>
      </c>
      <c r="L50" s="2" cm="1">
        <f t="array" ref="L50">_xlfn.XLOOKUP(1,('Zehnder Charleston'!$B$145:$B$264=L$3)*('Zehnder Charleston'!$D$145:$D$264=$B5),'Zehnder Charleston'!$I$145:$I$264,"")</f>
        <v>8.3000000000000007</v>
      </c>
      <c r="M50" s="2" cm="1">
        <f t="array" ref="M50">_xlfn.XLOOKUP(1,('Zehnder Charleston'!$B$145:$B$264=M$3)*('Zehnder Charleston'!$D$145:$D$264=$B5),'Zehnder Charleston'!$I$145:$I$264,"")</f>
        <v>9.1999999999999993</v>
      </c>
      <c r="N50" s="2" cm="1">
        <f t="array" ref="N50">_xlfn.XLOOKUP(1,('Zehnder Charleston'!$B$145:$B$264=N$3)*('Zehnder Charleston'!$D$145:$D$264=$B5),'Zehnder Charleston'!$I$145:$I$264,"")</f>
        <v>10.1</v>
      </c>
      <c r="O50" s="2" cm="1">
        <f t="array" ref="O50">_xlfn.XLOOKUP(1,('Zehnder Charleston'!$B$145:$B$264=O$3)*('Zehnder Charleston'!$D$145:$D$264=$B5),'Zehnder Charleston'!$I$145:$I$264,"")</f>
        <v>10.9</v>
      </c>
      <c r="P50" s="2" cm="1">
        <f t="array" ref="P50">_xlfn.XLOOKUP(1,('Zehnder Charleston'!$B$145:$B$264=P$3)*('Zehnder Charleston'!$D$145:$D$264=$B5),'Zehnder Charleston'!$I$145:$I$264,"")</f>
        <v>13.6</v>
      </c>
      <c r="Q50" s="2" cm="1">
        <f t="array" ref="Q50">_xlfn.XLOOKUP(1,('Zehnder Charleston'!$B$145:$B$264=Q$3)*('Zehnder Charleston'!$D$145:$D$264=$B5),'Zehnder Charleston'!$I$145:$I$264,"")</f>
        <v>16.3</v>
      </c>
      <c r="R50" s="2" cm="1">
        <f t="array" ref="R50">_xlfn.XLOOKUP(1,('Zehnder Charleston'!$B$145:$B$264=R$3)*('Zehnder Charleston'!$D$145:$D$264=$B5),'Zehnder Charleston'!$I$145:$I$264,"")</f>
        <v>18</v>
      </c>
      <c r="S50" s="2" cm="1">
        <f t="array" ref="S50">_xlfn.XLOOKUP(1,('Zehnder Charleston'!$B$145:$B$264=S$3)*('Zehnder Charleston'!$D$145:$D$264=$B5),'Zehnder Charleston'!$I$145:$I$264,"")</f>
        <v>19.7</v>
      </c>
      <c r="T50" s="2" cm="1">
        <f t="array" ref="T50">_xlfn.XLOOKUP(1,('Zehnder Charleston'!$B$145:$B$264=T$3)*('Zehnder Charleston'!$D$145:$D$264=$B5),'Zehnder Charleston'!$I$145:$I$264,"")</f>
        <v>22.4</v>
      </c>
      <c r="U50" s="2" cm="1">
        <f t="array" ref="U50">_xlfn.XLOOKUP(1,('Zehnder Charleston'!$B$145:$B$264=U$3)*('Zehnder Charleston'!$D$145:$D$264=$B5),'Zehnder Charleston'!$I$145:$I$264,"")</f>
        <v>24.9</v>
      </c>
      <c r="V50" s="2" cm="1">
        <f t="array" ref="V50">_xlfn.XLOOKUP(1,('Zehnder Charleston'!$B$145:$B$264=V$3)*('Zehnder Charleston'!$D$145:$D$264=$B5),'Zehnder Charleston'!$I$145:$I$264,"")</f>
        <v>26.7</v>
      </c>
    </row>
    <row r="51" spans="1:28" ht="12.75" customHeight="1" x14ac:dyDescent="0.2">
      <c r="B51" s="2">
        <f>B6</f>
        <v>136</v>
      </c>
      <c r="C51" s="2" cm="1">
        <f t="array" ref="C51">_xlfn.XLOOKUP(1,('Zehnder Charleston'!$B$145:$B$264=C$3)*('Zehnder Charleston'!$D$145:$D$264=$B6),'Zehnder Charleston'!$I$145:$I$264,"")</f>
        <v>3.5</v>
      </c>
      <c r="D51" s="2" cm="1">
        <f t="array" ref="D51">_xlfn.XLOOKUP(1,('Zehnder Charleston'!$B$145:$B$264=D$3)*('Zehnder Charleston'!$D$145:$D$264=$B6),'Zehnder Charleston'!$I$145:$I$264,"")</f>
        <v>3.9</v>
      </c>
      <c r="E51" s="2" cm="1">
        <f t="array" ref="E51">_xlfn.XLOOKUP(1,('Zehnder Charleston'!$B$145:$B$264=E$3)*('Zehnder Charleston'!$D$145:$D$264=$B6),'Zehnder Charleston'!$I$145:$I$264,"")</f>
        <v>4.5</v>
      </c>
      <c r="F51" s="2" cm="1">
        <f t="array" ref="F51">_xlfn.XLOOKUP(1,('Zehnder Charleston'!$B$145:$B$264=F$3)*('Zehnder Charleston'!$D$145:$D$264=$B6),'Zehnder Charleston'!$I$145:$I$264,"")</f>
        <v>5.0999999999999996</v>
      </c>
      <c r="G51" s="2" cm="1">
        <f t="array" ref="G51">_xlfn.XLOOKUP(1,('Zehnder Charleston'!$B$145:$B$264=G$3)*('Zehnder Charleston'!$D$145:$D$264=$B6),'Zehnder Charleston'!$I$145:$I$264,"")</f>
        <v>5.7</v>
      </c>
      <c r="H51" s="2" cm="1">
        <f t="array" ref="H51">_xlfn.XLOOKUP(1,('Zehnder Charleston'!$B$145:$B$264=H$3)*('Zehnder Charleston'!$D$145:$D$264=$B6),'Zehnder Charleston'!$I$145:$I$264,"")</f>
        <v>6.2</v>
      </c>
      <c r="I51" s="2" cm="1">
        <f t="array" ref="I51">_xlfn.XLOOKUP(1,('Zehnder Charleston'!$B$145:$B$264=I$3)*('Zehnder Charleston'!$D$145:$D$264=$B6),'Zehnder Charleston'!$I$145:$I$264,"")</f>
        <v>6.8</v>
      </c>
      <c r="J51" s="2" cm="1">
        <f t="array" ref="J51">_xlfn.XLOOKUP(1,('Zehnder Charleston'!$B$145:$B$264=J$3)*('Zehnder Charleston'!$D$145:$D$264=$B6),'Zehnder Charleston'!$I$145:$I$264,"")</f>
        <v>7.3</v>
      </c>
      <c r="K51" s="2" cm="1">
        <f t="array" ref="K51">_xlfn.XLOOKUP(1,('Zehnder Charleston'!$B$145:$B$264=K$3)*('Zehnder Charleston'!$D$145:$D$264=$B6),'Zehnder Charleston'!$I$145:$I$264,"")</f>
        <v>9</v>
      </c>
      <c r="L51" s="2" cm="1">
        <f t="array" ref="L51">_xlfn.XLOOKUP(1,('Zehnder Charleston'!$B$145:$B$264=L$3)*('Zehnder Charleston'!$D$145:$D$264=$B6),'Zehnder Charleston'!$I$145:$I$264,"")</f>
        <v>10.8</v>
      </c>
      <c r="M51" s="2" cm="1">
        <f t="array" ref="M51">_xlfn.XLOOKUP(1,('Zehnder Charleston'!$B$145:$B$264=M$3)*('Zehnder Charleston'!$D$145:$D$264=$B6),'Zehnder Charleston'!$I$145:$I$264,"")</f>
        <v>11.9</v>
      </c>
      <c r="N51" s="2" cm="1">
        <f t="array" ref="N51">_xlfn.XLOOKUP(1,('Zehnder Charleston'!$B$145:$B$264=N$3)*('Zehnder Charleston'!$D$145:$D$264=$B6),'Zehnder Charleston'!$I$145:$I$264,"")</f>
        <v>13</v>
      </c>
      <c r="O51" s="2" cm="1">
        <f t="array" ref="O51">_xlfn.XLOOKUP(1,('Zehnder Charleston'!$B$145:$B$264=O$3)*('Zehnder Charleston'!$D$145:$D$264=$B6),'Zehnder Charleston'!$I$145:$I$264,"")</f>
        <v>14.2</v>
      </c>
      <c r="P51" s="2" cm="1">
        <f t="array" ref="P51">_xlfn.XLOOKUP(1,('Zehnder Charleston'!$B$145:$B$264=P$3)*('Zehnder Charleston'!$D$145:$D$264=$B6),'Zehnder Charleston'!$I$145:$I$264,"")</f>
        <v>17.5</v>
      </c>
      <c r="Q51" s="2" cm="1">
        <f t="array" ref="Q51">_xlfn.XLOOKUP(1,('Zehnder Charleston'!$B$145:$B$264=Q$3)*('Zehnder Charleston'!$D$145:$D$264=$B6),'Zehnder Charleston'!$I$145:$I$264,"")</f>
        <v>21</v>
      </c>
      <c r="R51" s="2" cm="1">
        <f t="array" ref="R51">_xlfn.XLOOKUP(1,('Zehnder Charleston'!$B$145:$B$264=R$3)*('Zehnder Charleston'!$D$145:$D$264=$B6),'Zehnder Charleston'!$I$145:$I$264,"")</f>
        <v>23.2</v>
      </c>
      <c r="S51" s="2" cm="1">
        <f t="array" ref="S51">_xlfn.XLOOKUP(1,('Zehnder Charleston'!$B$145:$B$264=S$3)*('Zehnder Charleston'!$D$145:$D$264=$B6),'Zehnder Charleston'!$I$145:$I$264,"")</f>
        <v>25.5</v>
      </c>
      <c r="T51" s="2" cm="1">
        <f t="array" ref="T51">_xlfn.XLOOKUP(1,('Zehnder Charleston'!$B$145:$B$264=T$3)*('Zehnder Charleston'!$D$145:$D$264=$B6),'Zehnder Charleston'!$I$145:$I$264,"")</f>
        <v>28.8</v>
      </c>
      <c r="U51" s="2" cm="1">
        <f t="array" ref="U51">_xlfn.XLOOKUP(1,('Zehnder Charleston'!$B$145:$B$264=U$3)*('Zehnder Charleston'!$D$145:$D$264=$B6),'Zehnder Charleston'!$I$145:$I$264,"")</f>
        <v>32.200000000000003</v>
      </c>
      <c r="V51" s="2" cm="1">
        <f t="array" ref="V51">_xlfn.XLOOKUP(1,('Zehnder Charleston'!$B$145:$B$264=V$3)*('Zehnder Charleston'!$D$145:$D$264=$B6),'Zehnder Charleston'!$I$145:$I$264,"")</f>
        <v>34.5</v>
      </c>
    </row>
    <row r="52" spans="1:28" x14ac:dyDescent="0.2">
      <c r="B52" s="2">
        <f>B7</f>
        <v>173</v>
      </c>
      <c r="C52" s="2" cm="1">
        <f t="array" ref="C52">_xlfn.XLOOKUP(1,('Zehnder Charleston'!$B$145:$B$264=C$3)*('Zehnder Charleston'!$D$145:$D$264=$B7),'Zehnder Charleston'!$I$145:$I$264,"")</f>
        <v>4.3</v>
      </c>
      <c r="D52" s="2" cm="1">
        <f t="array" ref="D52">_xlfn.XLOOKUP(1,('Zehnder Charleston'!$B$145:$B$264=D$3)*('Zehnder Charleston'!$D$145:$D$264=$B7),'Zehnder Charleston'!$I$145:$I$264,"")</f>
        <v>4.8</v>
      </c>
      <c r="E52" s="2" cm="1">
        <f t="array" ref="E52">_xlfn.XLOOKUP(1,('Zehnder Charleston'!$B$145:$B$264=E$3)*('Zehnder Charleston'!$D$145:$D$264=$B7),'Zehnder Charleston'!$I$145:$I$264,"")</f>
        <v>5.5</v>
      </c>
      <c r="F52" s="2" cm="1">
        <f t="array" ref="F52">_xlfn.XLOOKUP(1,('Zehnder Charleston'!$B$145:$B$264=F$3)*('Zehnder Charleston'!$D$145:$D$264=$B7),'Zehnder Charleston'!$I$145:$I$264,"")</f>
        <v>6.2</v>
      </c>
      <c r="G52" s="2" cm="1">
        <f t="array" ref="G52">_xlfn.XLOOKUP(1,('Zehnder Charleston'!$B$145:$B$264=G$3)*('Zehnder Charleston'!$D$145:$D$264=$B7),'Zehnder Charleston'!$I$145:$I$264,"")</f>
        <v>6.9</v>
      </c>
      <c r="H52" s="2" cm="1">
        <f t="array" ref="H52">_xlfn.XLOOKUP(1,('Zehnder Charleston'!$B$145:$B$264=H$3)*('Zehnder Charleston'!$D$145:$D$264=$B7),'Zehnder Charleston'!$I$145:$I$264,"")</f>
        <v>7.6</v>
      </c>
      <c r="I52" s="2" cm="1">
        <f t="array" ref="I52">_xlfn.XLOOKUP(1,('Zehnder Charleston'!$B$145:$B$264=I$3)*('Zehnder Charleston'!$D$145:$D$264=$B7),'Zehnder Charleston'!$I$145:$I$264,"")</f>
        <v>8.3000000000000007</v>
      </c>
      <c r="J52" s="2" cm="1">
        <f t="array" ref="J52">_xlfn.XLOOKUP(1,('Zehnder Charleston'!$B$145:$B$264=J$3)*('Zehnder Charleston'!$D$145:$D$264=$B7),'Zehnder Charleston'!$I$145:$I$264,"")</f>
        <v>8.9</v>
      </c>
      <c r="K52" s="2" cm="1">
        <f t="array" ref="K52">_xlfn.XLOOKUP(1,('Zehnder Charleston'!$B$145:$B$264=K$3)*('Zehnder Charleston'!$D$145:$D$264=$B7),'Zehnder Charleston'!$I$145:$I$264,"")</f>
        <v>11</v>
      </c>
      <c r="L52" s="2" cm="1">
        <f t="array" ref="L52">_xlfn.XLOOKUP(1,('Zehnder Charleston'!$B$145:$B$264=L$3)*('Zehnder Charleston'!$D$145:$D$264=$B7),'Zehnder Charleston'!$I$145:$I$264,"")</f>
        <v>13.1</v>
      </c>
      <c r="M52" s="2" cm="1">
        <f t="array" ref="M52">_xlfn.XLOOKUP(1,('Zehnder Charleston'!$B$145:$B$264=M$3)*('Zehnder Charleston'!$D$145:$D$264=$B7),'Zehnder Charleston'!$I$145:$I$264,"")</f>
        <v>14.4</v>
      </c>
      <c r="N52" s="2" cm="1">
        <f t="array" ref="N52">_xlfn.XLOOKUP(1,('Zehnder Charleston'!$B$145:$B$264=N$3)*('Zehnder Charleston'!$D$145:$D$264=$B7),'Zehnder Charleston'!$I$145:$I$264,"")</f>
        <v>15.9</v>
      </c>
      <c r="O52" s="2" cm="1">
        <f t="array" ref="O52">_xlfn.XLOOKUP(1,('Zehnder Charleston'!$B$145:$B$264=O$3)*('Zehnder Charleston'!$D$145:$D$264=$B7),'Zehnder Charleston'!$I$145:$I$264,"")</f>
        <v>17.3</v>
      </c>
      <c r="P52" s="2" cm="1">
        <f t="array" ref="P52">_xlfn.XLOOKUP(1,('Zehnder Charleston'!$B$145:$B$264=P$3)*('Zehnder Charleston'!$D$145:$D$264=$B7),'Zehnder Charleston'!$I$145:$I$264,"")</f>
        <v>21.4</v>
      </c>
      <c r="Q52" s="2" cm="1">
        <f t="array" ref="Q52">_xlfn.XLOOKUP(1,('Zehnder Charleston'!$B$145:$B$264=Q$3)*('Zehnder Charleston'!$D$145:$D$264=$B7),'Zehnder Charleston'!$I$145:$I$264,"")</f>
        <v>25.5</v>
      </c>
      <c r="R52" s="2" cm="1">
        <f t="array" ref="R52">_xlfn.XLOOKUP(1,('Zehnder Charleston'!$B$145:$B$264=R$3)*('Zehnder Charleston'!$D$145:$D$264=$B7),'Zehnder Charleston'!$I$145:$I$264,"")</f>
        <v>28.4</v>
      </c>
      <c r="S52" s="2" cm="1">
        <f t="array" ref="S52">_xlfn.XLOOKUP(1,('Zehnder Charleston'!$B$145:$B$264=S$3)*('Zehnder Charleston'!$D$145:$D$264=$B7),'Zehnder Charleston'!$I$145:$I$264,"")</f>
        <v>31.1</v>
      </c>
      <c r="T52" s="2" cm="1">
        <f t="array" ref="T52">_xlfn.XLOOKUP(1,('Zehnder Charleston'!$B$145:$B$264=T$3)*('Zehnder Charleston'!$D$145:$D$264=$B7),'Zehnder Charleston'!$I$145:$I$264,"")</f>
        <v>35.299999999999997</v>
      </c>
      <c r="U52" s="2" cm="1">
        <f t="array" ref="U52">_xlfn.XLOOKUP(1,('Zehnder Charleston'!$B$145:$B$264=U$3)*('Zehnder Charleston'!$D$145:$D$264=$B7),'Zehnder Charleston'!$I$145:$I$264,"")</f>
        <v>39.4</v>
      </c>
      <c r="V52" s="2" cm="1">
        <f t="array" ref="V52">_xlfn.XLOOKUP(1,('Zehnder Charleston'!$B$145:$B$264=V$3)*('Zehnder Charleston'!$D$145:$D$264=$B7),'Zehnder Charleston'!$I$145:$I$264,"")</f>
        <v>42.1</v>
      </c>
    </row>
    <row r="53" spans="1:28" x14ac:dyDescent="0.2">
      <c r="B53" s="2">
        <f>B8</f>
        <v>210</v>
      </c>
      <c r="C53" s="2" cm="1">
        <f t="array" ref="C53">_xlfn.XLOOKUP(1,('Zehnder Charleston'!$B$145:$B$264=C$3)*('Zehnder Charleston'!$D$145:$D$264=$B8),'Zehnder Charleston'!$I$145:$I$264,"")</f>
        <v>5</v>
      </c>
      <c r="D53" s="2" cm="1">
        <f t="array" ref="D53">_xlfn.XLOOKUP(1,('Zehnder Charleston'!$B$145:$B$264=D$3)*('Zehnder Charleston'!$D$145:$D$264=$B8),'Zehnder Charleston'!$I$145:$I$264,"")</f>
        <v>5.7</v>
      </c>
      <c r="E53" s="2" cm="1">
        <f t="array" ref="E53">_xlfn.XLOOKUP(1,('Zehnder Charleston'!$B$145:$B$264=E$3)*('Zehnder Charleston'!$D$145:$D$264=$B8),'Zehnder Charleston'!$I$145:$I$264,"")</f>
        <v>6.5</v>
      </c>
      <c r="F53" s="2" cm="1">
        <f t="array" ref="F53">_xlfn.XLOOKUP(1,('Zehnder Charleston'!$B$145:$B$264=F$3)*('Zehnder Charleston'!$D$145:$D$264=$B8),'Zehnder Charleston'!$I$145:$I$264,"")</f>
        <v>7.3</v>
      </c>
      <c r="G53" s="2" cm="1">
        <f t="array" ref="G53">_xlfn.XLOOKUP(1,('Zehnder Charleston'!$B$145:$B$264=G$3)*('Zehnder Charleston'!$D$145:$D$264=$B8),'Zehnder Charleston'!$I$145:$I$264,"")</f>
        <v>8.1</v>
      </c>
      <c r="H53" s="2" cm="1">
        <f t="array" ref="H53">_xlfn.XLOOKUP(1,('Zehnder Charleston'!$B$145:$B$264=H$3)*('Zehnder Charleston'!$D$145:$D$264=$B8),'Zehnder Charleston'!$I$145:$I$264,"")</f>
        <v>8.9</v>
      </c>
      <c r="I53" s="2" cm="1">
        <f t="array" ref="I53">_xlfn.XLOOKUP(1,('Zehnder Charleston'!$B$145:$B$264=I$3)*('Zehnder Charleston'!$D$145:$D$264=$B8),'Zehnder Charleston'!$I$145:$I$264,"")</f>
        <v>9.6999999999999993</v>
      </c>
      <c r="J53" s="2" cm="1">
        <f t="array" ref="J53">_xlfn.XLOOKUP(1,('Zehnder Charleston'!$B$145:$B$264=J$3)*('Zehnder Charleston'!$D$145:$D$264=$B8),'Zehnder Charleston'!$I$145:$I$264,"")</f>
        <v>10.6</v>
      </c>
      <c r="K53" s="2" cm="1">
        <f t="array" ref="K53">_xlfn.XLOOKUP(1,('Zehnder Charleston'!$B$145:$B$264=K$3)*('Zehnder Charleston'!$D$145:$D$264=$B8),'Zehnder Charleston'!$I$145:$I$264,"")</f>
        <v>13</v>
      </c>
      <c r="L53" s="2" cm="1">
        <f t="array" ref="L53">_xlfn.XLOOKUP(1,('Zehnder Charleston'!$B$145:$B$264=L$3)*('Zehnder Charleston'!$D$145:$D$264=$B8),'Zehnder Charleston'!$I$145:$I$264,"")</f>
        <v>15.4</v>
      </c>
      <c r="M53" s="2" cm="1">
        <f t="array" ref="M53">_xlfn.XLOOKUP(1,('Zehnder Charleston'!$B$145:$B$264=M$3)*('Zehnder Charleston'!$D$145:$D$264=$B8),'Zehnder Charleston'!$I$145:$I$264,"")</f>
        <v>17</v>
      </c>
      <c r="N53" s="2" cm="1">
        <f t="array" ref="N53">_xlfn.XLOOKUP(1,('Zehnder Charleston'!$B$145:$B$264=N$3)*('Zehnder Charleston'!$D$145:$D$264=$B8),'Zehnder Charleston'!$I$145:$I$264,"")</f>
        <v>18.7</v>
      </c>
      <c r="O53" s="2" cm="1">
        <f t="array" ref="O53">_xlfn.XLOOKUP(1,('Zehnder Charleston'!$B$145:$B$264=O$3)*('Zehnder Charleston'!$D$145:$D$264=$B8),'Zehnder Charleston'!$I$145:$I$264,"")</f>
        <v>20.3</v>
      </c>
      <c r="P53" s="2" cm="1">
        <f t="array" ref="P53">_xlfn.XLOOKUP(1,('Zehnder Charleston'!$B$145:$B$264=P$3)*('Zehnder Charleston'!$D$145:$D$264=$B8),'Zehnder Charleston'!$I$145:$I$264,"")</f>
        <v>25.2</v>
      </c>
      <c r="Q53" s="2" cm="1">
        <f t="array" ref="Q53">_xlfn.XLOOKUP(1,('Zehnder Charleston'!$B$145:$B$264=Q$3)*('Zehnder Charleston'!$D$145:$D$264=$B8),'Zehnder Charleston'!$I$145:$I$264,"")</f>
        <v>30</v>
      </c>
      <c r="R53" s="2" cm="1">
        <f t="array" ref="R53">_xlfn.XLOOKUP(1,('Zehnder Charleston'!$B$145:$B$264=R$3)*('Zehnder Charleston'!$D$145:$D$264=$B8),'Zehnder Charleston'!$I$145:$I$264,"")</f>
        <v>33.299999999999997</v>
      </c>
      <c r="S53" s="2" cm="1">
        <f t="array" ref="S53">_xlfn.XLOOKUP(1,('Zehnder Charleston'!$B$145:$B$264=S$3)*('Zehnder Charleston'!$D$145:$D$264=$B8),'Zehnder Charleston'!$I$145:$I$264,"")</f>
        <v>36.5</v>
      </c>
      <c r="T53" s="2" cm="1">
        <f t="array" ref="T53">_xlfn.XLOOKUP(1,('Zehnder Charleston'!$B$145:$B$264=T$3)*('Zehnder Charleston'!$D$145:$D$264=$B8),'Zehnder Charleston'!$I$145:$I$264,"")</f>
        <v>41.4</v>
      </c>
      <c r="U53" s="2" cm="1">
        <f t="array" ref="U53">_xlfn.XLOOKUP(1,('Zehnder Charleston'!$B$145:$B$264=U$3)*('Zehnder Charleston'!$D$145:$D$264=$B8),'Zehnder Charleston'!$I$145:$I$264,"")</f>
        <v>46.2</v>
      </c>
      <c r="V53" s="2" cm="1">
        <f t="array" ref="V53">_xlfn.XLOOKUP(1,('Zehnder Charleston'!$B$145:$B$264=V$3)*('Zehnder Charleston'!$D$145:$D$264=$B8),'Zehnder Charleston'!$I$145:$I$264,"")</f>
        <v>49.4</v>
      </c>
    </row>
    <row r="54" spans="1:28" x14ac:dyDescent="0.2">
      <c r="C54" s="8"/>
      <c r="D54" s="8"/>
      <c r="E54" s="8"/>
      <c r="F54" s="8"/>
      <c r="G54" s="8"/>
      <c r="H54" s="8"/>
      <c r="I54" s="8"/>
      <c r="J54" s="8"/>
      <c r="K54" s="8"/>
      <c r="L54" s="8"/>
      <c r="M54"/>
      <c r="N54"/>
      <c r="O54"/>
      <c r="P54"/>
      <c r="Q54"/>
    </row>
    <row r="55" spans="1:28" ht="26.25" x14ac:dyDescent="0.25">
      <c r="A55" s="57" t="s">
        <v>159</v>
      </c>
      <c r="C55" s="4" t="s">
        <v>2</v>
      </c>
      <c r="M55"/>
      <c r="N55"/>
      <c r="O55"/>
      <c r="P55"/>
      <c r="Q55"/>
    </row>
    <row r="56" spans="1:28" ht="13.5" x14ac:dyDescent="0.25">
      <c r="A56" s="57"/>
      <c r="C56" s="4"/>
      <c r="M56"/>
      <c r="N56"/>
      <c r="O56"/>
      <c r="P56"/>
      <c r="Q56"/>
    </row>
    <row r="57" spans="1:28" x14ac:dyDescent="0.2">
      <c r="A57" s="57" t="s">
        <v>160</v>
      </c>
      <c r="C57" s="5">
        <f t="shared" ref="C57:V57" si="5">C$3</f>
        <v>260</v>
      </c>
      <c r="D57" s="5">
        <f t="shared" si="5"/>
        <v>300</v>
      </c>
      <c r="E57" s="5">
        <f t="shared" si="5"/>
        <v>350</v>
      </c>
      <c r="F57" s="5">
        <f t="shared" si="5"/>
        <v>400</v>
      </c>
      <c r="G57" s="5">
        <f t="shared" si="5"/>
        <v>450</v>
      </c>
      <c r="H57" s="5">
        <f t="shared" si="5"/>
        <v>500</v>
      </c>
      <c r="I57" s="5">
        <f t="shared" si="5"/>
        <v>550</v>
      </c>
      <c r="J57" s="5">
        <f t="shared" si="5"/>
        <v>600</v>
      </c>
      <c r="K57" s="5">
        <f t="shared" si="5"/>
        <v>750</v>
      </c>
      <c r="L57" s="5">
        <f t="shared" si="5"/>
        <v>900</v>
      </c>
      <c r="M57" s="5">
        <f t="shared" si="5"/>
        <v>1000</v>
      </c>
      <c r="N57" s="5">
        <f t="shared" si="5"/>
        <v>1100</v>
      </c>
      <c r="O57" s="5">
        <f t="shared" si="5"/>
        <v>1200</v>
      </c>
      <c r="P57" s="5">
        <f t="shared" si="5"/>
        <v>1500</v>
      </c>
      <c r="Q57" s="5">
        <f t="shared" si="5"/>
        <v>1800</v>
      </c>
      <c r="R57" s="5">
        <f t="shared" si="5"/>
        <v>2000</v>
      </c>
      <c r="S57" s="5">
        <f t="shared" si="5"/>
        <v>2200</v>
      </c>
      <c r="T57" s="5">
        <f t="shared" si="5"/>
        <v>2500</v>
      </c>
      <c r="U57" s="5">
        <f t="shared" si="5"/>
        <v>2800</v>
      </c>
      <c r="V57" s="5">
        <f t="shared" si="5"/>
        <v>3000</v>
      </c>
    </row>
    <row r="58" spans="1:28" ht="13.5" x14ac:dyDescent="0.25">
      <c r="A58" s="4" t="s">
        <v>3</v>
      </c>
      <c r="B58" s="2">
        <f>B4</f>
        <v>62</v>
      </c>
      <c r="C58" s="27" cm="1">
        <f t="array" ref="C58">_xlfn.XLOOKUP(1,('Zehnder Charleston'!$B$145:$B$264=C$3)*('Zehnder Charleston'!$D$145:$D$264=$B4),'Zehnder Charleston'!$H$145:$H$264,"")</f>
        <v>25</v>
      </c>
      <c r="D58" s="27" cm="1">
        <f t="array" ref="D58">_xlfn.XLOOKUP(1,('Zehnder Charleston'!$B$145:$B$264=D$2)*('Zehnder Charleston'!$D$145:$D$264=$B4),'Zehnder Charleston'!$H$145:$H$264,"")</f>
        <v>25</v>
      </c>
      <c r="E58" s="27" cm="1">
        <f t="array" ref="E58">_xlfn.XLOOKUP(1,('Zehnder Charleston'!$B$145:$B$264=E$2)*('Zehnder Charleston'!$D$145:$D$264=$B4),'Zehnder Charleston'!$H$145:$H$264,"")</f>
        <v>24</v>
      </c>
      <c r="F58" s="27" cm="1">
        <f t="array" ref="F58">_xlfn.XLOOKUP(1,('Zehnder Charleston'!$B$145:$B$264=F$2)*('Zehnder Charleston'!$D$145:$D$264=$B4),'Zehnder Charleston'!$H$145:$H$264,"")</f>
        <v>25</v>
      </c>
      <c r="G58" s="27" cm="1">
        <f t="array" ref="G58">_xlfn.XLOOKUP(1,('Zehnder Charleston'!$B$145:$B$264=G$2)*('Zehnder Charleston'!$D$145:$D$264=$B4),'Zehnder Charleston'!$H$145:$H$264,"")</f>
        <v>24</v>
      </c>
      <c r="H58" s="27" cm="1">
        <f t="array" ref="H58">_xlfn.XLOOKUP(1,('Zehnder Charleston'!$B$145:$B$264=H$2)*('Zehnder Charleston'!$D$145:$D$264=$B4),'Zehnder Charleston'!$H$145:$H$264,"")</f>
        <v>23</v>
      </c>
      <c r="I58" s="27" cm="1">
        <f t="array" ref="I58">_xlfn.XLOOKUP(1,('Zehnder Charleston'!$B$145:$B$264=I$2)*('Zehnder Charleston'!$D$145:$D$264=$B4),'Zehnder Charleston'!$H$145:$H$264,"")</f>
        <v>23</v>
      </c>
      <c r="J58" s="27" cm="1">
        <f t="array" ref="J58">_xlfn.XLOOKUP(1,('Zehnder Charleston'!$B$145:$B$264=J$2)*('Zehnder Charleston'!$D$145:$D$264=$B4),'Zehnder Charleston'!$H$145:$H$264,"")</f>
        <v>23</v>
      </c>
      <c r="K58" s="27" cm="1">
        <f t="array" ref="K58">_xlfn.XLOOKUP(1,('Zehnder Charleston'!$B$145:$B$264=K$2)*('Zehnder Charleston'!$D$145:$D$264=$B4),'Zehnder Charleston'!$H$145:$H$264,"")</f>
        <v>22</v>
      </c>
      <c r="L58" s="27" cm="1">
        <f t="array" ref="L58">_xlfn.XLOOKUP(1,('Zehnder Charleston'!$B$145:$B$264=L$2)*('Zehnder Charleston'!$D$145:$D$264=$B4),'Zehnder Charleston'!$H$145:$H$264,"")</f>
        <v>22</v>
      </c>
      <c r="M58" s="27" cm="1">
        <f t="array" ref="M58">_xlfn.XLOOKUP(1,('Zehnder Charleston'!$B$145:$B$264=M$2)*('Zehnder Charleston'!$D$145:$D$264=$B4),'Zehnder Charleston'!$H$145:$H$264,"")</f>
        <v>22</v>
      </c>
      <c r="N58" s="27" cm="1">
        <f t="array" ref="N58">_xlfn.XLOOKUP(1,('Zehnder Charleston'!$B$145:$B$264=N$2)*('Zehnder Charleston'!$D$145:$D$264=$B4),'Zehnder Charleston'!$H$145:$H$264,"")</f>
        <v>22</v>
      </c>
      <c r="O58" s="27" cm="1">
        <f t="array" ref="O58">_xlfn.XLOOKUP(1,('Zehnder Charleston'!$B$145:$B$264=O$2)*('Zehnder Charleston'!$D$145:$D$264=$B4),'Zehnder Charleston'!$H$145:$H$264,"")</f>
        <v>22</v>
      </c>
      <c r="P58" s="27" cm="1">
        <f t="array" ref="P58">_xlfn.XLOOKUP(1,('Zehnder Charleston'!$B$145:$B$264=P$2)*('Zehnder Charleston'!$D$145:$D$264=$B4),'Zehnder Charleston'!$H$145:$H$264,"")</f>
        <v>23</v>
      </c>
      <c r="Q58" s="27" cm="1">
        <f t="array" ref="Q58">_xlfn.XLOOKUP(1,('Zehnder Charleston'!$B$145:$B$264=Q$2)*('Zehnder Charleston'!$D$145:$D$264=$B4),'Zehnder Charleston'!$H$145:$H$264,"")</f>
        <v>23</v>
      </c>
      <c r="R58" s="27" cm="1">
        <f t="array" ref="R58">_xlfn.XLOOKUP(1,('Zehnder Charleston'!$B$145:$B$264=R$2)*('Zehnder Charleston'!$D$145:$D$264=$B4),'Zehnder Charleston'!$H$145:$H$264,"")</f>
        <v>23</v>
      </c>
      <c r="S58" s="27" cm="1">
        <f t="array" ref="S58">_xlfn.XLOOKUP(1,('Zehnder Charleston'!$B$145:$B$264=S$2)*('Zehnder Charleston'!$D$145:$D$264=$B4),'Zehnder Charleston'!$H$145:$H$264,"")</f>
        <v>23</v>
      </c>
      <c r="T58" s="27" cm="1">
        <f t="array" ref="T58">_xlfn.XLOOKUP(1,('Zehnder Charleston'!$B$145:$B$264=T$2)*('Zehnder Charleston'!$D$145:$D$264=$B4),'Zehnder Charleston'!$H$145:$H$264,"")</f>
        <v>23</v>
      </c>
      <c r="U58" s="27" cm="1">
        <f t="array" ref="U58">_xlfn.XLOOKUP(1,('Zehnder Charleston'!$B$145:$B$264=U$2)*('Zehnder Charleston'!$D$145:$D$264=$B4),'Zehnder Charleston'!$H$145:$H$264,"")</f>
        <v>23</v>
      </c>
      <c r="V58" s="27" cm="1">
        <f t="array" ref="V58">_xlfn.XLOOKUP(1,('Zehnder Charleston'!$B$145:$B$264=V$2)*('Zehnder Charleston'!$D$145:$D$264=$B4),'Zehnder Charleston'!$H$145:$H$264,"")</f>
        <v>23</v>
      </c>
      <c r="AB58" s="27" t="str" cm="1">
        <f t="array" ref="AB58">_xlfn.XLOOKUP(1,('Zehnder Charleston'!$B$2:$B$138=V$3)*('Zehnder Charleston'!$D$2:$D$138=$B4),'Zehnder Charleston'!$H$2:$H$138,"")</f>
        <v/>
      </c>
    </row>
    <row r="59" spans="1:28" x14ac:dyDescent="0.2">
      <c r="B59" s="2">
        <f>B5</f>
        <v>100</v>
      </c>
      <c r="C59" s="27" cm="1">
        <f t="array" ref="C59">_xlfn.XLOOKUP(1,('Zehnder Charleston'!$B$145:$B$264=C$3)*('Zehnder Charleston'!$D$145:$D$264=$B5),'Zehnder Charleston'!$H$145:$H$264,"")</f>
        <v>21</v>
      </c>
      <c r="D59" s="27" cm="1">
        <f t="array" ref="D59">_xlfn.XLOOKUP(1,('Zehnder Charleston'!$B$145:$B$264=D$3)*('Zehnder Charleston'!$D$145:$D$264=$B5),'Zehnder Charleston'!$H$145:$H$264,"")</f>
        <v>20</v>
      </c>
      <c r="E59" s="27" cm="1">
        <f t="array" ref="E59">_xlfn.XLOOKUP(1,('Zehnder Charleston'!$B$145:$B$264=E$3)*('Zehnder Charleston'!$D$145:$D$264=$B5),'Zehnder Charleston'!$H$145:$H$264,"")</f>
        <v>20</v>
      </c>
      <c r="F59" s="27" cm="1">
        <f t="array" ref="F59">_xlfn.XLOOKUP(1,('Zehnder Charleston'!$B$145:$B$264=F$3)*('Zehnder Charleston'!$D$145:$D$264=$B5),'Zehnder Charleston'!$H$145:$H$264,"")</f>
        <v>19</v>
      </c>
      <c r="G59" s="27" cm="1">
        <f t="array" ref="G59">_xlfn.XLOOKUP(1,('Zehnder Charleston'!$B$145:$B$264=G$3)*('Zehnder Charleston'!$D$145:$D$264=$B5),'Zehnder Charleston'!$H$145:$H$264,"")</f>
        <v>19</v>
      </c>
      <c r="H59" s="27" cm="1">
        <f t="array" ref="H59">_xlfn.XLOOKUP(1,('Zehnder Charleston'!$B$145:$B$264=H$3)*('Zehnder Charleston'!$D$145:$D$264=$B5),'Zehnder Charleston'!$H$145:$H$264,"")</f>
        <v>18</v>
      </c>
      <c r="I59" s="27" cm="1">
        <f t="array" ref="I59">_xlfn.XLOOKUP(1,('Zehnder Charleston'!$B$145:$B$264=I$3)*('Zehnder Charleston'!$D$145:$D$264=$B5),'Zehnder Charleston'!$H$145:$H$264,"")</f>
        <v>18</v>
      </c>
      <c r="J59" s="27" cm="1">
        <f t="array" ref="J59">_xlfn.XLOOKUP(1,('Zehnder Charleston'!$B$145:$B$264=J$3)*('Zehnder Charleston'!$D$145:$D$264=$B5),'Zehnder Charleston'!$H$145:$H$264,"")</f>
        <v>18</v>
      </c>
      <c r="K59" s="27" cm="1">
        <f t="array" ref="K59">_xlfn.XLOOKUP(1,('Zehnder Charleston'!$B$145:$B$264=K$3)*('Zehnder Charleston'!$D$145:$D$264=$B5),'Zehnder Charleston'!$H$145:$H$264,"")</f>
        <v>18</v>
      </c>
      <c r="L59" s="27" cm="1">
        <f t="array" ref="L59">_xlfn.XLOOKUP(1,('Zehnder Charleston'!$B$145:$B$264=L$3)*('Zehnder Charleston'!$D$145:$D$264=$B5),'Zehnder Charleston'!$H$145:$H$264,"")</f>
        <v>18</v>
      </c>
      <c r="M59" s="27" cm="1">
        <f t="array" ref="M59">_xlfn.XLOOKUP(1,('Zehnder Charleston'!$B$145:$B$264=M$3)*('Zehnder Charleston'!$D$145:$D$264=$B5),'Zehnder Charleston'!$H$145:$H$264,"")</f>
        <v>18</v>
      </c>
      <c r="N59" s="27" cm="1">
        <f t="array" ref="N59">_xlfn.XLOOKUP(1,('Zehnder Charleston'!$B$145:$B$264=N$3)*('Zehnder Charleston'!$D$145:$D$264=$B5),'Zehnder Charleston'!$H$145:$H$264,"")</f>
        <v>18</v>
      </c>
      <c r="O59" s="27" cm="1">
        <f t="array" ref="O59">_xlfn.XLOOKUP(1,('Zehnder Charleston'!$B$145:$B$264=O$3)*('Zehnder Charleston'!$D$145:$D$264=$B5),'Zehnder Charleston'!$H$145:$H$264,"")</f>
        <v>18</v>
      </c>
      <c r="P59" s="27" cm="1">
        <f t="array" ref="P59">_xlfn.XLOOKUP(1,('Zehnder Charleston'!$B$145:$B$264=P$3)*('Zehnder Charleston'!$D$145:$D$264=$B5),'Zehnder Charleston'!$H$145:$H$264,"")</f>
        <v>18</v>
      </c>
      <c r="Q59" s="27" cm="1">
        <f t="array" ref="Q59">_xlfn.XLOOKUP(1,('Zehnder Charleston'!$B$145:$B$264=Q$3)*('Zehnder Charleston'!$D$145:$D$264=$B5),'Zehnder Charleston'!$H$145:$H$264,"")</f>
        <v>18</v>
      </c>
      <c r="R59" s="27" cm="1">
        <f t="array" ref="R59">_xlfn.XLOOKUP(1,('Zehnder Charleston'!$B$145:$B$264=R$3)*('Zehnder Charleston'!$D$145:$D$264=$B5),'Zehnder Charleston'!$H$145:$H$264,"")</f>
        <v>18</v>
      </c>
      <c r="S59" s="27" cm="1">
        <f t="array" ref="S59">_xlfn.XLOOKUP(1,('Zehnder Charleston'!$B$145:$B$264=S$3)*('Zehnder Charleston'!$D$145:$D$264=$B5),'Zehnder Charleston'!$H$145:$H$264,"")</f>
        <v>18</v>
      </c>
      <c r="T59" s="27" cm="1">
        <f t="array" ref="T59">_xlfn.XLOOKUP(1,('Zehnder Charleston'!$B$145:$B$264=T$3)*('Zehnder Charleston'!$D$145:$D$264=$B5),'Zehnder Charleston'!$H$145:$H$264,"")</f>
        <v>18</v>
      </c>
      <c r="U59" s="27" cm="1">
        <f t="array" ref="U59">_xlfn.XLOOKUP(1,('Zehnder Charleston'!$B$145:$B$264=U$3)*('Zehnder Charleston'!$D$145:$D$264=$B5),'Zehnder Charleston'!$H$145:$H$264,"")</f>
        <v>18</v>
      </c>
      <c r="V59" s="27" cm="1">
        <f t="array" ref="V59">_xlfn.XLOOKUP(1,('Zehnder Charleston'!$B$145:$B$264=V$3)*('Zehnder Charleston'!$D$145:$D$264=$B5),'Zehnder Charleston'!$H$145:$H$264,"")</f>
        <v>18</v>
      </c>
    </row>
    <row r="60" spans="1:28" x14ac:dyDescent="0.2">
      <c r="B60" s="2">
        <f>B6</f>
        <v>136</v>
      </c>
      <c r="C60" s="27" cm="1">
        <f t="array" ref="C60">_xlfn.XLOOKUP(1,('Zehnder Charleston'!$B$145:$B$264=C$3)*('Zehnder Charleston'!$D$145:$D$264=$B6),'Zehnder Charleston'!$H$145:$H$264,"")</f>
        <v>18</v>
      </c>
      <c r="D60" s="27" cm="1">
        <f t="array" ref="D60">_xlfn.XLOOKUP(1,('Zehnder Charleston'!$B$145:$B$264=D$3)*('Zehnder Charleston'!$D$145:$D$264=$B6),'Zehnder Charleston'!$H$145:$H$264,"")</f>
        <v>18</v>
      </c>
      <c r="E60" s="27" cm="1">
        <f t="array" ref="E60">_xlfn.XLOOKUP(1,('Zehnder Charleston'!$B$145:$B$264=E$3)*('Zehnder Charleston'!$D$145:$D$264=$B6),'Zehnder Charleston'!$H$145:$H$264,"")</f>
        <v>17</v>
      </c>
      <c r="F60" s="27" cm="1">
        <f t="array" ref="F60">_xlfn.XLOOKUP(1,('Zehnder Charleston'!$B$145:$B$264=F$3)*('Zehnder Charleston'!$D$145:$D$264=$B6),'Zehnder Charleston'!$H$145:$H$264,"")</f>
        <v>16</v>
      </c>
      <c r="G60" s="27" cm="1">
        <f t="array" ref="G60">_xlfn.XLOOKUP(1,('Zehnder Charleston'!$B$145:$B$264=G$3)*('Zehnder Charleston'!$D$145:$D$264=$B6),'Zehnder Charleston'!$H$145:$H$264,"")</f>
        <v>16</v>
      </c>
      <c r="H60" s="27" cm="1">
        <f t="array" ref="H60">_xlfn.XLOOKUP(1,('Zehnder Charleston'!$B$145:$B$264=H$3)*('Zehnder Charleston'!$D$145:$D$264=$B6),'Zehnder Charleston'!$H$145:$H$264,"")</f>
        <v>16</v>
      </c>
      <c r="I60" s="27" cm="1">
        <f t="array" ref="I60">_xlfn.XLOOKUP(1,('Zehnder Charleston'!$B$145:$B$264=I$3)*('Zehnder Charleston'!$D$145:$D$264=$B6),'Zehnder Charleston'!$H$145:$H$264,"")</f>
        <v>16</v>
      </c>
      <c r="J60" s="27" cm="1">
        <f t="array" ref="J60">_xlfn.XLOOKUP(1,('Zehnder Charleston'!$B$145:$B$264=J$3)*('Zehnder Charleston'!$D$145:$D$264=$B6),'Zehnder Charleston'!$H$145:$H$264,"")</f>
        <v>15</v>
      </c>
      <c r="K60" s="27" cm="1">
        <f t="array" ref="K60">_xlfn.XLOOKUP(1,('Zehnder Charleston'!$B$145:$B$264=K$3)*('Zehnder Charleston'!$D$145:$D$264=$B6),'Zehnder Charleston'!$H$145:$H$264,"")</f>
        <v>15</v>
      </c>
      <c r="L60" s="27" cm="1">
        <f t="array" ref="L60">_xlfn.XLOOKUP(1,('Zehnder Charleston'!$B$145:$B$264=L$3)*('Zehnder Charleston'!$D$145:$D$264=$B6),'Zehnder Charleston'!$H$145:$H$264,"")</f>
        <v>15</v>
      </c>
      <c r="M60" s="27" cm="1">
        <f t="array" ref="M60">_xlfn.XLOOKUP(1,('Zehnder Charleston'!$B$145:$B$264=M$3)*('Zehnder Charleston'!$D$145:$D$264=$B6),'Zehnder Charleston'!$H$145:$H$264,"")</f>
        <v>15</v>
      </c>
      <c r="N60" s="27" cm="1">
        <f t="array" ref="N60">_xlfn.XLOOKUP(1,('Zehnder Charleston'!$B$145:$B$264=N$3)*('Zehnder Charleston'!$D$145:$D$264=$B6),'Zehnder Charleston'!$H$145:$H$264,"")</f>
        <v>15</v>
      </c>
      <c r="O60" s="27" cm="1">
        <f t="array" ref="O60">_xlfn.XLOOKUP(1,('Zehnder Charleston'!$B$145:$B$264=O$3)*('Zehnder Charleston'!$D$145:$D$264=$B6),'Zehnder Charleston'!$H$145:$H$264,"")</f>
        <v>15</v>
      </c>
      <c r="P60" s="27" cm="1">
        <f t="array" ref="P60">_xlfn.XLOOKUP(1,('Zehnder Charleston'!$B$145:$B$264=P$3)*('Zehnder Charleston'!$D$145:$D$264=$B6),'Zehnder Charleston'!$H$145:$H$264,"")</f>
        <v>15</v>
      </c>
      <c r="Q60" s="27" cm="1">
        <f t="array" ref="Q60">_xlfn.XLOOKUP(1,('Zehnder Charleston'!$B$145:$B$264=Q$3)*('Zehnder Charleston'!$D$145:$D$264=$B6),'Zehnder Charleston'!$H$145:$H$264,"")</f>
        <v>15</v>
      </c>
      <c r="R60" s="27" cm="1">
        <f t="array" ref="R60">_xlfn.XLOOKUP(1,('Zehnder Charleston'!$B$145:$B$264=R$3)*('Zehnder Charleston'!$D$145:$D$264=$B6),'Zehnder Charleston'!$H$145:$H$264,"")</f>
        <v>15</v>
      </c>
      <c r="S60" s="27" cm="1">
        <f t="array" ref="S60">_xlfn.XLOOKUP(1,('Zehnder Charleston'!$B$145:$B$264=S$3)*('Zehnder Charleston'!$D$145:$D$264=$B6),'Zehnder Charleston'!$H$145:$H$264,"")</f>
        <v>15</v>
      </c>
      <c r="T60" s="27" cm="1">
        <f t="array" ref="T60">_xlfn.XLOOKUP(1,('Zehnder Charleston'!$B$145:$B$264=T$3)*('Zehnder Charleston'!$D$145:$D$264=$B6),'Zehnder Charleston'!$H$145:$H$264,"")</f>
        <v>15</v>
      </c>
      <c r="U60" s="27" cm="1">
        <f t="array" ref="U60">_xlfn.XLOOKUP(1,('Zehnder Charleston'!$B$145:$B$264=U$3)*('Zehnder Charleston'!$D$145:$D$264=$B6),'Zehnder Charleston'!$H$145:$H$264,"")</f>
        <v>15</v>
      </c>
      <c r="V60" s="27" cm="1">
        <f t="array" ref="V60">_xlfn.XLOOKUP(1,('Zehnder Charleston'!$B$145:$B$264=V$3)*('Zehnder Charleston'!$D$145:$D$264=$B6),'Zehnder Charleston'!$H$145:$H$264,"")</f>
        <v>15</v>
      </c>
    </row>
    <row r="61" spans="1:28" x14ac:dyDescent="0.2">
      <c r="B61" s="2">
        <f>B7</f>
        <v>173</v>
      </c>
      <c r="C61" s="27" cm="1">
        <f t="array" ref="C61">_xlfn.XLOOKUP(1,('Zehnder Charleston'!$B$145:$B$264=C$3)*('Zehnder Charleston'!$D$145:$D$264=$B7),'Zehnder Charleston'!$H$145:$H$264,"")</f>
        <v>17</v>
      </c>
      <c r="D61" s="27" cm="1">
        <f t="array" ref="D61">_xlfn.XLOOKUP(1,('Zehnder Charleston'!$B$145:$B$264=D$3)*('Zehnder Charleston'!$D$145:$D$264=$B7),'Zehnder Charleston'!$H$145:$H$264,"")</f>
        <v>16</v>
      </c>
      <c r="E61" s="27" cm="1">
        <f t="array" ref="E61">_xlfn.XLOOKUP(1,('Zehnder Charleston'!$B$145:$B$264=E$3)*('Zehnder Charleston'!$D$145:$D$264=$B7),'Zehnder Charleston'!$H$145:$H$264,"")</f>
        <v>15</v>
      </c>
      <c r="F61" s="27" cm="1">
        <f t="array" ref="F61">_xlfn.XLOOKUP(1,('Zehnder Charleston'!$B$145:$B$264=F$3)*('Zehnder Charleston'!$D$145:$D$264=$B7),'Zehnder Charleston'!$H$145:$H$264,"")</f>
        <v>15</v>
      </c>
      <c r="G61" s="27" cm="1">
        <f t="array" ref="G61">_xlfn.XLOOKUP(1,('Zehnder Charleston'!$B$145:$B$264=G$3)*('Zehnder Charleston'!$D$145:$D$264=$B7),'Zehnder Charleston'!$H$145:$H$264,"")</f>
        <v>14</v>
      </c>
      <c r="H61" s="27" cm="1">
        <f t="array" ref="H61">_xlfn.XLOOKUP(1,('Zehnder Charleston'!$B$145:$B$264=H$3)*('Zehnder Charleston'!$D$145:$D$264=$B7),'Zehnder Charleston'!$H$145:$H$264,"")</f>
        <v>14</v>
      </c>
      <c r="I61" s="27" cm="1">
        <f t="array" ref="I61">_xlfn.XLOOKUP(1,('Zehnder Charleston'!$B$145:$B$264=I$3)*('Zehnder Charleston'!$D$145:$D$264=$B7),'Zehnder Charleston'!$H$145:$H$264,"")</f>
        <v>14</v>
      </c>
      <c r="J61" s="27" cm="1">
        <f t="array" ref="J61">_xlfn.XLOOKUP(1,('Zehnder Charleston'!$B$145:$B$264=J$3)*('Zehnder Charleston'!$D$145:$D$264=$B7),'Zehnder Charleston'!$H$145:$H$264,"")</f>
        <v>13</v>
      </c>
      <c r="K61" s="27" cm="1">
        <f t="array" ref="K61">_xlfn.XLOOKUP(1,('Zehnder Charleston'!$B$145:$B$264=K$3)*('Zehnder Charleston'!$D$145:$D$264=$B7),'Zehnder Charleston'!$H$145:$H$264,"")</f>
        <v>13</v>
      </c>
      <c r="L61" s="27" cm="1">
        <f t="array" ref="L61">_xlfn.XLOOKUP(1,('Zehnder Charleston'!$B$145:$B$264=L$3)*('Zehnder Charleston'!$D$145:$D$264=$B7),'Zehnder Charleston'!$H$145:$H$264,"")</f>
        <v>13</v>
      </c>
      <c r="M61" s="27" cm="1">
        <f t="array" ref="M61">_xlfn.XLOOKUP(1,('Zehnder Charleston'!$B$145:$B$264=M$3)*('Zehnder Charleston'!$D$145:$D$264=$B7),'Zehnder Charleston'!$H$145:$H$264,"")</f>
        <v>13</v>
      </c>
      <c r="N61" s="27" cm="1">
        <f t="array" ref="N61">_xlfn.XLOOKUP(1,('Zehnder Charleston'!$B$145:$B$264=N$3)*('Zehnder Charleston'!$D$145:$D$264=$B7),'Zehnder Charleston'!$H$145:$H$264,"")</f>
        <v>13</v>
      </c>
      <c r="O61" s="27" cm="1">
        <f t="array" ref="O61">_xlfn.XLOOKUP(1,('Zehnder Charleston'!$B$145:$B$264=O$3)*('Zehnder Charleston'!$D$145:$D$264=$B7),'Zehnder Charleston'!$H$145:$H$264,"")</f>
        <v>13</v>
      </c>
      <c r="P61" s="27" cm="1">
        <f t="array" ref="P61">_xlfn.XLOOKUP(1,('Zehnder Charleston'!$B$145:$B$264=P$3)*('Zehnder Charleston'!$D$145:$D$264=$B7),'Zehnder Charleston'!$H$145:$H$264,"")</f>
        <v>13</v>
      </c>
      <c r="Q61" s="27" cm="1">
        <f t="array" ref="Q61">_xlfn.XLOOKUP(1,('Zehnder Charleston'!$B$145:$B$264=Q$3)*('Zehnder Charleston'!$D$145:$D$264=$B7),'Zehnder Charleston'!$H$145:$H$264,"")</f>
        <v>13</v>
      </c>
      <c r="R61" s="27" cm="1">
        <f t="array" ref="R61">_xlfn.XLOOKUP(1,('Zehnder Charleston'!$B$145:$B$264=R$3)*('Zehnder Charleston'!$D$145:$D$264=$B7),'Zehnder Charleston'!$H$145:$H$264,"")</f>
        <v>13</v>
      </c>
      <c r="S61" s="27" cm="1">
        <f t="array" ref="S61">_xlfn.XLOOKUP(1,('Zehnder Charleston'!$B$145:$B$264=S$3)*('Zehnder Charleston'!$D$145:$D$264=$B7),'Zehnder Charleston'!$H$145:$H$264,"")</f>
        <v>13</v>
      </c>
      <c r="T61" s="27" cm="1">
        <f t="array" ref="T61">_xlfn.XLOOKUP(1,('Zehnder Charleston'!$B$145:$B$264=T$3)*('Zehnder Charleston'!$D$145:$D$264=$B7),'Zehnder Charleston'!$H$145:$H$264,"")</f>
        <v>13</v>
      </c>
      <c r="U61" s="27" cm="1">
        <f t="array" ref="U61">_xlfn.XLOOKUP(1,('Zehnder Charleston'!$B$145:$B$264=U$3)*('Zehnder Charleston'!$D$145:$D$264=$B7),'Zehnder Charleston'!$H$145:$H$264,"")</f>
        <v>13</v>
      </c>
      <c r="V61" s="27" cm="1">
        <f t="array" ref="V61">_xlfn.XLOOKUP(1,('Zehnder Charleston'!$B$145:$B$264=V$3)*('Zehnder Charleston'!$D$145:$D$264=$B7),'Zehnder Charleston'!$H$145:$H$264,"")</f>
        <v>13</v>
      </c>
    </row>
    <row r="62" spans="1:28" x14ac:dyDescent="0.2">
      <c r="B62" s="2">
        <f>B8</f>
        <v>210</v>
      </c>
      <c r="C62" s="27" cm="1">
        <f t="array" ref="C62">_xlfn.XLOOKUP(1,('Zehnder Charleston'!$B$145:$B$264=C$3)*('Zehnder Charleston'!$D$145:$D$264=$B8),'Zehnder Charleston'!$H$145:$H$264,"")</f>
        <v>18</v>
      </c>
      <c r="D62" s="27" cm="1">
        <f t="array" ref="D62">_xlfn.XLOOKUP(1,('Zehnder Charleston'!$B$145:$B$264=D$3)*('Zehnder Charleston'!$D$145:$D$264=$B8),'Zehnder Charleston'!$H$145:$H$264,"")</f>
        <v>15</v>
      </c>
      <c r="E62" s="27" cm="1">
        <f t="array" ref="E62">_xlfn.XLOOKUP(1,('Zehnder Charleston'!$B$145:$B$264=E$3)*('Zehnder Charleston'!$D$145:$D$264=$B8),'Zehnder Charleston'!$H$145:$H$264,"")</f>
        <v>14</v>
      </c>
      <c r="F62" s="27" cm="1">
        <f t="array" ref="F62">_xlfn.XLOOKUP(1,('Zehnder Charleston'!$B$145:$B$264=F$3)*('Zehnder Charleston'!$D$145:$D$264=$B8),'Zehnder Charleston'!$H$145:$H$264,"")</f>
        <v>14</v>
      </c>
      <c r="G62" s="27" cm="1">
        <f t="array" ref="G62">_xlfn.XLOOKUP(1,('Zehnder Charleston'!$B$145:$B$264=G$3)*('Zehnder Charleston'!$D$145:$D$264=$B8),'Zehnder Charleston'!$H$145:$H$264,"")</f>
        <v>13</v>
      </c>
      <c r="H62" s="27" cm="1">
        <f t="array" ref="H62">_xlfn.XLOOKUP(1,('Zehnder Charleston'!$B$145:$B$264=H$3)*('Zehnder Charleston'!$D$145:$D$264=$B8),'Zehnder Charleston'!$H$145:$H$264,"")</f>
        <v>13</v>
      </c>
      <c r="I62" s="27" cm="1">
        <f t="array" ref="I62">_xlfn.XLOOKUP(1,('Zehnder Charleston'!$B$145:$B$264=I$3)*('Zehnder Charleston'!$D$145:$D$264=$B8),'Zehnder Charleston'!$H$145:$H$264,"")</f>
        <v>12</v>
      </c>
      <c r="J62" s="27" cm="1">
        <f t="array" ref="J62">_xlfn.XLOOKUP(1,('Zehnder Charleston'!$B$145:$B$264=J$3)*('Zehnder Charleston'!$D$145:$D$264=$B8),'Zehnder Charleston'!$H$145:$H$264,"")</f>
        <v>12</v>
      </c>
      <c r="K62" s="27" cm="1">
        <f t="array" ref="K62">_xlfn.XLOOKUP(1,('Zehnder Charleston'!$B$145:$B$264=K$3)*('Zehnder Charleston'!$D$145:$D$264=$B8),'Zehnder Charleston'!$H$145:$H$264,"")</f>
        <v>12</v>
      </c>
      <c r="L62" s="27" cm="1">
        <f t="array" ref="L62">_xlfn.XLOOKUP(1,('Zehnder Charleston'!$B$145:$B$264=L$3)*('Zehnder Charleston'!$D$145:$D$264=$B8),'Zehnder Charleston'!$H$145:$H$264,"")</f>
        <v>12</v>
      </c>
      <c r="M62" s="27" cm="1">
        <f t="array" ref="M62">_xlfn.XLOOKUP(1,('Zehnder Charleston'!$B$145:$B$264=M$3)*('Zehnder Charleston'!$D$145:$D$264=$B8),'Zehnder Charleston'!$H$145:$H$264,"")</f>
        <v>12</v>
      </c>
      <c r="N62" s="27" cm="1">
        <f t="array" ref="N62">_xlfn.XLOOKUP(1,('Zehnder Charleston'!$B$145:$B$264=N$3)*('Zehnder Charleston'!$D$145:$D$264=$B8),'Zehnder Charleston'!$H$145:$H$264,"")</f>
        <v>12</v>
      </c>
      <c r="O62" s="27" cm="1">
        <f t="array" ref="O62">_xlfn.XLOOKUP(1,('Zehnder Charleston'!$B$145:$B$264=O$3)*('Zehnder Charleston'!$D$145:$D$264=$B8),'Zehnder Charleston'!$H$145:$H$264,"")</f>
        <v>12</v>
      </c>
      <c r="P62" s="27" cm="1">
        <f t="array" ref="P62">_xlfn.XLOOKUP(1,('Zehnder Charleston'!$B$145:$B$264=P$3)*('Zehnder Charleston'!$D$145:$D$264=$B8),'Zehnder Charleston'!$H$145:$H$264,"")</f>
        <v>12</v>
      </c>
      <c r="Q62" s="27" cm="1">
        <f t="array" ref="Q62">_xlfn.XLOOKUP(1,('Zehnder Charleston'!$B$145:$B$264=Q$3)*('Zehnder Charleston'!$D$145:$D$264=$B8),'Zehnder Charleston'!$H$145:$H$264,"")</f>
        <v>12</v>
      </c>
      <c r="R62" s="27" cm="1">
        <f t="array" ref="R62">_xlfn.XLOOKUP(1,('Zehnder Charleston'!$B$145:$B$264=R$3)*('Zehnder Charleston'!$D$145:$D$264=$B8),'Zehnder Charleston'!$H$145:$H$264,"")</f>
        <v>12</v>
      </c>
      <c r="S62" s="27" cm="1">
        <f t="array" ref="S62">_xlfn.XLOOKUP(1,('Zehnder Charleston'!$B$145:$B$264=S$3)*('Zehnder Charleston'!$D$145:$D$264=$B8),'Zehnder Charleston'!$H$145:$H$264,"")</f>
        <v>12</v>
      </c>
      <c r="T62" s="27" cm="1">
        <f t="array" ref="T62">_xlfn.XLOOKUP(1,('Zehnder Charleston'!$B$145:$B$264=T$3)*('Zehnder Charleston'!$D$145:$D$264=$B8),'Zehnder Charleston'!$H$145:$H$264,"")</f>
        <v>12</v>
      </c>
      <c r="U62" s="27" cm="1">
        <f t="array" ref="U62">_xlfn.XLOOKUP(1,('Zehnder Charleston'!$B$145:$B$264=U$3)*('Zehnder Charleston'!$D$145:$D$264=$B8),'Zehnder Charleston'!$H$145:$H$264,"")</f>
        <v>12</v>
      </c>
      <c r="V62" s="27" cm="1">
        <f t="array" ref="V62">_xlfn.XLOOKUP(1,('Zehnder Charleston'!$B$145:$B$264=V$3)*('Zehnder Charleston'!$D$145:$D$264=$B8),'Zehnder Charleston'!$H$145:$H$264,"")</f>
        <v>12</v>
      </c>
    </row>
    <row r="63" spans="1:28" x14ac:dyDescent="0.2">
      <c r="M63"/>
      <c r="N63"/>
      <c r="O63"/>
      <c r="P63"/>
      <c r="Q63"/>
    </row>
    <row r="64" spans="1:28" ht="39" x14ac:dyDescent="0.25">
      <c r="A64" s="57" t="s">
        <v>161</v>
      </c>
      <c r="C64" s="4" t="s">
        <v>2</v>
      </c>
      <c r="M64"/>
      <c r="N64"/>
      <c r="O64"/>
      <c r="P64"/>
      <c r="Q64"/>
    </row>
    <row r="65" spans="1:28" x14ac:dyDescent="0.2">
      <c r="A65" s="57" t="s">
        <v>158</v>
      </c>
      <c r="C65" s="5">
        <f t="shared" ref="C65:V65" si="6">C$3</f>
        <v>260</v>
      </c>
      <c r="D65" s="5">
        <f t="shared" si="6"/>
        <v>300</v>
      </c>
      <c r="E65" s="5">
        <f t="shared" si="6"/>
        <v>350</v>
      </c>
      <c r="F65" s="5">
        <f t="shared" si="6"/>
        <v>400</v>
      </c>
      <c r="G65" s="5">
        <f t="shared" si="6"/>
        <v>450</v>
      </c>
      <c r="H65" s="5">
        <f t="shared" si="6"/>
        <v>500</v>
      </c>
      <c r="I65" s="5">
        <f t="shared" si="6"/>
        <v>550</v>
      </c>
      <c r="J65" s="5">
        <f t="shared" si="6"/>
        <v>600</v>
      </c>
      <c r="K65" s="5">
        <f t="shared" si="6"/>
        <v>750</v>
      </c>
      <c r="L65" s="5">
        <f t="shared" si="6"/>
        <v>900</v>
      </c>
      <c r="M65" s="5">
        <f t="shared" si="6"/>
        <v>1000</v>
      </c>
      <c r="N65" s="5">
        <f t="shared" si="6"/>
        <v>1100</v>
      </c>
      <c r="O65" s="5">
        <f t="shared" si="6"/>
        <v>1200</v>
      </c>
      <c r="P65" s="5">
        <f t="shared" si="6"/>
        <v>1500</v>
      </c>
      <c r="Q65" s="5">
        <f t="shared" si="6"/>
        <v>1800</v>
      </c>
      <c r="R65" s="5">
        <f t="shared" si="6"/>
        <v>2000</v>
      </c>
      <c r="S65" s="5">
        <f t="shared" si="6"/>
        <v>2200</v>
      </c>
      <c r="T65" s="5">
        <f t="shared" si="6"/>
        <v>2500</v>
      </c>
      <c r="U65" s="5">
        <f t="shared" si="6"/>
        <v>2800</v>
      </c>
      <c r="V65" s="5">
        <f t="shared" si="6"/>
        <v>3000</v>
      </c>
    </row>
    <row r="66" spans="1:28" ht="13.5" x14ac:dyDescent="0.25">
      <c r="A66" s="4" t="s">
        <v>3</v>
      </c>
      <c r="B66" s="2">
        <f>B4</f>
        <v>62</v>
      </c>
      <c r="C66" s="2" cm="1">
        <f t="array" ref="C66">_xlfn.XLOOKUP(1,('Zehnder Charleston'!$B$145:$B$264=C$3)*('Zehnder Charleston'!$D$145:$D$264=$B4),'Zehnder Charleston'!$L$145:$L$264,"")</f>
        <v>66</v>
      </c>
      <c r="D66" s="2" cm="1">
        <f t="array" ref="D66">_xlfn.XLOOKUP(1,('Zehnder Charleston'!$B$145:$B$264=D$2)*('Zehnder Charleston'!$D$145:$D$264=$B4),'Zehnder Charleston'!$L$145:$L$264,"")</f>
        <v>66.05</v>
      </c>
      <c r="E66" s="2" cm="1">
        <f t="array" ref="E66">_xlfn.XLOOKUP(1,('Zehnder Charleston'!$B$145:$B$264=E$2)*('Zehnder Charleston'!$D$145:$D$264=$B4),'Zehnder Charleston'!$L$145:$L$264,"")</f>
        <v>66.25</v>
      </c>
      <c r="F66" s="2" cm="1">
        <f t="array" ref="F66">_xlfn.XLOOKUP(1,('Zehnder Charleston'!$B$145:$B$264=F$2)*('Zehnder Charleston'!$D$145:$D$264=$B4),'Zehnder Charleston'!$L$145:$L$264,"")</f>
        <v>66.7</v>
      </c>
      <c r="G66" s="2" cm="1">
        <f t="array" ref="G66">_xlfn.XLOOKUP(1,('Zehnder Charleston'!$B$145:$B$264=G$2)*('Zehnder Charleston'!$D$145:$D$264=$B4),'Zehnder Charleston'!$L$145:$L$264,"")</f>
        <v>67.5</v>
      </c>
      <c r="H66" s="2" cm="1">
        <f t="array" ref="H66">_xlfn.XLOOKUP(1,('Zehnder Charleston'!$B$145:$B$264=H$2)*('Zehnder Charleston'!$D$145:$D$264=$B4),'Zehnder Charleston'!$L$145:$L$264,"")</f>
        <v>68.2</v>
      </c>
      <c r="I66" s="2" cm="1">
        <f t="array" ref="I66">_xlfn.XLOOKUP(1,('Zehnder Charleston'!$B$145:$B$264=I$2)*('Zehnder Charleston'!$D$145:$D$264=$B4),'Zehnder Charleston'!$L$145:$L$264,"")</f>
        <v>69.55</v>
      </c>
      <c r="J66" s="2" cm="1">
        <f t="array" ref="J66">_xlfn.XLOOKUP(1,('Zehnder Charleston'!$B$145:$B$264=J$2)*('Zehnder Charleston'!$D$145:$D$264=$B4),'Zehnder Charleston'!$L$145:$L$264,"")</f>
        <v>71</v>
      </c>
      <c r="K66" s="2" cm="1">
        <f t="array" ref="K66">_xlfn.XLOOKUP(1,('Zehnder Charleston'!$B$145:$B$264=K$2)*('Zehnder Charleston'!$D$145:$D$264=$B4),'Zehnder Charleston'!$L$145:$L$264,"")</f>
        <v>74.8</v>
      </c>
      <c r="L66" s="2" cm="1">
        <f t="array" ref="L66">_xlfn.XLOOKUP(1,('Zehnder Charleston'!$B$145:$B$264=L$2)*('Zehnder Charleston'!$D$145:$D$264=$B4),'Zehnder Charleston'!$L$145:$L$264,"")</f>
        <v>84.4</v>
      </c>
      <c r="M66" s="2" cm="1">
        <f t="array" ref="M66">_xlfn.XLOOKUP(1,('Zehnder Charleston'!$B$145:$B$264=M$2)*('Zehnder Charleston'!$D$145:$D$264=$B4),'Zehnder Charleston'!$L$145:$L$264,"")</f>
        <v>121.55</v>
      </c>
      <c r="N66" s="2" cm="1">
        <f t="array" ref="N66">_xlfn.XLOOKUP(1,('Zehnder Charleston'!$B$145:$B$264=N$2)*('Zehnder Charleston'!$D$145:$D$264=$B4),'Zehnder Charleston'!$L$145:$L$264,"")</f>
        <v>124.65</v>
      </c>
      <c r="O66" s="2" cm="1">
        <f t="array" ref="O66">_xlfn.XLOOKUP(1,('Zehnder Charleston'!$B$145:$B$264=O$2)*('Zehnder Charleston'!$D$145:$D$264=$B4),'Zehnder Charleston'!$L$145:$L$264,"")</f>
        <v>130.15</v>
      </c>
      <c r="P66" s="2" cm="1">
        <f t="array" ref="P66">_xlfn.XLOOKUP(1,('Zehnder Charleston'!$B$145:$B$264=P$2)*('Zehnder Charleston'!$D$145:$D$264=$B4),'Zehnder Charleston'!$L$145:$L$264,"")</f>
        <v>142.6</v>
      </c>
      <c r="Q66" s="2" cm="1">
        <f t="array" ref="Q66">_xlfn.XLOOKUP(1,('Zehnder Charleston'!$B$145:$B$264=Q$2)*('Zehnder Charleston'!$D$145:$D$264=$B4),'Zehnder Charleston'!$L$145:$L$264,"")</f>
        <v>159</v>
      </c>
      <c r="R66" s="2" cm="1">
        <f t="array" ref="R66">_xlfn.XLOOKUP(1,('Zehnder Charleston'!$B$145:$B$264=R$2)*('Zehnder Charleston'!$D$145:$D$264=$B4),'Zehnder Charleston'!$L$145:$L$264,"")</f>
        <v>170.15</v>
      </c>
      <c r="S66" s="2" cm="1">
        <f t="array" ref="S66">_xlfn.XLOOKUP(1,('Zehnder Charleston'!$B$145:$B$264=S$2)*('Zehnder Charleston'!$D$145:$D$264=$B4),'Zehnder Charleston'!$L$145:$L$264,"")</f>
        <v>196.85</v>
      </c>
      <c r="T66" s="2" cm="1">
        <f t="array" ref="T66">_xlfn.XLOOKUP(1,('Zehnder Charleston'!$B$145:$B$264=T$2)*('Zehnder Charleston'!$D$145:$D$264=$B4),'Zehnder Charleston'!$L$145:$L$264,"")</f>
        <v>213.45</v>
      </c>
      <c r="U66" s="2" cm="1">
        <f t="array" ref="U66">_xlfn.XLOOKUP(1,('Zehnder Charleston'!$B$145:$B$264=U$2)*('Zehnder Charleston'!$D$145:$D$264=$B4),'Zehnder Charleston'!$L$145:$L$264,"")</f>
        <v>240.75</v>
      </c>
      <c r="V66" s="2" cm="1">
        <f t="array" ref="V66">_xlfn.XLOOKUP(1,('Zehnder Charleston'!$B$145:$B$264=V$2)*('Zehnder Charleston'!$D$145:$D$264=$B4),'Zehnder Charleston'!$L$145:$L$264,"")</f>
        <v>254.85</v>
      </c>
      <c r="AB66" s="2" t="str" cm="1">
        <f t="array" ref="AB66">_xlfn.XLOOKUP(1,('Zehnder Charleston'!$B$2:$B$138=V$3)*('Zehnder Charleston'!$D$2:$D$138=$B4),'Zehnder Charleston'!$L$2:$L$138,"")</f>
        <v/>
      </c>
    </row>
    <row r="67" spans="1:28" x14ac:dyDescent="0.2">
      <c r="B67" s="2">
        <f>B5</f>
        <v>100</v>
      </c>
      <c r="C67" s="2" cm="1">
        <f t="array" ref="C67">_xlfn.XLOOKUP(1,('Zehnder Charleston'!$B$145:$B$264=C$3)*('Zehnder Charleston'!$D$145:$D$264=$B5),'Zehnder Charleston'!$L$145:$L$264,"")</f>
        <v>75.150000000000006</v>
      </c>
      <c r="D67" s="2" cm="1">
        <f t="array" ref="D67">_xlfn.XLOOKUP(1,('Zehnder Charleston'!$B$145:$B$264=D$3)*('Zehnder Charleston'!$D$145:$D$264=$B5),'Zehnder Charleston'!$L$145:$L$264,"")</f>
        <v>75.650000000000006</v>
      </c>
      <c r="E67" s="2" cm="1">
        <f t="array" ref="E67">_xlfn.XLOOKUP(1,('Zehnder Charleston'!$B$145:$B$264=E$3)*('Zehnder Charleston'!$D$145:$D$264=$B5),'Zehnder Charleston'!$L$145:$L$264,"")</f>
        <v>76</v>
      </c>
      <c r="F67" s="2" cm="1">
        <f t="array" ref="F67">_xlfn.XLOOKUP(1,('Zehnder Charleston'!$B$145:$B$264=F$3)*('Zehnder Charleston'!$D$145:$D$264=$B5),'Zehnder Charleston'!$L$145:$L$264,"")</f>
        <v>76.55</v>
      </c>
      <c r="G67" s="2" cm="1">
        <f t="array" ref="G67">_xlfn.XLOOKUP(1,('Zehnder Charleston'!$B$145:$B$264=G$3)*('Zehnder Charleston'!$D$145:$D$264=$B5),'Zehnder Charleston'!$L$145:$L$264,"")</f>
        <v>77</v>
      </c>
      <c r="H67" s="2" cm="1">
        <f t="array" ref="H67">_xlfn.XLOOKUP(1,('Zehnder Charleston'!$B$145:$B$264=H$3)*('Zehnder Charleston'!$D$145:$D$264=$B5),'Zehnder Charleston'!$L$145:$L$264,"")</f>
        <v>77.400000000000006</v>
      </c>
      <c r="I67" s="2" cm="1">
        <f t="array" ref="I67">_xlfn.XLOOKUP(1,('Zehnder Charleston'!$B$145:$B$264=I$3)*('Zehnder Charleston'!$D$145:$D$264=$B5),'Zehnder Charleston'!$L$145:$L$264,"")</f>
        <v>80.45</v>
      </c>
      <c r="J67" s="2" cm="1">
        <f t="array" ref="J67">_xlfn.XLOOKUP(1,('Zehnder Charleston'!$B$145:$B$264=J$3)*('Zehnder Charleston'!$D$145:$D$264=$B5),'Zehnder Charleston'!$L$145:$L$264,"")</f>
        <v>85.5</v>
      </c>
      <c r="K67" s="2" cm="1">
        <f t="array" ref="K67">_xlfn.XLOOKUP(1,('Zehnder Charleston'!$B$145:$B$264=K$3)*('Zehnder Charleston'!$D$145:$D$264=$B5),'Zehnder Charleston'!$L$145:$L$264,"")</f>
        <v>88.95</v>
      </c>
      <c r="L67" s="2" cm="1">
        <f t="array" ref="L67">_xlfn.XLOOKUP(1,('Zehnder Charleston'!$B$145:$B$264=L$3)*('Zehnder Charleston'!$D$145:$D$264=$B5),'Zehnder Charleston'!$L$145:$L$264,"")</f>
        <v>95.55</v>
      </c>
      <c r="M67" s="2" cm="1">
        <f t="array" ref="M67">_xlfn.XLOOKUP(1,('Zehnder Charleston'!$B$145:$B$264=M$3)*('Zehnder Charleston'!$D$145:$D$264=$B5),'Zehnder Charleston'!$L$145:$L$264,"")</f>
        <v>137.35</v>
      </c>
      <c r="N67" s="2" cm="1">
        <f t="array" ref="N67">_xlfn.XLOOKUP(1,('Zehnder Charleston'!$B$145:$B$264=N$3)*('Zehnder Charleston'!$D$145:$D$264=$B5),'Zehnder Charleston'!$L$145:$L$264,"")</f>
        <v>147.15</v>
      </c>
      <c r="O67" s="2" cm="1">
        <f t="array" ref="O67">_xlfn.XLOOKUP(1,('Zehnder Charleston'!$B$145:$B$264=O$3)*('Zehnder Charleston'!$D$145:$D$264=$B5),'Zehnder Charleston'!$L$145:$L$264,"")</f>
        <v>161.4</v>
      </c>
      <c r="P67" s="2" cm="1">
        <f t="array" ref="P67">_xlfn.XLOOKUP(1,('Zehnder Charleston'!$B$145:$B$264=P$3)*('Zehnder Charleston'!$D$145:$D$264=$B5),'Zehnder Charleston'!$L$145:$L$264,"")</f>
        <v>191.1</v>
      </c>
      <c r="Q67" s="2" cm="1">
        <f t="array" ref="Q67">_xlfn.XLOOKUP(1,('Zehnder Charleston'!$B$145:$B$264=Q$3)*('Zehnder Charleston'!$D$145:$D$264=$B5),'Zehnder Charleston'!$L$145:$L$264,"")</f>
        <v>228.3</v>
      </c>
      <c r="R67" s="2" cm="1">
        <f t="array" ref="R67">_xlfn.XLOOKUP(1,('Zehnder Charleston'!$B$145:$B$264=R$3)*('Zehnder Charleston'!$D$145:$D$264=$B5),'Zehnder Charleston'!$L$145:$L$264,"")</f>
        <v>242.65</v>
      </c>
      <c r="S67" s="2" cm="1">
        <f t="array" ref="S67">_xlfn.XLOOKUP(1,('Zehnder Charleston'!$B$145:$B$264=S$3)*('Zehnder Charleston'!$D$145:$D$264=$B5),'Zehnder Charleston'!$L$145:$L$264,"")</f>
        <v>256.85000000000002</v>
      </c>
      <c r="T67" s="2" cm="1">
        <f t="array" ref="T67">_xlfn.XLOOKUP(1,('Zehnder Charleston'!$B$145:$B$264=T$3)*('Zehnder Charleston'!$D$145:$D$264=$B5),'Zehnder Charleston'!$L$145:$L$264,"")</f>
        <v>283.5</v>
      </c>
      <c r="U67" s="2" cm="1">
        <f t="array" ref="U67">_xlfn.XLOOKUP(1,('Zehnder Charleston'!$B$145:$B$264=U$3)*('Zehnder Charleston'!$D$145:$D$264=$B5),'Zehnder Charleston'!$L$145:$L$264,"")</f>
        <v>330.7</v>
      </c>
      <c r="V67" s="2" cm="1">
        <f t="array" ref="V67">_xlfn.XLOOKUP(1,('Zehnder Charleston'!$B$145:$B$264=V$3)*('Zehnder Charleston'!$D$145:$D$264=$B5),'Zehnder Charleston'!$L$145:$L$264,"")</f>
        <v>361.05</v>
      </c>
    </row>
    <row r="68" spans="1:28" x14ac:dyDescent="0.2">
      <c r="B68" s="2">
        <f>B6</f>
        <v>136</v>
      </c>
      <c r="C68" s="2" cm="1">
        <f t="array" ref="C68">_xlfn.XLOOKUP(1,('Zehnder Charleston'!$B$145:$B$264=C$3)*('Zehnder Charleston'!$D$145:$D$264=$B6),'Zehnder Charleston'!$L$145:$L$264,"")</f>
        <v>82.5</v>
      </c>
      <c r="D68" s="2" cm="1">
        <f t="array" ref="D68">_xlfn.XLOOKUP(1,('Zehnder Charleston'!$B$145:$B$264=D$3)*('Zehnder Charleston'!$D$145:$D$264=$B6),'Zehnder Charleston'!$L$145:$L$264,"")</f>
        <v>83.65</v>
      </c>
      <c r="E68" s="2" cm="1">
        <f t="array" ref="E68">_xlfn.XLOOKUP(1,('Zehnder Charleston'!$B$145:$B$264=E$3)*('Zehnder Charleston'!$D$145:$D$264=$B6),'Zehnder Charleston'!$L$145:$L$264,"")</f>
        <v>84.65</v>
      </c>
      <c r="F68" s="2" cm="1">
        <f t="array" ref="F68">_xlfn.XLOOKUP(1,('Zehnder Charleston'!$B$145:$B$264=F$3)*('Zehnder Charleston'!$D$145:$D$264=$B6),'Zehnder Charleston'!$L$145:$L$264,"")</f>
        <v>85.9</v>
      </c>
      <c r="G68" s="2" cm="1">
        <f t="array" ref="G68">_xlfn.XLOOKUP(1,('Zehnder Charleston'!$B$145:$B$264=G$3)*('Zehnder Charleston'!$D$145:$D$264=$B6),'Zehnder Charleston'!$L$145:$L$264,"")</f>
        <v>87.3</v>
      </c>
      <c r="H68" s="2" cm="1">
        <f t="array" ref="H68">_xlfn.XLOOKUP(1,('Zehnder Charleston'!$B$145:$B$264=H$3)*('Zehnder Charleston'!$D$145:$D$264=$B6),'Zehnder Charleston'!$L$145:$L$264,"")</f>
        <v>89.3</v>
      </c>
      <c r="I68" s="2" cm="1">
        <f t="array" ref="I68">_xlfn.XLOOKUP(1,('Zehnder Charleston'!$B$145:$B$264=I$3)*('Zehnder Charleston'!$D$145:$D$264=$B6),'Zehnder Charleston'!$L$145:$L$264,"")</f>
        <v>91.15</v>
      </c>
      <c r="J68" s="2" cm="1">
        <f t="array" ref="J68">_xlfn.XLOOKUP(1,('Zehnder Charleston'!$B$145:$B$264=J$3)*('Zehnder Charleston'!$D$145:$D$264=$B6),'Zehnder Charleston'!$L$145:$L$264,"")</f>
        <v>93</v>
      </c>
      <c r="K68" s="2" cm="1">
        <f t="array" ref="K68">_xlfn.XLOOKUP(1,('Zehnder Charleston'!$B$145:$B$264=K$3)*('Zehnder Charleston'!$D$145:$D$264=$B6),'Zehnder Charleston'!$L$145:$L$264,"")</f>
        <v>99.6</v>
      </c>
      <c r="L68" s="2" cm="1">
        <f t="array" ref="L68">_xlfn.XLOOKUP(1,('Zehnder Charleston'!$B$145:$B$264=L$3)*('Zehnder Charleston'!$D$145:$D$264=$B6),'Zehnder Charleston'!$L$145:$L$264,"")</f>
        <v>109.1</v>
      </c>
      <c r="M68" s="2" cm="1">
        <f t="array" ref="M68">_xlfn.XLOOKUP(1,('Zehnder Charleston'!$B$145:$B$264=M$3)*('Zehnder Charleston'!$D$145:$D$264=$B6),'Zehnder Charleston'!$L$145:$L$264,"")</f>
        <v>138.6</v>
      </c>
      <c r="N68" s="2" cm="1">
        <f t="array" ref="N68">_xlfn.XLOOKUP(1,('Zehnder Charleston'!$B$145:$B$264=N$3)*('Zehnder Charleston'!$D$145:$D$264=$B6),'Zehnder Charleston'!$L$145:$L$264,"")</f>
        <v>158.69999999999999</v>
      </c>
      <c r="O68" s="2" cm="1">
        <f t="array" ref="O68">_xlfn.XLOOKUP(1,('Zehnder Charleston'!$B$145:$B$264=O$3)*('Zehnder Charleston'!$D$145:$D$264=$B6),'Zehnder Charleston'!$L$145:$L$264,"")</f>
        <v>182.25</v>
      </c>
      <c r="P68" s="2" cm="1">
        <f t="array" ref="P68">_xlfn.XLOOKUP(1,('Zehnder Charleston'!$B$145:$B$264=P$3)*('Zehnder Charleston'!$D$145:$D$264=$B6),'Zehnder Charleston'!$L$145:$L$264,"")</f>
        <v>214.25</v>
      </c>
      <c r="Q68" s="2" cm="1">
        <f t="array" ref="Q68">_xlfn.XLOOKUP(1,('Zehnder Charleston'!$B$145:$B$264=Q$3)*('Zehnder Charleston'!$D$145:$D$264=$B6),'Zehnder Charleston'!$L$145:$L$264,"")</f>
        <v>251.55</v>
      </c>
      <c r="R68" s="2" cm="1">
        <f t="array" ref="R68">_xlfn.XLOOKUP(1,('Zehnder Charleston'!$B$145:$B$264=R$3)*('Zehnder Charleston'!$D$145:$D$264=$B6),'Zehnder Charleston'!$L$145:$L$264,"")</f>
        <v>270</v>
      </c>
      <c r="S68" s="2" cm="1">
        <f t="array" ref="S68">_xlfn.XLOOKUP(1,('Zehnder Charleston'!$B$145:$B$264=S$3)*('Zehnder Charleston'!$D$145:$D$264=$B6),'Zehnder Charleston'!$L$145:$L$264,"")</f>
        <v>296.35000000000002</v>
      </c>
      <c r="T68" s="2" cm="1">
        <f t="array" ref="T68">_xlfn.XLOOKUP(1,('Zehnder Charleston'!$B$145:$B$264=T$3)*('Zehnder Charleston'!$D$145:$D$264=$B6),'Zehnder Charleston'!$L$145:$L$264,"")</f>
        <v>318.55</v>
      </c>
      <c r="U68" s="2" cm="1">
        <f t="array" ref="U68">_xlfn.XLOOKUP(1,('Zehnder Charleston'!$B$145:$B$264=U$3)*('Zehnder Charleston'!$D$145:$D$264=$B6),'Zehnder Charleston'!$L$145:$L$264,"")</f>
        <v>347.75</v>
      </c>
      <c r="V68" s="2" cm="1">
        <f t="array" ref="V68">_xlfn.XLOOKUP(1,('Zehnder Charleston'!$B$145:$B$264=V$3)*('Zehnder Charleston'!$D$145:$D$264=$B6),'Zehnder Charleston'!$L$145:$L$264,"")</f>
        <v>375.9</v>
      </c>
    </row>
    <row r="69" spans="1:28" x14ac:dyDescent="0.2">
      <c r="B69" s="2">
        <f>B7</f>
        <v>173</v>
      </c>
      <c r="C69" s="2" cm="1">
        <f t="array" ref="C69">_xlfn.XLOOKUP(1,('Zehnder Charleston'!$B$145:$B$264=C$3)*('Zehnder Charleston'!$D$145:$D$264=$B7),'Zehnder Charleston'!$L$145:$L$264,"")</f>
        <v>92.9</v>
      </c>
      <c r="D69" s="2" cm="1">
        <f t="array" ref="D69">_xlfn.XLOOKUP(1,('Zehnder Charleston'!$B$145:$B$264=D$3)*('Zehnder Charleston'!$D$145:$D$264=$B7),'Zehnder Charleston'!$L$145:$L$264,"")</f>
        <v>93.4</v>
      </c>
      <c r="E69" s="2" cm="1">
        <f t="array" ref="E69">_xlfn.XLOOKUP(1,('Zehnder Charleston'!$B$145:$B$264=E$3)*('Zehnder Charleston'!$D$145:$D$264=$B7),'Zehnder Charleston'!$L$145:$L$264,"")</f>
        <v>94.35</v>
      </c>
      <c r="F69" s="2" cm="1">
        <f t="array" ref="F69">_xlfn.XLOOKUP(1,('Zehnder Charleston'!$B$145:$B$264=F$3)*('Zehnder Charleston'!$D$145:$D$264=$B7),'Zehnder Charleston'!$L$145:$L$264,"")</f>
        <v>95.85</v>
      </c>
      <c r="G69" s="2" cm="1">
        <f t="array" ref="G69">_xlfn.XLOOKUP(1,('Zehnder Charleston'!$B$145:$B$264=G$3)*('Zehnder Charleston'!$D$145:$D$264=$B7),'Zehnder Charleston'!$L$145:$L$264,"")</f>
        <v>97.6</v>
      </c>
      <c r="H69" s="2" cm="1">
        <f t="array" ref="H69">_xlfn.XLOOKUP(1,('Zehnder Charleston'!$B$145:$B$264=H$3)*('Zehnder Charleston'!$D$145:$D$264=$B7),'Zehnder Charleston'!$L$145:$L$264,"")</f>
        <v>99.05</v>
      </c>
      <c r="I69" s="2" cm="1">
        <f t="array" ref="I69">_xlfn.XLOOKUP(1,('Zehnder Charleston'!$B$145:$B$264=I$3)*('Zehnder Charleston'!$D$145:$D$264=$B7),'Zehnder Charleston'!$L$145:$L$264,"")</f>
        <v>101</v>
      </c>
      <c r="J69" s="2" cm="1">
        <f t="array" ref="J69">_xlfn.XLOOKUP(1,('Zehnder Charleston'!$B$145:$B$264=J$3)*('Zehnder Charleston'!$D$145:$D$264=$B7),'Zehnder Charleston'!$L$145:$L$264,"")</f>
        <v>102.85</v>
      </c>
      <c r="K69" s="2" cm="1">
        <f t="array" ref="K69">_xlfn.XLOOKUP(1,('Zehnder Charleston'!$B$145:$B$264=K$3)*('Zehnder Charleston'!$D$145:$D$264=$B7),'Zehnder Charleston'!$L$145:$L$264,"")</f>
        <v>112.15</v>
      </c>
      <c r="L69" s="2" cm="1">
        <f t="array" ref="L69">_xlfn.XLOOKUP(1,('Zehnder Charleston'!$B$145:$B$264=L$3)*('Zehnder Charleston'!$D$145:$D$264=$B7),'Zehnder Charleston'!$L$145:$L$264,"")</f>
        <v>123.2</v>
      </c>
      <c r="M69" s="2" cm="1">
        <f t="array" ref="M69">_xlfn.XLOOKUP(1,('Zehnder Charleston'!$B$145:$B$264=M$3)*('Zehnder Charleston'!$D$145:$D$264=$B7),'Zehnder Charleston'!$L$145:$L$264,"")</f>
        <v>166.2</v>
      </c>
      <c r="N69" s="2" cm="1">
        <f t="array" ref="N69">_xlfn.XLOOKUP(1,('Zehnder Charleston'!$B$145:$B$264=N$3)*('Zehnder Charleston'!$D$145:$D$264=$B7),'Zehnder Charleston'!$L$145:$L$264,"")</f>
        <v>188.3</v>
      </c>
      <c r="O69" s="2" cm="1">
        <f t="array" ref="O69">_xlfn.XLOOKUP(1,('Zehnder Charleston'!$B$145:$B$264=O$3)*('Zehnder Charleston'!$D$145:$D$264=$B7),'Zehnder Charleston'!$L$145:$L$264,"")</f>
        <v>215.5</v>
      </c>
      <c r="P69" s="2" cm="1">
        <f t="array" ref="P69">_xlfn.XLOOKUP(1,('Zehnder Charleston'!$B$145:$B$264=P$3)*('Zehnder Charleston'!$D$145:$D$264=$B7),'Zehnder Charleston'!$L$145:$L$264,"")</f>
        <v>251.65</v>
      </c>
      <c r="Q69" s="2" cm="1">
        <f t="array" ref="Q69">_xlfn.XLOOKUP(1,('Zehnder Charleston'!$B$145:$B$264=Q$3)*('Zehnder Charleston'!$D$145:$D$264=$B7),'Zehnder Charleston'!$L$145:$L$264,"")</f>
        <v>294.14999999999998</v>
      </c>
      <c r="R69" s="2" cm="1">
        <f t="array" ref="R69">_xlfn.XLOOKUP(1,('Zehnder Charleston'!$B$145:$B$264=R$3)*('Zehnder Charleston'!$D$145:$D$264=$B7),'Zehnder Charleston'!$L$145:$L$264,"")</f>
        <v>317.25</v>
      </c>
      <c r="S69" s="2" cm="1">
        <f t="array" ref="S69">_xlfn.XLOOKUP(1,('Zehnder Charleston'!$B$145:$B$264=S$3)*('Zehnder Charleston'!$D$145:$D$264=$B7),'Zehnder Charleston'!$L$145:$L$264,"")</f>
        <v>342.8</v>
      </c>
      <c r="T69" s="2" cm="1">
        <f t="array" ref="T69">_xlfn.XLOOKUP(1,('Zehnder Charleston'!$B$145:$B$264=T$3)*('Zehnder Charleston'!$D$145:$D$264=$B7),'Zehnder Charleston'!$L$145:$L$264,"")</f>
        <v>368.2</v>
      </c>
      <c r="U69" s="2" cm="1">
        <f t="array" ref="U69">_xlfn.XLOOKUP(1,('Zehnder Charleston'!$B$145:$B$264=U$3)*('Zehnder Charleston'!$D$145:$D$264=$B7),'Zehnder Charleston'!$L$145:$L$264,"")</f>
        <v>394.35</v>
      </c>
      <c r="V69" s="2" cm="1">
        <f t="array" ref="V69">_xlfn.XLOOKUP(1,('Zehnder Charleston'!$B$145:$B$264=V$3)*('Zehnder Charleston'!$D$145:$D$264=$B7),'Zehnder Charleston'!$L$145:$L$264,"")</f>
        <v>423.55</v>
      </c>
    </row>
    <row r="70" spans="1:28" x14ac:dyDescent="0.2">
      <c r="B70" s="2">
        <f>B8</f>
        <v>210</v>
      </c>
      <c r="C70" s="2" cm="1">
        <f t="array" ref="C70">_xlfn.XLOOKUP(1,('Zehnder Charleston'!$B$145:$B$264=C$3)*('Zehnder Charleston'!$D$145:$D$264=$B8),'Zehnder Charleston'!$L$145:$L$264,"")</f>
        <v>102.85</v>
      </c>
      <c r="D70" s="2" cm="1">
        <f t="array" ref="D70">_xlfn.XLOOKUP(1,('Zehnder Charleston'!$B$145:$B$264=D$3)*('Zehnder Charleston'!$D$145:$D$264=$B8),'Zehnder Charleston'!$L$145:$L$264,"")</f>
        <v>103.85</v>
      </c>
      <c r="E70" s="2" cm="1">
        <f t="array" ref="E70">_xlfn.XLOOKUP(1,('Zehnder Charleston'!$B$145:$B$264=E$3)*('Zehnder Charleston'!$D$145:$D$264=$B8),'Zehnder Charleston'!$L$145:$L$264,"")</f>
        <v>105.4</v>
      </c>
      <c r="F70" s="2" cm="1">
        <f t="array" ref="F70">_xlfn.XLOOKUP(1,('Zehnder Charleston'!$B$145:$B$264=F$3)*('Zehnder Charleston'!$D$145:$D$264=$B8),'Zehnder Charleston'!$L$145:$L$264,"")</f>
        <v>107.05</v>
      </c>
      <c r="G70" s="2" cm="1">
        <f t="array" ref="G70">_xlfn.XLOOKUP(1,('Zehnder Charleston'!$B$145:$B$264=G$3)*('Zehnder Charleston'!$D$145:$D$264=$B8),'Zehnder Charleston'!$L$145:$L$264,"")</f>
        <v>108.7</v>
      </c>
      <c r="H70" s="2" cm="1">
        <f t="array" ref="H70">_xlfn.XLOOKUP(1,('Zehnder Charleston'!$B$145:$B$264=H$3)*('Zehnder Charleston'!$D$145:$D$264=$B8),'Zehnder Charleston'!$L$145:$L$264,"")</f>
        <v>110.5</v>
      </c>
      <c r="I70" s="2" cm="1">
        <f t="array" ref="I70">_xlfn.XLOOKUP(1,('Zehnder Charleston'!$B$145:$B$264=I$3)*('Zehnder Charleston'!$D$145:$D$264=$B8),'Zehnder Charleston'!$L$145:$L$264,"")</f>
        <v>113.2</v>
      </c>
      <c r="J70" s="2" cm="1">
        <f t="array" ref="J70">_xlfn.XLOOKUP(1,('Zehnder Charleston'!$B$145:$B$264=J$3)*('Zehnder Charleston'!$D$145:$D$264=$B8),'Zehnder Charleston'!$L$145:$L$264,"")</f>
        <v>115.9</v>
      </c>
      <c r="K70" s="2" cm="1">
        <f t="array" ref="K70">_xlfn.XLOOKUP(1,('Zehnder Charleston'!$B$145:$B$264=K$3)*('Zehnder Charleston'!$D$145:$D$264=$B8),'Zehnder Charleston'!$L$145:$L$264,"")</f>
        <v>125.6</v>
      </c>
      <c r="L70" s="2" cm="1">
        <f t="array" ref="L70">_xlfn.XLOOKUP(1,('Zehnder Charleston'!$B$145:$B$264=L$3)*('Zehnder Charleston'!$D$145:$D$264=$B8),'Zehnder Charleston'!$L$145:$L$264,"")</f>
        <v>136.19999999999999</v>
      </c>
      <c r="M70" s="2" cm="1">
        <f t="array" ref="M70">_xlfn.XLOOKUP(1,('Zehnder Charleston'!$B$145:$B$264=M$3)*('Zehnder Charleston'!$D$145:$D$264=$B8),'Zehnder Charleston'!$L$145:$L$264,"")</f>
        <v>174.65</v>
      </c>
      <c r="N70" s="2" cm="1">
        <f t="array" ref="N70">_xlfn.XLOOKUP(1,('Zehnder Charleston'!$B$145:$B$264=N$3)*('Zehnder Charleston'!$D$145:$D$264=$B8),'Zehnder Charleston'!$L$145:$L$264,"")</f>
        <v>198.7</v>
      </c>
      <c r="O70" s="2" cm="1">
        <f t="array" ref="O70">_xlfn.XLOOKUP(1,('Zehnder Charleston'!$B$145:$B$264=O$3)*('Zehnder Charleston'!$D$145:$D$264=$B8),'Zehnder Charleston'!$L$145:$L$264,"")</f>
        <v>224.9</v>
      </c>
      <c r="P70" s="2" cm="1">
        <f t="array" ref="P70">_xlfn.XLOOKUP(1,('Zehnder Charleston'!$B$145:$B$264=P$3)*('Zehnder Charleston'!$D$145:$D$264=$B8),'Zehnder Charleston'!$L$145:$L$264,"")</f>
        <v>260.39999999999998</v>
      </c>
      <c r="Q70" s="2" cm="1">
        <f t="array" ref="Q70">_xlfn.XLOOKUP(1,('Zehnder Charleston'!$B$145:$B$264=Q$3)*('Zehnder Charleston'!$D$145:$D$264=$B8),'Zehnder Charleston'!$L$145:$L$264,"")</f>
        <v>304.75</v>
      </c>
      <c r="R70" s="2" cm="1">
        <f t="array" ref="R70">_xlfn.XLOOKUP(1,('Zehnder Charleston'!$B$145:$B$264=R$3)*('Zehnder Charleston'!$D$145:$D$264=$B8),'Zehnder Charleston'!$L$145:$L$264,"")</f>
        <v>331.95</v>
      </c>
      <c r="S70" s="2" cm="1">
        <f t="array" ref="S70">_xlfn.XLOOKUP(1,('Zehnder Charleston'!$B$145:$B$264=S$3)*('Zehnder Charleston'!$D$145:$D$264=$B8),'Zehnder Charleston'!$L$145:$L$264,"")</f>
        <v>363.2</v>
      </c>
      <c r="T70" s="2" cm="1">
        <f t="array" ref="T70">_xlfn.XLOOKUP(1,('Zehnder Charleston'!$B$145:$B$264=T$3)*('Zehnder Charleston'!$D$145:$D$264=$B8),'Zehnder Charleston'!$L$145:$L$264,"")</f>
        <v>396.75</v>
      </c>
      <c r="U70" s="2" cm="1">
        <f t="array" ref="U70">_xlfn.XLOOKUP(1,('Zehnder Charleston'!$B$145:$B$264=U$3)*('Zehnder Charleston'!$D$145:$D$264=$B8),'Zehnder Charleston'!$L$145:$L$264,"")</f>
        <v>430.15</v>
      </c>
      <c r="V70" s="2" cm="1">
        <f t="array" ref="V70">_xlfn.XLOOKUP(1,('Zehnder Charleston'!$B$145:$B$264=V$3)*('Zehnder Charleston'!$D$145:$D$264=$B8),'Zehnder Charleston'!$L$145:$L$264,"")</f>
        <v>452.8</v>
      </c>
    </row>
    <row r="71" spans="1:28" x14ac:dyDescent="0.2">
      <c r="C71" s="8"/>
      <c r="D71" s="8"/>
      <c r="E71" s="8"/>
      <c r="F71" s="8"/>
      <c r="G71" s="8"/>
      <c r="H71" s="8"/>
      <c r="I71" s="8"/>
      <c r="J71" s="8"/>
      <c r="K71" s="8"/>
      <c r="L71" s="8"/>
      <c r="M71"/>
      <c r="N71"/>
      <c r="O71"/>
      <c r="P71"/>
      <c r="Q71"/>
    </row>
    <row r="72" spans="1:28" ht="13.5" x14ac:dyDescent="0.25">
      <c r="A72" s="57" t="s">
        <v>162</v>
      </c>
      <c r="C72" s="4" t="s">
        <v>2</v>
      </c>
      <c r="M72"/>
      <c r="N72"/>
      <c r="O72"/>
      <c r="P72"/>
      <c r="Q72"/>
    </row>
    <row r="73" spans="1:28" x14ac:dyDescent="0.2">
      <c r="A73" s="57"/>
      <c r="C73" s="5">
        <f t="shared" ref="C73:V73" si="7">C$3</f>
        <v>260</v>
      </c>
      <c r="D73" s="5">
        <f t="shared" si="7"/>
        <v>300</v>
      </c>
      <c r="E73" s="5">
        <f t="shared" si="7"/>
        <v>350</v>
      </c>
      <c r="F73" s="5">
        <f t="shared" si="7"/>
        <v>400</v>
      </c>
      <c r="G73" s="5">
        <f t="shared" si="7"/>
        <v>450</v>
      </c>
      <c r="H73" s="5">
        <f t="shared" si="7"/>
        <v>500</v>
      </c>
      <c r="I73" s="5">
        <f t="shared" si="7"/>
        <v>550</v>
      </c>
      <c r="J73" s="5">
        <f t="shared" si="7"/>
        <v>600</v>
      </c>
      <c r="K73" s="5">
        <f t="shared" si="7"/>
        <v>750</v>
      </c>
      <c r="L73" s="5">
        <f t="shared" si="7"/>
        <v>900</v>
      </c>
      <c r="M73" s="5">
        <f t="shared" si="7"/>
        <v>1000</v>
      </c>
      <c r="N73" s="5">
        <f t="shared" si="7"/>
        <v>1100</v>
      </c>
      <c r="O73" s="5">
        <f t="shared" si="7"/>
        <v>1200</v>
      </c>
      <c r="P73" s="5">
        <f t="shared" si="7"/>
        <v>1500</v>
      </c>
      <c r="Q73" s="5">
        <f t="shared" si="7"/>
        <v>1800</v>
      </c>
      <c r="R73" s="5">
        <f t="shared" si="7"/>
        <v>2000</v>
      </c>
      <c r="S73" s="5">
        <f t="shared" si="7"/>
        <v>2200</v>
      </c>
      <c r="T73" s="5">
        <f t="shared" si="7"/>
        <v>2500</v>
      </c>
      <c r="U73" s="5">
        <f t="shared" si="7"/>
        <v>2800</v>
      </c>
      <c r="V73" s="5">
        <f t="shared" si="7"/>
        <v>3000</v>
      </c>
    </row>
    <row r="74" spans="1:28" x14ac:dyDescent="0.2">
      <c r="A74" s="57"/>
      <c r="C74" s="5"/>
      <c r="D74" s="5"/>
      <c r="E74" s="5"/>
      <c r="F74" s="5"/>
      <c r="G74" s="5"/>
      <c r="H74" s="5"/>
      <c r="I74" s="5"/>
      <c r="J74" s="5"/>
      <c r="K74" s="5"/>
      <c r="L74" s="5"/>
      <c r="M74" s="5"/>
      <c r="N74" s="5"/>
      <c r="O74" s="5"/>
      <c r="P74" s="5"/>
      <c r="Q74" s="5"/>
      <c r="R74" s="5"/>
      <c r="S74" s="5"/>
      <c r="T74" s="5"/>
      <c r="U74" s="5"/>
      <c r="V74" s="5"/>
    </row>
    <row r="75" spans="1:28" ht="13.5" x14ac:dyDescent="0.25">
      <c r="A75" s="4" t="s">
        <v>3</v>
      </c>
      <c r="B75" s="2">
        <f>B4</f>
        <v>62</v>
      </c>
      <c r="C75" s="2" t="str" cm="1">
        <f t="array" ref="C75">_xlfn.XLOOKUP(1,('Zehnder Charleston'!$B$145:$B$264=C$3)*('Zehnder Charleston'!$D$145:$D$264=$B4),'Zehnder Charleston'!$A$145:$A$264,"")</f>
        <v>K2026</v>
      </c>
      <c r="D75" s="2" t="str" cm="1">
        <f t="array" ref="D75">_xlfn.XLOOKUP(1,('Zehnder Charleston'!$B$145:$B$264=D$2)*('Zehnder Charleston'!$D$145:$D$264=$B4),'Zehnder Charleston'!$A$145:$A$264,"")</f>
        <v>K2030</v>
      </c>
      <c r="E75" s="2" t="str" cm="1">
        <f t="array" ref="E75">_xlfn.XLOOKUP(1,('Zehnder Charleston'!$B$145:$B$264=E$2)*('Zehnder Charleston'!$D$145:$D$264=$B4),'Zehnder Charleston'!$A$145:$A$264,"")</f>
        <v>K2035</v>
      </c>
      <c r="F75" s="2" t="str" cm="1">
        <f t="array" ref="F75">_xlfn.XLOOKUP(1,('Zehnder Charleston'!$B$145:$B$264=F$2)*('Zehnder Charleston'!$D$145:$D$264=$B4),'Zehnder Charleston'!$A$145:$A$264,"")</f>
        <v>K2040</v>
      </c>
      <c r="G75" s="2" t="str" cm="1">
        <f t="array" ref="G75">_xlfn.XLOOKUP(1,('Zehnder Charleston'!$B$145:$B$264=G$2)*('Zehnder Charleston'!$D$145:$D$264=$B4),'Zehnder Charleston'!$A$145:$A$264,"")</f>
        <v>K2045</v>
      </c>
      <c r="H75" s="2" t="str" cm="1">
        <f t="array" ref="H75">_xlfn.XLOOKUP(1,('Zehnder Charleston'!$B$145:$B$264=H$2)*('Zehnder Charleston'!$D$145:$D$264=$B4),'Zehnder Charleston'!$A$145:$A$264,"")</f>
        <v>K2050</v>
      </c>
      <c r="I75" s="2" t="str" cm="1">
        <f t="array" ref="I75">_xlfn.XLOOKUP(1,('Zehnder Charleston'!$B$145:$B$264=I$2)*('Zehnder Charleston'!$D$145:$D$264=$B4),'Zehnder Charleston'!$A$145:$A$264,"")</f>
        <v>K2055</v>
      </c>
      <c r="J75" s="2" t="str" cm="1">
        <f t="array" ref="J75">_xlfn.XLOOKUP(1,('Zehnder Charleston'!$B$145:$B$264=J$2)*('Zehnder Charleston'!$D$145:$D$264=$B4),'Zehnder Charleston'!$A$145:$A$264,"")</f>
        <v>K2060</v>
      </c>
      <c r="K75" s="2" t="str" cm="1">
        <f t="array" ref="K75">_xlfn.XLOOKUP(1,('Zehnder Charleston'!$B$145:$B$264=K$2)*('Zehnder Charleston'!$D$145:$D$264=$B4),'Zehnder Charleston'!$A$145:$A$264,"")</f>
        <v>K2075</v>
      </c>
      <c r="L75" s="2" t="str" cm="1">
        <f t="array" ref="L75">_xlfn.XLOOKUP(1,('Zehnder Charleston'!$B$145:$B$264=L$2)*('Zehnder Charleston'!$D$145:$D$264=$B4),'Zehnder Charleston'!$A$145:$A$264,"")</f>
        <v>K2090</v>
      </c>
      <c r="M75" s="2" t="str" cm="1">
        <f t="array" ref="M75">_xlfn.XLOOKUP(1,('Zehnder Charleston'!$B$145:$B$264=M$2)*('Zehnder Charleston'!$D$145:$D$264=$B4),'Zehnder Charleston'!$A$145:$A$264,"")</f>
        <v>K2100</v>
      </c>
      <c r="N75" s="2" t="str" cm="1">
        <f t="array" ref="N75">_xlfn.XLOOKUP(1,('Zehnder Charleston'!$B$145:$B$264=N$2)*('Zehnder Charleston'!$D$145:$D$264=$B4),'Zehnder Charleston'!$A$145:$A$264,"")</f>
        <v>K2110</v>
      </c>
      <c r="O75" s="2" t="str" cm="1">
        <f t="array" ref="O75">_xlfn.XLOOKUP(1,('Zehnder Charleston'!$B$145:$B$264=O$2)*('Zehnder Charleston'!$D$145:$D$264=$B4),'Zehnder Charleston'!$A$145:$A$264,"")</f>
        <v>K2120</v>
      </c>
      <c r="P75" s="2" t="str" cm="1">
        <f t="array" ref="P75">_xlfn.XLOOKUP(1,('Zehnder Charleston'!$B$145:$B$264=P$2)*('Zehnder Charleston'!$D$145:$D$264=$B4),'Zehnder Charleston'!$A$145:$A$264,"")</f>
        <v>K2150</v>
      </c>
      <c r="Q75" s="2" t="str" cm="1">
        <f t="array" ref="Q75">_xlfn.XLOOKUP(1,('Zehnder Charleston'!$B$145:$B$264=Q$2)*('Zehnder Charleston'!$D$145:$D$264=$B4),'Zehnder Charleston'!$A$145:$A$264,"")</f>
        <v>K2180</v>
      </c>
      <c r="R75" s="2" t="str" cm="1">
        <f t="array" ref="R75">_xlfn.XLOOKUP(1,('Zehnder Charleston'!$B$145:$B$264=R$2)*('Zehnder Charleston'!$D$145:$D$264=$B4),'Zehnder Charleston'!$A$145:$A$264,"")</f>
        <v>K2200</v>
      </c>
      <c r="S75" s="2" t="str" cm="1">
        <f t="array" ref="S75">_xlfn.XLOOKUP(1,('Zehnder Charleston'!$B$145:$B$264=S$2)*('Zehnder Charleston'!$D$145:$D$264=$B4),'Zehnder Charleston'!$A$145:$A$264,"")</f>
        <v>K2220</v>
      </c>
      <c r="T75" s="2" t="str" cm="1">
        <f t="array" ref="T75">_xlfn.XLOOKUP(1,('Zehnder Charleston'!$B$145:$B$264=T$2)*('Zehnder Charleston'!$D$145:$D$264=$B4),'Zehnder Charleston'!$A$145:$A$264,"")</f>
        <v>K2250</v>
      </c>
      <c r="U75" s="2" t="str" cm="1">
        <f t="array" ref="U75">_xlfn.XLOOKUP(1,('Zehnder Charleston'!$B$145:$B$264=U$2)*('Zehnder Charleston'!$D$145:$D$264=$B4),'Zehnder Charleston'!$A$145:$A$264,"")</f>
        <v>K2280</v>
      </c>
      <c r="V75" s="2" t="str" cm="1">
        <f t="array" ref="V75">_xlfn.XLOOKUP(1,('Zehnder Charleston'!$B$145:$B$264=V$2)*('Zehnder Charleston'!$D$145:$D$264=$B4),'Zehnder Charleston'!$A$145:$A$264,"")</f>
        <v>K2300</v>
      </c>
      <c r="AB75" s="2" t="str" cm="1">
        <f t="array" ref="AB75">_xlfn.XLOOKUP(1,('Zehnder Charleston'!$B$2:$B$138=V$3)*('Zehnder Charleston'!$D$2:$D$138=$B4),'Zehnder Charleston'!$A$2:$A$138,"")</f>
        <v/>
      </c>
    </row>
    <row r="76" spans="1:28" x14ac:dyDescent="0.2">
      <c r="B76" s="2">
        <f>B5</f>
        <v>100</v>
      </c>
      <c r="C76" s="2" t="str" cm="1">
        <f t="array" ref="C76">_xlfn.XLOOKUP(1,('Zehnder Charleston'!$B$145:$B$264=C$3)*('Zehnder Charleston'!$D$145:$D$264=$B5),'Zehnder Charleston'!$A$145:$A$264,"")</f>
        <v>K3026</v>
      </c>
      <c r="D76" s="2" t="str" cm="1">
        <f t="array" ref="D76">_xlfn.XLOOKUP(1,('Zehnder Charleston'!$B$145:$B$264=D$3)*('Zehnder Charleston'!$D$145:$D$264=$B5),'Zehnder Charleston'!$A$145:$A$264,"")</f>
        <v>K3030</v>
      </c>
      <c r="E76" s="2" t="str" cm="1">
        <f t="array" ref="E76">_xlfn.XLOOKUP(1,('Zehnder Charleston'!$B$145:$B$264=E$3)*('Zehnder Charleston'!$D$145:$D$264=$B5),'Zehnder Charleston'!$A$145:$A$264,"")</f>
        <v>K3035</v>
      </c>
      <c r="F76" s="2" t="str" cm="1">
        <f t="array" ref="F76">_xlfn.XLOOKUP(1,('Zehnder Charleston'!$B$145:$B$264=F$3)*('Zehnder Charleston'!$D$145:$D$264=$B5),'Zehnder Charleston'!$A$145:$A$264,"")</f>
        <v>K3040</v>
      </c>
      <c r="G76" s="2" t="str" cm="1">
        <f t="array" ref="G76">_xlfn.XLOOKUP(1,('Zehnder Charleston'!$B$145:$B$264=G$3)*('Zehnder Charleston'!$D$145:$D$264=$B5),'Zehnder Charleston'!$A$145:$A$264,"")</f>
        <v>K3045</v>
      </c>
      <c r="H76" s="2" t="str" cm="1">
        <f t="array" ref="H76">_xlfn.XLOOKUP(1,('Zehnder Charleston'!$B$145:$B$264=H$3)*('Zehnder Charleston'!$D$145:$D$264=$B5),'Zehnder Charleston'!$A$145:$A$264,"")</f>
        <v>K3050</v>
      </c>
      <c r="I76" s="2" t="str" cm="1">
        <f t="array" ref="I76">_xlfn.XLOOKUP(1,('Zehnder Charleston'!$B$145:$B$264=I$3)*('Zehnder Charleston'!$D$145:$D$264=$B5),'Zehnder Charleston'!$A$145:$A$264,"")</f>
        <v>K3055</v>
      </c>
      <c r="J76" s="2" t="str" cm="1">
        <f t="array" ref="J76">_xlfn.XLOOKUP(1,('Zehnder Charleston'!$B$145:$B$264=J$3)*('Zehnder Charleston'!$D$145:$D$264=$B5),'Zehnder Charleston'!$A$145:$A$264,"")</f>
        <v>K3060</v>
      </c>
      <c r="K76" s="2" t="str" cm="1">
        <f t="array" ref="K76">_xlfn.XLOOKUP(1,('Zehnder Charleston'!$B$145:$B$264=K$3)*('Zehnder Charleston'!$D$145:$D$264=$B5),'Zehnder Charleston'!$A$145:$A$264,"")</f>
        <v>K3075</v>
      </c>
      <c r="L76" s="2" t="str" cm="1">
        <f t="array" ref="L76">_xlfn.XLOOKUP(1,('Zehnder Charleston'!$B$145:$B$264=L$3)*('Zehnder Charleston'!$D$145:$D$264=$B5),'Zehnder Charleston'!$A$145:$A$264,"")</f>
        <v>K3090</v>
      </c>
      <c r="M76" s="2" t="str" cm="1">
        <f t="array" ref="M76">_xlfn.XLOOKUP(1,('Zehnder Charleston'!$B$145:$B$264=M$3)*('Zehnder Charleston'!$D$145:$D$264=$B5),'Zehnder Charleston'!$A$145:$A$264,"")</f>
        <v>K3100</v>
      </c>
      <c r="N76" s="2" t="str" cm="1">
        <f t="array" ref="N76">_xlfn.XLOOKUP(1,('Zehnder Charleston'!$B$145:$B$264=N$3)*('Zehnder Charleston'!$D$145:$D$264=$B5),'Zehnder Charleston'!$A$145:$A$264,"")</f>
        <v>K3110</v>
      </c>
      <c r="O76" s="2" t="str" cm="1">
        <f t="array" ref="O76">_xlfn.XLOOKUP(1,('Zehnder Charleston'!$B$145:$B$264=O$3)*('Zehnder Charleston'!$D$145:$D$264=$B5),'Zehnder Charleston'!$A$145:$A$264,"")</f>
        <v>K3120</v>
      </c>
      <c r="P76" s="2" t="str" cm="1">
        <f t="array" ref="P76">_xlfn.XLOOKUP(1,('Zehnder Charleston'!$B$145:$B$264=P$3)*('Zehnder Charleston'!$D$145:$D$264=$B5),'Zehnder Charleston'!$A$145:$A$264,"")</f>
        <v>K3150</v>
      </c>
      <c r="Q76" s="2" t="str" cm="1">
        <f t="array" ref="Q76">_xlfn.XLOOKUP(1,('Zehnder Charleston'!$B$145:$B$264=Q$3)*('Zehnder Charleston'!$D$145:$D$264=$B5),'Zehnder Charleston'!$A$145:$A$264,"")</f>
        <v>K3180</v>
      </c>
      <c r="R76" s="2" t="str" cm="1">
        <f t="array" ref="R76">_xlfn.XLOOKUP(1,('Zehnder Charleston'!$B$145:$B$264=R$3)*('Zehnder Charleston'!$D$145:$D$264=$B5),'Zehnder Charleston'!$A$145:$A$264,"")</f>
        <v>K3200</v>
      </c>
      <c r="S76" s="2" t="str" cm="1">
        <f t="array" ref="S76">_xlfn.XLOOKUP(1,('Zehnder Charleston'!$B$145:$B$264=S$3)*('Zehnder Charleston'!$D$145:$D$264=$B5),'Zehnder Charleston'!$A$145:$A$264,"")</f>
        <v>K3220</v>
      </c>
      <c r="T76" s="2" t="str" cm="1">
        <f t="array" ref="T76">_xlfn.XLOOKUP(1,('Zehnder Charleston'!$B$145:$B$264=T$3)*('Zehnder Charleston'!$D$145:$D$264=$B5),'Zehnder Charleston'!$A$145:$A$264,"")</f>
        <v>K3250</v>
      </c>
      <c r="U76" s="2" t="str" cm="1">
        <f t="array" ref="U76">_xlfn.XLOOKUP(1,('Zehnder Charleston'!$B$145:$B$264=U$3)*('Zehnder Charleston'!$D$145:$D$264=$B5),'Zehnder Charleston'!$A$145:$A$264,"")</f>
        <v>K3280</v>
      </c>
      <c r="V76" s="2" t="str" cm="1">
        <f t="array" ref="V76">_xlfn.XLOOKUP(1,('Zehnder Charleston'!$B$145:$B$264=V$3)*('Zehnder Charleston'!$D$145:$D$264=$B5),'Zehnder Charleston'!$A$145:$A$264,"")</f>
        <v>K3300</v>
      </c>
    </row>
    <row r="77" spans="1:28" x14ac:dyDescent="0.2">
      <c r="B77" s="2">
        <f>B6</f>
        <v>136</v>
      </c>
      <c r="C77" s="2" t="str" cm="1">
        <f t="array" ref="C77">_xlfn.XLOOKUP(1,('Zehnder Charleston'!$B$145:$B$264=C$3)*('Zehnder Charleston'!$D$145:$D$264=$B6),'Zehnder Charleston'!$A$145:$A$264,"")</f>
        <v>K4026</v>
      </c>
      <c r="D77" s="2" t="str" cm="1">
        <f t="array" ref="D77">_xlfn.XLOOKUP(1,('Zehnder Charleston'!$B$145:$B$264=D$3)*('Zehnder Charleston'!$D$145:$D$264=$B6),'Zehnder Charleston'!$A$145:$A$264,"")</f>
        <v>K4030</v>
      </c>
      <c r="E77" s="2" t="str" cm="1">
        <f t="array" ref="E77">_xlfn.XLOOKUP(1,('Zehnder Charleston'!$B$145:$B$264=E$3)*('Zehnder Charleston'!$D$145:$D$264=$B6),'Zehnder Charleston'!$A$145:$A$264,"")</f>
        <v>K4035</v>
      </c>
      <c r="F77" s="2" t="str" cm="1">
        <f t="array" ref="F77">_xlfn.XLOOKUP(1,('Zehnder Charleston'!$B$145:$B$264=F$3)*('Zehnder Charleston'!$D$145:$D$264=$B6),'Zehnder Charleston'!$A$145:$A$264,"")</f>
        <v>K4040</v>
      </c>
      <c r="G77" s="2" t="str" cm="1">
        <f t="array" ref="G77">_xlfn.XLOOKUP(1,('Zehnder Charleston'!$B$145:$B$264=G$3)*('Zehnder Charleston'!$D$145:$D$264=$B6),'Zehnder Charleston'!$A$145:$A$264,"")</f>
        <v>K4045</v>
      </c>
      <c r="H77" s="2" t="str" cm="1">
        <f t="array" ref="H77">_xlfn.XLOOKUP(1,('Zehnder Charleston'!$B$145:$B$264=H$3)*('Zehnder Charleston'!$D$145:$D$264=$B6),'Zehnder Charleston'!$A$145:$A$264,"")</f>
        <v>K4050</v>
      </c>
      <c r="I77" s="2" t="str" cm="1">
        <f t="array" ref="I77">_xlfn.XLOOKUP(1,('Zehnder Charleston'!$B$145:$B$264=I$3)*('Zehnder Charleston'!$D$145:$D$264=$B6),'Zehnder Charleston'!$A$145:$A$264,"")</f>
        <v>K4055</v>
      </c>
      <c r="J77" s="2" t="str" cm="1">
        <f t="array" ref="J77">_xlfn.XLOOKUP(1,('Zehnder Charleston'!$B$145:$B$264=J$3)*('Zehnder Charleston'!$D$145:$D$264=$B6),'Zehnder Charleston'!$A$145:$A$264,"")</f>
        <v>K4060</v>
      </c>
      <c r="K77" s="2" t="str" cm="1">
        <f t="array" ref="K77">_xlfn.XLOOKUP(1,('Zehnder Charleston'!$B$145:$B$264=K$3)*('Zehnder Charleston'!$D$145:$D$264=$B6),'Zehnder Charleston'!$A$145:$A$264,"")</f>
        <v>K4075</v>
      </c>
      <c r="L77" s="2" t="str" cm="1">
        <f t="array" ref="L77">_xlfn.XLOOKUP(1,('Zehnder Charleston'!$B$145:$B$264=L$3)*('Zehnder Charleston'!$D$145:$D$264=$B6),'Zehnder Charleston'!$A$145:$A$264,"")</f>
        <v>K4090</v>
      </c>
      <c r="M77" s="2" t="str" cm="1">
        <f t="array" ref="M77">_xlfn.XLOOKUP(1,('Zehnder Charleston'!$B$145:$B$264=M$3)*('Zehnder Charleston'!$D$145:$D$264=$B6),'Zehnder Charleston'!$A$145:$A$264,"")</f>
        <v>K4100</v>
      </c>
      <c r="N77" s="2" t="str" cm="1">
        <f t="array" ref="N77">_xlfn.XLOOKUP(1,('Zehnder Charleston'!$B$145:$B$264=N$3)*('Zehnder Charleston'!$D$145:$D$264=$B6),'Zehnder Charleston'!$A$145:$A$264,"")</f>
        <v>K4110</v>
      </c>
      <c r="O77" s="2" t="str" cm="1">
        <f t="array" ref="O77">_xlfn.XLOOKUP(1,('Zehnder Charleston'!$B$145:$B$264=O$3)*('Zehnder Charleston'!$D$145:$D$264=$B6),'Zehnder Charleston'!$A$145:$A$264,"")</f>
        <v>K4120</v>
      </c>
      <c r="P77" s="2" t="str" cm="1">
        <f t="array" ref="P77">_xlfn.XLOOKUP(1,('Zehnder Charleston'!$B$145:$B$264=P$3)*('Zehnder Charleston'!$D$145:$D$264=$B6),'Zehnder Charleston'!$A$145:$A$264,"")</f>
        <v>K4150</v>
      </c>
      <c r="Q77" s="2" t="str" cm="1">
        <f t="array" ref="Q77">_xlfn.XLOOKUP(1,('Zehnder Charleston'!$B$145:$B$264=Q$3)*('Zehnder Charleston'!$D$145:$D$264=$B6),'Zehnder Charleston'!$A$145:$A$264,"")</f>
        <v>K4180</v>
      </c>
      <c r="R77" s="2" t="str" cm="1">
        <f t="array" ref="R77">_xlfn.XLOOKUP(1,('Zehnder Charleston'!$B$145:$B$264=R$3)*('Zehnder Charleston'!$D$145:$D$264=$B6),'Zehnder Charleston'!$A$145:$A$264,"")</f>
        <v>K4200</v>
      </c>
      <c r="S77" s="2" t="str" cm="1">
        <f t="array" ref="S77">_xlfn.XLOOKUP(1,('Zehnder Charleston'!$B$145:$B$264=S$3)*('Zehnder Charleston'!$D$145:$D$264=$B6),'Zehnder Charleston'!$A$145:$A$264,"")</f>
        <v>K4220</v>
      </c>
      <c r="T77" s="2" t="str" cm="1">
        <f t="array" ref="T77">_xlfn.XLOOKUP(1,('Zehnder Charleston'!$B$145:$B$264=T$3)*('Zehnder Charleston'!$D$145:$D$264=$B6),'Zehnder Charleston'!$A$145:$A$264,"")</f>
        <v>K4250</v>
      </c>
      <c r="U77" s="2" t="str" cm="1">
        <f t="array" ref="U77">_xlfn.XLOOKUP(1,('Zehnder Charleston'!$B$145:$B$264=U$3)*('Zehnder Charleston'!$D$145:$D$264=$B6),'Zehnder Charleston'!$A$145:$A$264,"")</f>
        <v>K4280</v>
      </c>
      <c r="V77" s="2" t="str" cm="1">
        <f t="array" ref="V77">_xlfn.XLOOKUP(1,('Zehnder Charleston'!$B$145:$B$264=V$3)*('Zehnder Charleston'!$D$145:$D$264=$B6),'Zehnder Charleston'!$A$145:$A$264,"")</f>
        <v>K4300</v>
      </c>
    </row>
    <row r="78" spans="1:28" x14ac:dyDescent="0.2">
      <c r="B78" s="2">
        <f>B7</f>
        <v>173</v>
      </c>
      <c r="C78" s="2" t="str" cm="1">
        <f t="array" ref="C78">_xlfn.XLOOKUP(1,('Zehnder Charleston'!$B$145:$B$264=C$3)*('Zehnder Charleston'!$D$145:$D$264=$B7),'Zehnder Charleston'!$A$145:$A$264,"")</f>
        <v>K5026</v>
      </c>
      <c r="D78" s="2" t="str" cm="1">
        <f t="array" ref="D78">_xlfn.XLOOKUP(1,('Zehnder Charleston'!$B$145:$B$264=D$3)*('Zehnder Charleston'!$D$145:$D$264=$B7),'Zehnder Charleston'!$A$145:$A$264,"")</f>
        <v>K5030</v>
      </c>
      <c r="E78" s="2" t="str" cm="1">
        <f t="array" ref="E78">_xlfn.XLOOKUP(1,('Zehnder Charleston'!$B$145:$B$264=E$3)*('Zehnder Charleston'!$D$145:$D$264=$B7),'Zehnder Charleston'!$A$145:$A$264,"")</f>
        <v>K5035</v>
      </c>
      <c r="F78" s="2" t="str" cm="1">
        <f t="array" ref="F78">_xlfn.XLOOKUP(1,('Zehnder Charleston'!$B$145:$B$264=F$3)*('Zehnder Charleston'!$D$145:$D$264=$B7),'Zehnder Charleston'!$A$145:$A$264,"")</f>
        <v>K5040</v>
      </c>
      <c r="G78" s="2" t="str" cm="1">
        <f t="array" ref="G78">_xlfn.XLOOKUP(1,('Zehnder Charleston'!$B$145:$B$264=G$3)*('Zehnder Charleston'!$D$145:$D$264=$B7),'Zehnder Charleston'!$A$145:$A$264,"")</f>
        <v>K5045</v>
      </c>
      <c r="H78" s="2" t="str" cm="1">
        <f t="array" ref="H78">_xlfn.XLOOKUP(1,('Zehnder Charleston'!$B$145:$B$264=H$3)*('Zehnder Charleston'!$D$145:$D$264=$B7),'Zehnder Charleston'!$A$145:$A$264,"")</f>
        <v>K5050</v>
      </c>
      <c r="I78" s="2" t="str" cm="1">
        <f t="array" ref="I78">_xlfn.XLOOKUP(1,('Zehnder Charleston'!$B$145:$B$264=I$3)*('Zehnder Charleston'!$D$145:$D$264=$B7),'Zehnder Charleston'!$A$145:$A$264,"")</f>
        <v>K5055</v>
      </c>
      <c r="J78" s="2" t="str" cm="1">
        <f t="array" ref="J78">_xlfn.XLOOKUP(1,('Zehnder Charleston'!$B$145:$B$264=J$3)*('Zehnder Charleston'!$D$145:$D$264=$B7),'Zehnder Charleston'!$A$145:$A$264,"")</f>
        <v>K5060</v>
      </c>
      <c r="K78" s="2" t="str" cm="1">
        <f t="array" ref="K78">_xlfn.XLOOKUP(1,('Zehnder Charleston'!$B$145:$B$264=K$3)*('Zehnder Charleston'!$D$145:$D$264=$B7),'Zehnder Charleston'!$A$145:$A$264,"")</f>
        <v>K5075</v>
      </c>
      <c r="L78" s="2" t="str" cm="1">
        <f t="array" ref="L78">_xlfn.XLOOKUP(1,('Zehnder Charleston'!$B$145:$B$264=L$3)*('Zehnder Charleston'!$D$145:$D$264=$B7),'Zehnder Charleston'!$A$145:$A$264,"")</f>
        <v>K5090</v>
      </c>
      <c r="M78" s="2" t="str" cm="1">
        <f t="array" ref="M78">_xlfn.XLOOKUP(1,('Zehnder Charleston'!$B$145:$B$264=M$3)*('Zehnder Charleston'!$D$145:$D$264=$B7),'Zehnder Charleston'!$A$145:$A$264,"")</f>
        <v>K5100</v>
      </c>
      <c r="N78" s="2" t="str" cm="1">
        <f t="array" ref="N78">_xlfn.XLOOKUP(1,('Zehnder Charleston'!$B$145:$B$264=N$3)*('Zehnder Charleston'!$D$145:$D$264=$B7),'Zehnder Charleston'!$A$145:$A$264,"")</f>
        <v>K5110</v>
      </c>
      <c r="O78" s="2" t="str" cm="1">
        <f t="array" ref="O78">_xlfn.XLOOKUP(1,('Zehnder Charleston'!$B$145:$B$264=O$3)*('Zehnder Charleston'!$D$145:$D$264=$B7),'Zehnder Charleston'!$A$145:$A$264,"")</f>
        <v>K5120</v>
      </c>
      <c r="P78" s="2" t="str" cm="1">
        <f t="array" ref="P78">_xlfn.XLOOKUP(1,('Zehnder Charleston'!$B$145:$B$264=P$3)*('Zehnder Charleston'!$D$145:$D$264=$B7),'Zehnder Charleston'!$A$145:$A$264,"")</f>
        <v>K5150</v>
      </c>
      <c r="Q78" s="2" t="str" cm="1">
        <f t="array" ref="Q78">_xlfn.XLOOKUP(1,('Zehnder Charleston'!$B$145:$B$264=Q$3)*('Zehnder Charleston'!$D$145:$D$264=$B7),'Zehnder Charleston'!$A$145:$A$264,"")</f>
        <v>K5180</v>
      </c>
      <c r="R78" s="2" t="str" cm="1">
        <f t="array" ref="R78">_xlfn.XLOOKUP(1,('Zehnder Charleston'!$B$145:$B$264=R$3)*('Zehnder Charleston'!$D$145:$D$264=$B7),'Zehnder Charleston'!$A$145:$A$264,"")</f>
        <v>K5200</v>
      </c>
      <c r="S78" s="2" t="str" cm="1">
        <f t="array" ref="S78">_xlfn.XLOOKUP(1,('Zehnder Charleston'!$B$145:$B$264=S$3)*('Zehnder Charleston'!$D$145:$D$264=$B7),'Zehnder Charleston'!$A$145:$A$264,"")</f>
        <v>K5220</v>
      </c>
      <c r="T78" s="2" t="str" cm="1">
        <f t="array" ref="T78">_xlfn.XLOOKUP(1,('Zehnder Charleston'!$B$145:$B$264=T$3)*('Zehnder Charleston'!$D$145:$D$264=$B7),'Zehnder Charleston'!$A$145:$A$264,"")</f>
        <v>K5250</v>
      </c>
      <c r="U78" s="2" t="str" cm="1">
        <f t="array" ref="U78">_xlfn.XLOOKUP(1,('Zehnder Charleston'!$B$145:$B$264=U$3)*('Zehnder Charleston'!$D$145:$D$264=$B7),'Zehnder Charleston'!$A$145:$A$264,"")</f>
        <v>K5280</v>
      </c>
      <c r="V78" s="2" t="str" cm="1">
        <f t="array" ref="V78">_xlfn.XLOOKUP(1,('Zehnder Charleston'!$B$145:$B$264=V$3)*('Zehnder Charleston'!$D$145:$D$264=$B7),'Zehnder Charleston'!$A$145:$A$264,"")</f>
        <v>K5300</v>
      </c>
    </row>
    <row r="79" spans="1:28" x14ac:dyDescent="0.2">
      <c r="B79" s="2">
        <f>B8</f>
        <v>210</v>
      </c>
      <c r="C79" s="2" t="str" cm="1">
        <f t="array" ref="C79">_xlfn.XLOOKUP(1,('Zehnder Charleston'!$B$145:$B$264=C$3)*('Zehnder Charleston'!$D$145:$D$264=$B8),'Zehnder Charleston'!$A$145:$A$264,"")</f>
        <v>K6026</v>
      </c>
      <c r="D79" s="2" t="str" cm="1">
        <f t="array" ref="D79">_xlfn.XLOOKUP(1,('Zehnder Charleston'!$B$145:$B$264=D$3)*('Zehnder Charleston'!$D$145:$D$264=$B8),'Zehnder Charleston'!$A$145:$A$264,"")</f>
        <v>K6030</v>
      </c>
      <c r="E79" s="2" t="str" cm="1">
        <f t="array" ref="E79">_xlfn.XLOOKUP(1,('Zehnder Charleston'!$B$145:$B$264=E$3)*('Zehnder Charleston'!$D$145:$D$264=$B8),'Zehnder Charleston'!$A$145:$A$264,"")</f>
        <v>K6035</v>
      </c>
      <c r="F79" s="2" t="str" cm="1">
        <f t="array" ref="F79">_xlfn.XLOOKUP(1,('Zehnder Charleston'!$B$145:$B$264=F$3)*('Zehnder Charleston'!$D$145:$D$264=$B8),'Zehnder Charleston'!$A$145:$A$264,"")</f>
        <v>K6040</v>
      </c>
      <c r="G79" s="2" t="str" cm="1">
        <f t="array" ref="G79">_xlfn.XLOOKUP(1,('Zehnder Charleston'!$B$145:$B$264=G$3)*('Zehnder Charleston'!$D$145:$D$264=$B8),'Zehnder Charleston'!$A$145:$A$264,"")</f>
        <v>K6045</v>
      </c>
      <c r="H79" s="2" t="str" cm="1">
        <f t="array" ref="H79">_xlfn.XLOOKUP(1,('Zehnder Charleston'!$B$145:$B$264=H$3)*('Zehnder Charleston'!$D$145:$D$264=$B8),'Zehnder Charleston'!$A$145:$A$264,"")</f>
        <v>K6050</v>
      </c>
      <c r="I79" s="2" t="str" cm="1">
        <f t="array" ref="I79">_xlfn.XLOOKUP(1,('Zehnder Charleston'!$B$145:$B$264=I$3)*('Zehnder Charleston'!$D$145:$D$264=$B8),'Zehnder Charleston'!$A$145:$A$264,"")</f>
        <v>K6055</v>
      </c>
      <c r="J79" s="2" t="str" cm="1">
        <f t="array" ref="J79">_xlfn.XLOOKUP(1,('Zehnder Charleston'!$B$145:$B$264=J$3)*('Zehnder Charleston'!$D$145:$D$264=$B8),'Zehnder Charleston'!$A$145:$A$264,"")</f>
        <v>K6060</v>
      </c>
      <c r="K79" s="2" t="str" cm="1">
        <f t="array" ref="K79">_xlfn.XLOOKUP(1,('Zehnder Charleston'!$B$145:$B$264=K$3)*('Zehnder Charleston'!$D$145:$D$264=$B8),'Zehnder Charleston'!$A$145:$A$264,"")</f>
        <v>K6075</v>
      </c>
      <c r="L79" s="2" t="str" cm="1">
        <f t="array" ref="L79">_xlfn.XLOOKUP(1,('Zehnder Charleston'!$B$145:$B$264=L$3)*('Zehnder Charleston'!$D$145:$D$264=$B8),'Zehnder Charleston'!$A$145:$A$264,"")</f>
        <v>K6090</v>
      </c>
      <c r="M79" s="2" t="str" cm="1">
        <f t="array" ref="M79">_xlfn.XLOOKUP(1,('Zehnder Charleston'!$B$145:$B$264=M$3)*('Zehnder Charleston'!$D$145:$D$264=$B8),'Zehnder Charleston'!$A$145:$A$264,"")</f>
        <v>K6100</v>
      </c>
      <c r="N79" s="2" t="str" cm="1">
        <f t="array" ref="N79">_xlfn.XLOOKUP(1,('Zehnder Charleston'!$B$145:$B$264=N$3)*('Zehnder Charleston'!$D$145:$D$264=$B8),'Zehnder Charleston'!$A$145:$A$264,"")</f>
        <v>K6110</v>
      </c>
      <c r="O79" s="2" t="str" cm="1">
        <f t="array" ref="O79">_xlfn.XLOOKUP(1,('Zehnder Charleston'!$B$145:$B$264=O$3)*('Zehnder Charleston'!$D$145:$D$264=$B8),'Zehnder Charleston'!$A$145:$A$264,"")</f>
        <v>K6120</v>
      </c>
      <c r="P79" s="2" t="str" cm="1">
        <f t="array" ref="P79">_xlfn.XLOOKUP(1,('Zehnder Charleston'!$B$145:$B$264=P$3)*('Zehnder Charleston'!$D$145:$D$264=$B8),'Zehnder Charleston'!$A$145:$A$264,"")</f>
        <v>K6150</v>
      </c>
      <c r="Q79" s="2" t="str" cm="1">
        <f t="array" ref="Q79">_xlfn.XLOOKUP(1,('Zehnder Charleston'!$B$145:$B$264=Q$3)*('Zehnder Charleston'!$D$145:$D$264=$B8),'Zehnder Charleston'!$A$145:$A$264,"")</f>
        <v>K6180</v>
      </c>
      <c r="R79" s="2" t="str" cm="1">
        <f t="array" ref="R79">_xlfn.XLOOKUP(1,('Zehnder Charleston'!$B$145:$B$264=R$3)*('Zehnder Charleston'!$D$145:$D$264=$B8),'Zehnder Charleston'!$A$145:$A$264,"")</f>
        <v>K6200</v>
      </c>
      <c r="S79" s="2" t="str" cm="1">
        <f t="array" ref="S79">_xlfn.XLOOKUP(1,('Zehnder Charleston'!$B$145:$B$264=S$3)*('Zehnder Charleston'!$D$145:$D$264=$B8),'Zehnder Charleston'!$A$145:$A$264,"")</f>
        <v>K6220</v>
      </c>
      <c r="T79" s="2" t="str" cm="1">
        <f t="array" ref="T79">_xlfn.XLOOKUP(1,('Zehnder Charleston'!$B$145:$B$264=T$3)*('Zehnder Charleston'!$D$145:$D$264=$B8),'Zehnder Charleston'!$A$145:$A$264,"")</f>
        <v>K6250</v>
      </c>
      <c r="U79" s="2" t="str" cm="1">
        <f t="array" ref="U79">_xlfn.XLOOKUP(1,('Zehnder Charleston'!$B$145:$B$264=U$3)*('Zehnder Charleston'!$D$145:$D$264=$B8),'Zehnder Charleston'!$A$145:$A$264,"")</f>
        <v>K6280</v>
      </c>
      <c r="V79" s="2" t="str" cm="1">
        <f t="array" ref="V79">_xlfn.XLOOKUP(1,('Zehnder Charleston'!$B$145:$B$264=V$3)*('Zehnder Charleston'!$D$145:$D$264=$B8),'Zehnder Charleston'!$A$145:$A$264,"")</f>
        <v>K6300</v>
      </c>
    </row>
    <row r="80" spans="1:28" x14ac:dyDescent="0.2">
      <c r="C80" s="8"/>
      <c r="D80" s="8"/>
      <c r="E80" s="8"/>
      <c r="F80" s="8"/>
      <c r="G80" s="8"/>
      <c r="H80" s="8"/>
      <c r="I80" s="8"/>
      <c r="J80" s="8"/>
      <c r="K80" s="8"/>
      <c r="L80" s="8"/>
      <c r="M80"/>
      <c r="N80"/>
      <c r="O80"/>
      <c r="P80"/>
      <c r="Q80"/>
    </row>
    <row r="81" spans="1:22" ht="13.5" x14ac:dyDescent="0.25">
      <c r="A81" s="1" t="s">
        <v>190</v>
      </c>
      <c r="C81" s="4" t="s">
        <v>2</v>
      </c>
      <c r="M81"/>
      <c r="N81"/>
      <c r="O81"/>
      <c r="P81"/>
      <c r="Q81"/>
    </row>
    <row r="82" spans="1:22" x14ac:dyDescent="0.2">
      <c r="C82" s="5">
        <f t="shared" ref="C82:V82" si="8">C$3</f>
        <v>260</v>
      </c>
      <c r="D82" s="5">
        <f t="shared" si="8"/>
        <v>300</v>
      </c>
      <c r="E82" s="5">
        <f t="shared" si="8"/>
        <v>350</v>
      </c>
      <c r="F82" s="5">
        <f t="shared" si="8"/>
        <v>400</v>
      </c>
      <c r="G82" s="5">
        <f t="shared" si="8"/>
        <v>450</v>
      </c>
      <c r="H82" s="5">
        <f t="shared" si="8"/>
        <v>500</v>
      </c>
      <c r="I82" s="5">
        <f t="shared" si="8"/>
        <v>550</v>
      </c>
      <c r="J82" s="5">
        <f t="shared" si="8"/>
        <v>600</v>
      </c>
      <c r="K82" s="5">
        <f t="shared" si="8"/>
        <v>750</v>
      </c>
      <c r="L82" s="5">
        <f t="shared" si="8"/>
        <v>900</v>
      </c>
      <c r="M82" s="5">
        <f t="shared" si="8"/>
        <v>1000</v>
      </c>
      <c r="N82" s="5">
        <f t="shared" si="8"/>
        <v>1100</v>
      </c>
      <c r="O82" s="5">
        <f t="shared" si="8"/>
        <v>1200</v>
      </c>
      <c r="P82" s="5">
        <f t="shared" si="8"/>
        <v>1500</v>
      </c>
      <c r="Q82" s="5">
        <f t="shared" si="8"/>
        <v>1800</v>
      </c>
      <c r="R82" s="5">
        <f t="shared" si="8"/>
        <v>2000</v>
      </c>
      <c r="S82" s="5">
        <f t="shared" si="8"/>
        <v>2200</v>
      </c>
      <c r="T82" s="5">
        <f t="shared" si="8"/>
        <v>2500</v>
      </c>
      <c r="U82" s="5">
        <f t="shared" si="8"/>
        <v>2800</v>
      </c>
      <c r="V82" s="5">
        <f t="shared" si="8"/>
        <v>3000</v>
      </c>
    </row>
    <row r="83" spans="1:22" x14ac:dyDescent="0.2">
      <c r="C83" s="5"/>
      <c r="D83" s="5"/>
      <c r="E83" s="5"/>
      <c r="F83" s="5"/>
      <c r="G83" s="5"/>
      <c r="H83" s="5"/>
      <c r="I83" s="5"/>
      <c r="J83" s="5"/>
      <c r="K83" s="5"/>
      <c r="L83" s="5"/>
      <c r="M83" s="5"/>
      <c r="N83" s="5"/>
      <c r="O83" s="5"/>
      <c r="P83" s="5"/>
      <c r="Q83" s="5"/>
      <c r="R83" s="5"/>
      <c r="S83" s="5"/>
      <c r="T83" s="5"/>
      <c r="U83" s="5"/>
      <c r="V83" s="5"/>
    </row>
    <row r="84" spans="1:22" ht="13.5" x14ac:dyDescent="0.25">
      <c r="A84" s="4" t="s">
        <v>3</v>
      </c>
      <c r="B84" s="2">
        <f>B4</f>
        <v>62</v>
      </c>
      <c r="C84" s="9">
        <f t="shared" ref="C84:Q84" si="9">IF(C31="","",(C22-C31*$C$107/1000)*$B$106+C31*$B$107)</f>
        <v>0.51479599999999992</v>
      </c>
      <c r="D84" s="9">
        <f t="shared" si="9"/>
        <v>0.58692</v>
      </c>
      <c r="E84" s="9">
        <f t="shared" si="9"/>
        <v>0.68094399999999999</v>
      </c>
      <c r="F84" s="9">
        <f t="shared" si="9"/>
        <v>0.75306800000000007</v>
      </c>
      <c r="G84" s="9">
        <f t="shared" si="9"/>
        <v>0.80416799999999999</v>
      </c>
      <c r="H84" s="9">
        <f t="shared" si="9"/>
        <v>0.89089200000000002</v>
      </c>
      <c r="I84" s="9">
        <f t="shared" si="9"/>
        <v>0.9849159999999999</v>
      </c>
      <c r="J84" s="9">
        <f t="shared" si="9"/>
        <v>1.0716399999999999</v>
      </c>
      <c r="K84" s="9">
        <f t="shared" si="9"/>
        <v>1.303488</v>
      </c>
      <c r="L84" s="9">
        <f t="shared" si="9"/>
        <v>1.535336</v>
      </c>
      <c r="M84" s="9">
        <f t="shared" si="9"/>
        <v>1.7160839999999999</v>
      </c>
      <c r="N84" s="9">
        <f t="shared" si="9"/>
        <v>1.8968319999999999</v>
      </c>
      <c r="O84" s="9">
        <f t="shared" si="9"/>
        <v>2.034656</v>
      </c>
      <c r="P84" s="9">
        <f t="shared" si="9"/>
        <v>2.5412759999999999</v>
      </c>
      <c r="Q84" s="9">
        <f t="shared" si="9"/>
        <v>3.0405959999999999</v>
      </c>
      <c r="R84" s="9">
        <f t="shared" ref="R84:V88" si="10">IF(R31="","",(R22-R31*$C$107/1000)*$B$106+R31*$B$107)</f>
        <v>3.3591679999999999</v>
      </c>
      <c r="S84" s="9">
        <f t="shared" si="10"/>
        <v>3.67774</v>
      </c>
      <c r="T84" s="9">
        <f t="shared" si="10"/>
        <v>4.1843599999999999</v>
      </c>
      <c r="U84" s="9">
        <f t="shared" si="10"/>
        <v>4.6836800000000007</v>
      </c>
      <c r="V84" s="9">
        <f t="shared" si="10"/>
        <v>5.0022520000000004</v>
      </c>
    </row>
    <row r="85" spans="1:22" x14ac:dyDescent="0.2">
      <c r="B85" s="2">
        <f>B5</f>
        <v>100</v>
      </c>
      <c r="C85" s="9">
        <f t="shared" ref="C85:Q85" si="11">IF(C32="","",(C23-C32*$C$107/1000)*$B$106+C32*$B$107)</f>
        <v>0.71744399999999997</v>
      </c>
      <c r="D85" s="9">
        <f t="shared" si="11"/>
        <v>0.81876799999999994</v>
      </c>
      <c r="E85" s="9">
        <f t="shared" si="11"/>
        <v>0.92739199999999999</v>
      </c>
      <c r="F85" s="9">
        <f t="shared" si="11"/>
        <v>1.09354</v>
      </c>
      <c r="G85" s="9">
        <f t="shared" si="11"/>
        <v>1.2094640000000001</v>
      </c>
      <c r="H85" s="9">
        <f t="shared" si="11"/>
        <v>1.3180879999999999</v>
      </c>
      <c r="I85" s="9">
        <f t="shared" si="11"/>
        <v>1.4340120000000001</v>
      </c>
      <c r="J85" s="9">
        <f t="shared" si="11"/>
        <v>1.5499360000000002</v>
      </c>
      <c r="K85" s="9">
        <f t="shared" si="11"/>
        <v>1.9333320000000001</v>
      </c>
      <c r="L85" s="9">
        <f t="shared" si="11"/>
        <v>2.281104</v>
      </c>
      <c r="M85" s="9">
        <f t="shared" si="11"/>
        <v>2.5485759999999997</v>
      </c>
      <c r="N85" s="9">
        <f t="shared" si="11"/>
        <v>2.780424</v>
      </c>
      <c r="O85" s="9">
        <f t="shared" si="11"/>
        <v>3.0551959999999996</v>
      </c>
      <c r="P85" s="9">
        <f t="shared" si="11"/>
        <v>3.779064</v>
      </c>
      <c r="Q85" s="9">
        <f t="shared" si="11"/>
        <v>4.5102320000000002</v>
      </c>
      <c r="R85" s="9">
        <f t="shared" si="10"/>
        <v>4.966628</v>
      </c>
      <c r="S85" s="9">
        <f t="shared" si="10"/>
        <v>5.4732479999999999</v>
      </c>
      <c r="T85" s="9">
        <f t="shared" si="10"/>
        <v>6.1971159999999994</v>
      </c>
      <c r="U85" s="9">
        <f t="shared" si="10"/>
        <v>6.9282839999999997</v>
      </c>
      <c r="V85" s="9">
        <f t="shared" si="10"/>
        <v>7.4276039999999997</v>
      </c>
    </row>
    <row r="86" spans="1:22" x14ac:dyDescent="0.2">
      <c r="B86" s="2">
        <f>B6</f>
        <v>136</v>
      </c>
      <c r="C86" s="9">
        <f t="shared" ref="C86:Q86" si="12">IF(C33="","",(C24-C33*$C$107/1000)*$B$106+C33*$B$107)</f>
        <v>1.0068159999999999</v>
      </c>
      <c r="D86" s="9">
        <f t="shared" si="12"/>
        <v>1.1227399999999998</v>
      </c>
      <c r="E86" s="9">
        <f t="shared" si="12"/>
        <v>1.260564</v>
      </c>
      <c r="F86" s="9">
        <f t="shared" si="12"/>
        <v>1.4559120000000001</v>
      </c>
      <c r="G86" s="9">
        <f t="shared" si="12"/>
        <v>1.63666</v>
      </c>
      <c r="H86" s="9">
        <f t="shared" si="12"/>
        <v>1.7744839999999997</v>
      </c>
      <c r="I86" s="9">
        <f t="shared" si="12"/>
        <v>1.9552320000000001</v>
      </c>
      <c r="J86" s="9">
        <f t="shared" si="12"/>
        <v>2.0930559999999998</v>
      </c>
      <c r="K86" s="9">
        <f t="shared" si="12"/>
        <v>2.5850759999999999</v>
      </c>
      <c r="L86" s="9">
        <f t="shared" si="12"/>
        <v>3.0843959999999999</v>
      </c>
      <c r="M86" s="9">
        <f t="shared" si="12"/>
        <v>3.4029679999999995</v>
      </c>
      <c r="N86" s="9">
        <f t="shared" si="12"/>
        <v>3.7142399999999998</v>
      </c>
      <c r="O86" s="9">
        <f t="shared" si="12"/>
        <v>4.0328119999999998</v>
      </c>
      <c r="P86" s="9">
        <f t="shared" si="12"/>
        <v>4.9812279999999998</v>
      </c>
      <c r="Q86" s="9">
        <f t="shared" si="12"/>
        <v>5.9725680000000008</v>
      </c>
      <c r="R86" s="9">
        <f t="shared" si="10"/>
        <v>6.609712</v>
      </c>
      <c r="S86" s="9">
        <f t="shared" si="10"/>
        <v>7.2824800000000005</v>
      </c>
      <c r="T86" s="9">
        <f t="shared" si="10"/>
        <v>8.2381960000000003</v>
      </c>
      <c r="U86" s="9">
        <f t="shared" si="10"/>
        <v>9.1436880000000009</v>
      </c>
      <c r="V86" s="9">
        <f t="shared" si="10"/>
        <v>9.8593799999999998</v>
      </c>
    </row>
    <row r="87" spans="1:22" x14ac:dyDescent="0.2">
      <c r="B87" s="2">
        <f>B7</f>
        <v>173</v>
      </c>
      <c r="C87" s="9">
        <f t="shared" ref="C87:Q87" si="13">IF(C34="","",(C25-C34*$C$107/1000)*$B$106+C34*$B$107)</f>
        <v>1.165664</v>
      </c>
      <c r="D87" s="9">
        <f t="shared" si="13"/>
        <v>1.303488</v>
      </c>
      <c r="E87" s="9">
        <f t="shared" si="13"/>
        <v>1.513436</v>
      </c>
      <c r="F87" s="9">
        <f t="shared" si="13"/>
        <v>1.8401839999999998</v>
      </c>
      <c r="G87" s="9">
        <f t="shared" si="13"/>
        <v>2.0428319999999998</v>
      </c>
      <c r="H87" s="9">
        <f t="shared" si="13"/>
        <v>2.25278</v>
      </c>
      <c r="I87" s="9">
        <f t="shared" si="13"/>
        <v>2.4554279999999995</v>
      </c>
      <c r="J87" s="9">
        <f t="shared" si="13"/>
        <v>2.6580759999999999</v>
      </c>
      <c r="K87" s="9">
        <f t="shared" si="13"/>
        <v>3.27332</v>
      </c>
      <c r="L87" s="9">
        <f t="shared" si="13"/>
        <v>3.8885639999999997</v>
      </c>
      <c r="M87" s="9">
        <f t="shared" si="13"/>
        <v>4.3011600000000003</v>
      </c>
      <c r="N87" s="9">
        <f t="shared" si="13"/>
        <v>4.7137560000000001</v>
      </c>
      <c r="O87" s="9">
        <f t="shared" si="13"/>
        <v>5.1190519999999999</v>
      </c>
      <c r="P87" s="9">
        <f t="shared" si="13"/>
        <v>6.3066159999999991</v>
      </c>
      <c r="Q87" s="9">
        <f t="shared" si="13"/>
        <v>7.5371039999999994</v>
      </c>
      <c r="R87" s="9">
        <f t="shared" si="10"/>
        <v>8.3622959999999988</v>
      </c>
      <c r="S87" s="9">
        <f t="shared" si="10"/>
        <v>9.1801880000000011</v>
      </c>
      <c r="T87" s="9">
        <f t="shared" si="10"/>
        <v>10.410675999999999</v>
      </c>
      <c r="U87" s="9">
        <f t="shared" si="10"/>
        <v>11.641164</v>
      </c>
      <c r="V87" s="9">
        <f t="shared" si="10"/>
        <v>12.466355999999999</v>
      </c>
    </row>
    <row r="88" spans="1:22" x14ac:dyDescent="0.2">
      <c r="B88" s="2">
        <f>B8</f>
        <v>210</v>
      </c>
      <c r="C88" s="9">
        <f t="shared" ref="C88:Q88" si="14">IF(C35="","",(C26-C35*$C$107/1000)*$B$106+C35*$B$107)</f>
        <v>1.528912</v>
      </c>
      <c r="D88" s="9">
        <f t="shared" si="14"/>
        <v>1.73156</v>
      </c>
      <c r="E88" s="9">
        <f t="shared" si="14"/>
        <v>1.9634079999999998</v>
      </c>
      <c r="F88" s="9">
        <f t="shared" si="14"/>
        <v>2.1806559999999999</v>
      </c>
      <c r="G88" s="9">
        <f t="shared" si="14"/>
        <v>2.4481279999999996</v>
      </c>
      <c r="H88" s="9">
        <f t="shared" si="14"/>
        <v>2.6799759999999999</v>
      </c>
      <c r="I88" s="9">
        <f t="shared" si="14"/>
        <v>2.9118240000000002</v>
      </c>
      <c r="J88" s="9">
        <f t="shared" si="14"/>
        <v>3.1792959999999995</v>
      </c>
      <c r="K88" s="9">
        <f t="shared" si="14"/>
        <v>3.917764</v>
      </c>
      <c r="L88" s="9">
        <f t="shared" si="14"/>
        <v>4.6489320000000003</v>
      </c>
      <c r="M88" s="9">
        <f t="shared" si="14"/>
        <v>5.1482520000000003</v>
      </c>
      <c r="N88" s="9">
        <f t="shared" si="14"/>
        <v>5.6046480000000001</v>
      </c>
      <c r="O88" s="9">
        <f t="shared" si="14"/>
        <v>6.1112679999999999</v>
      </c>
      <c r="P88" s="9">
        <f t="shared" si="14"/>
        <v>7.5736039999999996</v>
      </c>
      <c r="Q88" s="9">
        <f t="shared" si="14"/>
        <v>9.0359400000000001</v>
      </c>
      <c r="R88" s="9">
        <f t="shared" si="10"/>
        <v>10.041879999999999</v>
      </c>
      <c r="S88" s="9">
        <f t="shared" si="10"/>
        <v>11.004896</v>
      </c>
      <c r="T88" s="9">
        <f t="shared" si="10"/>
        <v>12.510156</v>
      </c>
      <c r="U88" s="9">
        <f t="shared" si="10"/>
        <v>14.015416000000002</v>
      </c>
      <c r="V88" s="9">
        <f t="shared" si="10"/>
        <v>14.935507999999999</v>
      </c>
    </row>
    <row r="89" spans="1:22" x14ac:dyDescent="0.2">
      <c r="C89" s="8"/>
      <c r="D89" s="8"/>
      <c r="E89" s="8"/>
      <c r="F89" s="8"/>
      <c r="G89" s="8"/>
      <c r="H89" s="8"/>
      <c r="I89" s="8"/>
      <c r="J89" s="8"/>
    </row>
    <row r="91" spans="1:22" x14ac:dyDescent="0.2">
      <c r="A91" s="2">
        <f>Gliederradiator!$B$2</f>
        <v>500</v>
      </c>
      <c r="B91" s="2" t="str">
        <f>IFERROR(ADDRESS(ROW(C3), COLUMN(C3)-1 + _xlfn.XMATCH(A91, C3:L3, 1), 4), "Kein grösserer Wert")</f>
        <v>H3</v>
      </c>
      <c r="C91" s="2" cm="1">
        <f t="array" aca="1" ref="C91" ca="1">INDEX(A:Q, ROW(INDIRECT(B91)), COLUMN(INDIRECT(B91))-1)</f>
        <v>450</v>
      </c>
      <c r="D91" s="2" cm="1">
        <f t="array" aca="1" ref="D91" ca="1">INDIRECT(B91)</f>
        <v>500</v>
      </c>
      <c r="F91" s="2" t="str">
        <f>IFERROR(ADDRESS(ROW(C12), COLUMN(C12)-1 + _xlfn.XMATCH(A91, C12:L12, 1), 4), "Kein grösserer Wert")</f>
        <v>H12</v>
      </c>
      <c r="G91" s="2" cm="1">
        <f t="array" aca="1" ref="G91" ca="1">INDEX(A:Q, ROW(INDIRECT(F91)), COLUMN(INDIRECT(F91))-1)</f>
        <v>450</v>
      </c>
      <c r="H91" s="2" cm="1">
        <f t="array" aca="1" ref="H91" ca="1">INDIRECT(F91)</f>
        <v>500</v>
      </c>
      <c r="I91" s="2" t="str">
        <f>IFERROR(ADDRESS(ROW(C82), COLUMN(C82)-1 + _xlfn.XMATCH(A91, C82:L82, 1), 4), "Kein grösserer Wert")</f>
        <v>H82</v>
      </c>
      <c r="J91" s="2" cm="1">
        <f t="array" aca="1" ref="J91" ca="1">INDEX(A:Q, ROW(INDIRECT(I91)), COLUMN(INDIRECT(I91))-1)</f>
        <v>450</v>
      </c>
      <c r="K91" s="2" cm="1">
        <f t="array" aca="1" ref="K91" ca="1">INDIRECT(I91)</f>
        <v>500</v>
      </c>
    </row>
    <row r="92" spans="1:22" x14ac:dyDescent="0.2">
      <c r="A92" s="2">
        <f>Gliederradiator!$B$3</f>
        <v>136</v>
      </c>
      <c r="B92" s="2" t="str">
        <f>IFERROR(ADDRESS(ROW(B4)-1 + _xlfn.XMATCH(A92,B4:B8,1),COLUMN(B4),4),"Kein grösserer Wert")</f>
        <v>B6</v>
      </c>
      <c r="C92" s="2" cm="1">
        <f t="array" aca="1" ref="C92" ca="1">INDEX(A:Q, ROW(INDIRECT(B92)), COLUMN(INDIRECT(B91)))</f>
        <v>72.3</v>
      </c>
      <c r="D92" s="2" cm="1">
        <f t="array" aca="1" ref="D92" ca="1">INDIRECT(B92)</f>
        <v>136</v>
      </c>
      <c r="F92" s="2" t="str">
        <f>IFERROR(ADDRESS(ROW(B13)-1 + _xlfn.XMATCH(A92,B13:B17,1),COLUMN(B13),4),"Kein grösserer Wert")</f>
        <v>B15</v>
      </c>
      <c r="G92" s="2" cm="1">
        <f t="array" aca="1" ref="G92" ca="1">INDEX(A:Q, ROW(INDIRECT(F92))-1, COLUMN(INDIRECT(F92)))</f>
        <v>100</v>
      </c>
      <c r="H92" s="2" cm="1">
        <f t="array" aca="1" ref="H92" ca="1">INDIRECT(F92)</f>
        <v>136</v>
      </c>
      <c r="I92" s="2" t="str">
        <f>IFERROR(ADDRESS(ROW(B84)-1 + _xlfn.XMATCH(A92,B84:B88,1),COLUMN(B84),4),"Kein grösserer Wert")</f>
        <v>B86</v>
      </c>
      <c r="J92" s="2" cm="1">
        <f t="array" aca="1" ref="J92" ca="1">INDEX(A:Q, ROW(INDIRECT(I92))-1, COLUMN(INDIRECT(I92)))</f>
        <v>100</v>
      </c>
      <c r="K92" s="2" cm="1">
        <f t="array" aca="1" ref="K92" ca="1">INDIRECT(I92)</f>
        <v>136</v>
      </c>
    </row>
    <row r="93" spans="1:22" x14ac:dyDescent="0.2">
      <c r="A93" s="3">
        <f ca="1">C93 + (A91-C91)/(D91-C91)*(D93-C93)*0.5 + (A92-C92)/(D92-C92)*(D93-C93)*0.5</f>
        <v>72.3</v>
      </c>
      <c r="C93" s="2" cm="1">
        <f t="array" aca="1" ref="C93" ca="1">INDEX(A:Q, ROW(INDIRECT(B92))-1, COLUMN(INDIRECT(B91))-1)</f>
        <v>50.8</v>
      </c>
      <c r="D93" s="2" cm="1">
        <f t="array" aca="1" ref="D93" ca="1">INDEX(A:Q, ROW(INDIRECT(B92)), COLUMN(INDIRECT(B91)))</f>
        <v>72.3</v>
      </c>
      <c r="G93" s="2" cm="1">
        <f t="array" aca="1" ref="G93" ca="1">INDEX(A:Q, ROW(INDIRECT(F92))-1, COLUMN(INDIRECT(F91))-1)</f>
        <v>1.28</v>
      </c>
      <c r="H93" s="2" cm="1">
        <f t="array" aca="1" ref="H93" ca="1">INDEX(A:Q, ROW(INDIRECT(F92)), COLUMN(INDIRECT(F91)))</f>
        <v>1.28</v>
      </c>
      <c r="J93" s="2" cm="1">
        <f t="array" aca="1" ref="J93" ca="1">INDEX(A:Q, ROW(INDIRECT(I92))-1, COLUMN(INDIRECT(I91))-1)</f>
        <v>1.2094640000000001</v>
      </c>
      <c r="K93" s="2" cm="1">
        <f t="array" aca="1" ref="K93" ca="1">INDEX(A:Q, ROW(INDIRECT(I92)), COLUMN(INDIRECT(I91)))</f>
        <v>1.7744839999999997</v>
      </c>
    </row>
    <row r="94" spans="1:22" x14ac:dyDescent="0.2">
      <c r="A94" s="3">
        <f ca="1">C94 + (A91-C91)/(D91-C91)*(D94-C94)*0.5 + (A92-C92)/(D92-C92)*(D94-C94)*0.5</f>
        <v>1.28</v>
      </c>
      <c r="C94" s="2" cm="1">
        <f t="array" aca="1" ref="C94" ca="1">INDEX(A:Q, ROW(INDIRECT(F92))-1, COLUMN(INDIRECT(F91))-1)</f>
        <v>1.28</v>
      </c>
      <c r="D94" s="2" cm="1">
        <f t="array" aca="1" ref="D94" ca="1">INDEX(A:S, ROW(INDIRECT(F92)), COLUMN(INDIRECT(F91)))</f>
        <v>1.28</v>
      </c>
    </row>
    <row r="95" spans="1:22" x14ac:dyDescent="0.2">
      <c r="A95" s="10">
        <f ca="1">C95 + (A91-C91)/(D91-C91)*(D95-C95)*0.5 + (A92-C92)/(D92-C92)*(D95-C95)*0.5</f>
        <v>1.7744839999999997</v>
      </c>
      <c r="C95" s="9">
        <f ca="1">J93</f>
        <v>1.2094640000000001</v>
      </c>
      <c r="D95" s="9">
        <f ca="1">K93</f>
        <v>1.7744839999999997</v>
      </c>
    </row>
    <row r="96" spans="1:22" x14ac:dyDescent="0.2">
      <c r="A96" s="3"/>
    </row>
    <row r="98" spans="1:7" ht="12.75" customHeight="1" x14ac:dyDescent="0.2">
      <c r="A98" s="1" t="s">
        <v>1</v>
      </c>
    </row>
    <row r="99" spans="1:7" ht="15.75" customHeight="1" x14ac:dyDescent="0.3">
      <c r="A99" s="1" t="s">
        <v>8</v>
      </c>
      <c r="G99" s="2">
        <f>'Basis Radiator'!F10*((Gliederradiator!B8-Gliederradiator!B9)/'Basis Radiator'!B62)^Gliederradiator!B15</f>
        <v>24.135841372146224</v>
      </c>
    </row>
    <row r="100" spans="1:7" x14ac:dyDescent="0.2">
      <c r="E100" s="2">
        <v>75</v>
      </c>
      <c r="F100" s="2">
        <v>90</v>
      </c>
    </row>
    <row r="101" spans="1:7" ht="15.75" x14ac:dyDescent="0.3">
      <c r="A101" s="1" t="s">
        <v>9</v>
      </c>
      <c r="E101" s="2">
        <v>65</v>
      </c>
      <c r="F101" s="2">
        <v>70</v>
      </c>
    </row>
    <row r="102" spans="1:7" x14ac:dyDescent="0.2">
      <c r="E102" s="2">
        <v>20</v>
      </c>
      <c r="F102" s="2">
        <v>20</v>
      </c>
    </row>
    <row r="103" spans="1:7" ht="15.75" x14ac:dyDescent="0.3">
      <c r="A103" s="1" t="s">
        <v>10</v>
      </c>
      <c r="B103" s="2">
        <f>(E100-E101)/(LN((E100-E102)/(E101-E102)))</f>
        <v>49.83288654563971</v>
      </c>
      <c r="E103" s="11">
        <f>(E100-E101)/(LN((E100-E102)/(E101-E102)))</f>
        <v>49.83288654563971</v>
      </c>
      <c r="F103" s="11">
        <f>(F100-F101)/(LN((F100-F102)/(F101-F102)))</f>
        <v>59.440268239769239</v>
      </c>
    </row>
    <row r="105" spans="1:7" x14ac:dyDescent="0.2">
      <c r="A105" s="2" t="s">
        <v>5</v>
      </c>
    </row>
    <row r="106" spans="1:7" x14ac:dyDescent="0.2">
      <c r="A106" s="2" t="s">
        <v>7</v>
      </c>
      <c r="B106" s="2">
        <v>0.73</v>
      </c>
    </row>
    <row r="107" spans="1:7" x14ac:dyDescent="0.2">
      <c r="A107" s="2" t="s">
        <v>6</v>
      </c>
      <c r="B107" s="2">
        <v>4.38</v>
      </c>
      <c r="C107" s="2">
        <v>120</v>
      </c>
      <c r="D107" s="2" t="s">
        <v>12</v>
      </c>
    </row>
    <row r="128" spans="13:13" x14ac:dyDescent="0.2">
      <c r="M128" s="2">
        <v>0.56000000000000005</v>
      </c>
    </row>
    <row r="129" spans="13:13" x14ac:dyDescent="0.2">
      <c r="M129" s="2">
        <v>0.63</v>
      </c>
    </row>
    <row r="130" spans="13:13" x14ac:dyDescent="0.2">
      <c r="M130" s="2">
        <v>0.73</v>
      </c>
    </row>
    <row r="131" spans="13:13" x14ac:dyDescent="0.2">
      <c r="M131" s="2">
        <v>0.83</v>
      </c>
    </row>
    <row r="132" spans="13:13" x14ac:dyDescent="0.2">
      <c r="M132" s="2">
        <v>0.93</v>
      </c>
    </row>
    <row r="133" spans="13:13" x14ac:dyDescent="0.2">
      <c r="M133" s="2">
        <v>1.03</v>
      </c>
    </row>
    <row r="134" spans="13:13" x14ac:dyDescent="0.2">
      <c r="M134" s="2">
        <v>1.1299999999999999</v>
      </c>
    </row>
    <row r="135" spans="13:13" x14ac:dyDescent="0.2">
      <c r="M135" s="2">
        <v>1.23</v>
      </c>
    </row>
    <row r="136" spans="13:13" x14ac:dyDescent="0.2">
      <c r="M136" s="2">
        <v>1.52</v>
      </c>
    </row>
    <row r="137" spans="13:13" x14ac:dyDescent="0.2">
      <c r="M137" s="2">
        <v>1.81</v>
      </c>
    </row>
    <row r="138" spans="13:13" x14ac:dyDescent="0.2">
      <c r="M138" s="2">
        <v>2.0099999999999998</v>
      </c>
    </row>
    <row r="139" spans="13:13" x14ac:dyDescent="0.2">
      <c r="M139" s="2">
        <v>2.21</v>
      </c>
    </row>
    <row r="140" spans="13:13" x14ac:dyDescent="0.2">
      <c r="M140" s="2">
        <v>2.4</v>
      </c>
    </row>
    <row r="141" spans="13:13" x14ac:dyDescent="0.2">
      <c r="M141" s="2">
        <v>2.99</v>
      </c>
    </row>
    <row r="142" spans="13:13" x14ac:dyDescent="0.2">
      <c r="M142" s="2">
        <v>3.58</v>
      </c>
    </row>
    <row r="143" spans="13:13" x14ac:dyDescent="0.2">
      <c r="M143" s="2">
        <v>3.97</v>
      </c>
    </row>
    <row r="144" spans="13:13" x14ac:dyDescent="0.2">
      <c r="M144" s="2">
        <v>4.3600000000000003</v>
      </c>
    </row>
    <row r="145" spans="13:13" x14ac:dyDescent="0.2">
      <c r="M145" s="2">
        <v>4.95</v>
      </c>
    </row>
    <row r="146" spans="13:13" x14ac:dyDescent="0.2">
      <c r="M146" s="2">
        <v>5.54</v>
      </c>
    </row>
    <row r="147" spans="13:13" x14ac:dyDescent="0.2">
      <c r="M147" s="2">
        <v>5.93</v>
      </c>
    </row>
    <row r="148" spans="13:13" x14ac:dyDescent="0.2">
      <c r="M148" s="2">
        <v>0.77</v>
      </c>
    </row>
    <row r="149" spans="13:13" x14ac:dyDescent="0.2">
      <c r="M149" s="2">
        <v>0.88</v>
      </c>
    </row>
    <row r="150" spans="13:13" x14ac:dyDescent="0.2">
      <c r="M150" s="2">
        <v>1.01</v>
      </c>
    </row>
    <row r="151" spans="13:13" x14ac:dyDescent="0.2">
      <c r="M151" s="2">
        <v>1.1599999999999999</v>
      </c>
    </row>
    <row r="152" spans="13:13" x14ac:dyDescent="0.2">
      <c r="M152" s="2">
        <v>1.29</v>
      </c>
    </row>
    <row r="153" spans="13:13" x14ac:dyDescent="0.2">
      <c r="M153" s="2">
        <v>1.42</v>
      </c>
    </row>
    <row r="154" spans="13:13" x14ac:dyDescent="0.2">
      <c r="M154" s="2">
        <v>1.55</v>
      </c>
    </row>
    <row r="155" spans="13:13" x14ac:dyDescent="0.2">
      <c r="M155" s="2">
        <v>1.67</v>
      </c>
    </row>
    <row r="156" spans="13:13" x14ac:dyDescent="0.2">
      <c r="M156" s="2">
        <v>2.06</v>
      </c>
    </row>
    <row r="157" spans="13:13" x14ac:dyDescent="0.2">
      <c r="M157" s="2">
        <v>2.4500000000000002</v>
      </c>
    </row>
    <row r="158" spans="13:13" x14ac:dyDescent="0.2">
      <c r="M158" s="2">
        <v>2.7</v>
      </c>
    </row>
    <row r="159" spans="13:13" x14ac:dyDescent="0.2">
      <c r="M159" s="2">
        <v>2.96</v>
      </c>
    </row>
    <row r="160" spans="13:13" x14ac:dyDescent="0.2">
      <c r="M160" s="2">
        <v>3.22</v>
      </c>
    </row>
    <row r="161" spans="13:13" x14ac:dyDescent="0.2">
      <c r="M161" s="2">
        <v>3.99</v>
      </c>
    </row>
    <row r="162" spans="13:13" x14ac:dyDescent="0.2">
      <c r="M162" s="2">
        <v>4.76</v>
      </c>
    </row>
    <row r="163" spans="13:13" x14ac:dyDescent="0.2">
      <c r="M163" s="2">
        <v>5.28</v>
      </c>
    </row>
    <row r="164" spans="13:13" x14ac:dyDescent="0.2">
      <c r="M164" s="2">
        <v>5.79</v>
      </c>
    </row>
    <row r="165" spans="13:13" x14ac:dyDescent="0.2">
      <c r="M165" s="2">
        <v>5.56</v>
      </c>
    </row>
    <row r="166" spans="13:13" x14ac:dyDescent="0.2">
      <c r="M166" s="2">
        <v>7.33</v>
      </c>
    </row>
    <row r="167" spans="13:13" x14ac:dyDescent="0.2">
      <c r="M167" s="2">
        <v>7.85</v>
      </c>
    </row>
    <row r="168" spans="13:13" x14ac:dyDescent="0.2">
      <c r="M168" s="2">
        <v>0.88</v>
      </c>
    </row>
    <row r="169" spans="13:13" x14ac:dyDescent="0.2">
      <c r="M169" s="2">
        <v>1.01</v>
      </c>
    </row>
    <row r="170" spans="13:13" x14ac:dyDescent="0.2">
      <c r="M170" s="2">
        <v>1.18</v>
      </c>
    </row>
    <row r="171" spans="13:13" x14ac:dyDescent="0.2">
      <c r="M171" s="2">
        <v>1.51</v>
      </c>
    </row>
    <row r="172" spans="13:13" x14ac:dyDescent="0.2">
      <c r="M172" s="2">
        <v>1.67</v>
      </c>
    </row>
    <row r="173" spans="13:13" x14ac:dyDescent="0.2">
      <c r="M173" s="2">
        <v>1.83</v>
      </c>
    </row>
    <row r="174" spans="13:13" x14ac:dyDescent="0.2">
      <c r="M174" s="2">
        <v>2</v>
      </c>
    </row>
    <row r="175" spans="13:13" x14ac:dyDescent="0.2">
      <c r="M175" s="2">
        <v>2.16</v>
      </c>
    </row>
    <row r="176" spans="13:13" x14ac:dyDescent="0.2">
      <c r="M176" s="2">
        <v>2.65</v>
      </c>
    </row>
    <row r="177" spans="13:13" x14ac:dyDescent="0.2">
      <c r="M177" s="2">
        <v>3.14</v>
      </c>
    </row>
    <row r="178" spans="13:13" x14ac:dyDescent="0.2">
      <c r="M178" s="2">
        <v>3.47</v>
      </c>
    </row>
    <row r="179" spans="13:13" x14ac:dyDescent="0.2">
      <c r="M179" s="2">
        <v>3.79</v>
      </c>
    </row>
    <row r="180" spans="13:13" x14ac:dyDescent="0.2">
      <c r="M180" s="2">
        <v>4.12</v>
      </c>
    </row>
    <row r="181" spans="13:13" x14ac:dyDescent="0.2">
      <c r="M181" s="2">
        <v>5.0999999999999996</v>
      </c>
    </row>
    <row r="182" spans="13:13" x14ac:dyDescent="0.2">
      <c r="M182" s="2">
        <v>6.08</v>
      </c>
    </row>
    <row r="183" spans="13:13" x14ac:dyDescent="0.2">
      <c r="M183" s="2">
        <v>6.73</v>
      </c>
    </row>
    <row r="184" spans="13:13" x14ac:dyDescent="0.2">
      <c r="M184" s="2">
        <v>7.39</v>
      </c>
    </row>
    <row r="185" spans="13:13" x14ac:dyDescent="0.2">
      <c r="M185" s="2">
        <v>8.3699999999999992</v>
      </c>
    </row>
    <row r="186" spans="13:13" x14ac:dyDescent="0.2">
      <c r="M186" s="2">
        <v>9.35</v>
      </c>
    </row>
    <row r="187" spans="13:13" x14ac:dyDescent="0.2">
      <c r="M187" s="2">
        <v>10</v>
      </c>
    </row>
    <row r="188" spans="13:13" x14ac:dyDescent="0.2">
      <c r="M188" s="2">
        <v>1.26</v>
      </c>
    </row>
    <row r="189" spans="13:13" x14ac:dyDescent="0.2">
      <c r="M189" s="2">
        <v>1.42</v>
      </c>
    </row>
    <row r="190" spans="13:13" x14ac:dyDescent="0.2">
      <c r="M190" s="2">
        <v>1.62</v>
      </c>
    </row>
    <row r="191" spans="13:13" x14ac:dyDescent="0.2">
      <c r="M191" s="2">
        <v>1.79</v>
      </c>
    </row>
    <row r="192" spans="13:13" x14ac:dyDescent="0.2">
      <c r="M192" s="2">
        <v>1.99</v>
      </c>
    </row>
    <row r="193" spans="13:13" x14ac:dyDescent="0.2">
      <c r="M193" s="2">
        <v>2.19</v>
      </c>
    </row>
    <row r="194" spans="13:13" x14ac:dyDescent="0.2">
      <c r="M194" s="2">
        <v>2.38</v>
      </c>
    </row>
    <row r="195" spans="13:13" x14ac:dyDescent="0.2">
      <c r="M195" s="2">
        <v>2.58</v>
      </c>
    </row>
    <row r="196" spans="13:13" x14ac:dyDescent="0.2">
      <c r="M196" s="2">
        <v>3.17</v>
      </c>
    </row>
    <row r="197" spans="13:13" x14ac:dyDescent="0.2">
      <c r="M197" s="2">
        <v>3.76</v>
      </c>
    </row>
    <row r="198" spans="13:13" x14ac:dyDescent="0.2">
      <c r="M198" s="2">
        <v>4.16</v>
      </c>
    </row>
    <row r="199" spans="13:13" x14ac:dyDescent="0.2">
      <c r="M199" s="2">
        <v>4.55</v>
      </c>
    </row>
    <row r="200" spans="13:13" x14ac:dyDescent="0.2">
      <c r="M200" s="2">
        <v>4.95</v>
      </c>
    </row>
    <row r="201" spans="13:13" x14ac:dyDescent="0.2">
      <c r="M201" s="2">
        <v>6.13</v>
      </c>
    </row>
    <row r="202" spans="13:13" x14ac:dyDescent="0.2">
      <c r="M202" s="2">
        <v>7.31</v>
      </c>
    </row>
    <row r="203" spans="13:13" x14ac:dyDescent="0.2">
      <c r="M203" s="2">
        <v>8.1</v>
      </c>
    </row>
    <row r="204" spans="13:13" x14ac:dyDescent="0.2">
      <c r="M204" s="2">
        <v>8.89</v>
      </c>
    </row>
    <row r="205" spans="13:13" x14ac:dyDescent="0.2">
      <c r="M205" s="2">
        <v>10.07</v>
      </c>
    </row>
    <row r="206" spans="13:13" x14ac:dyDescent="0.2">
      <c r="M206" s="2">
        <v>11.25</v>
      </c>
    </row>
    <row r="207" spans="13:13" x14ac:dyDescent="0.2">
      <c r="M207" s="2">
        <v>12.04</v>
      </c>
    </row>
  </sheetData>
  <pageMargins left="0.7" right="0.7" top="0.78740157499999996" bottom="0.78740157499999996"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565F2-CFBF-4606-B7C6-B61B98457C9C}">
  <dimension ref="A1:BC310"/>
  <sheetViews>
    <sheetView topLeftCell="A59" workbookViewId="0">
      <selection activeCell="G81" sqref="G81"/>
    </sheetView>
  </sheetViews>
  <sheetFormatPr baseColWidth="10" defaultColWidth="8" defaultRowHeight="12.75" x14ac:dyDescent="0.2"/>
  <cols>
    <col min="1" max="14" width="7.42578125" style="115" customWidth="1"/>
    <col min="15" max="16384" width="8" style="115"/>
  </cols>
  <sheetData>
    <row r="1" spans="1:35" ht="20.25" customHeight="1" x14ac:dyDescent="0.2">
      <c r="A1" s="304" t="s">
        <v>346</v>
      </c>
      <c r="B1" s="304"/>
      <c r="C1" s="304"/>
      <c r="D1" s="304"/>
      <c r="E1" s="304"/>
      <c r="F1" s="304"/>
      <c r="G1" s="304"/>
      <c r="H1" s="304"/>
      <c r="I1" s="304"/>
      <c r="J1" s="304"/>
      <c r="K1" s="304"/>
      <c r="L1" s="304"/>
    </row>
    <row r="2" spans="1:35" ht="14.25" customHeight="1" x14ac:dyDescent="0.2">
      <c r="A2" s="309" t="s">
        <v>194</v>
      </c>
      <c r="B2" s="309"/>
      <c r="C2" s="309"/>
      <c r="D2" s="309"/>
      <c r="E2" s="309"/>
      <c r="F2" s="309"/>
      <c r="G2" s="309"/>
      <c r="H2" s="309"/>
      <c r="I2" s="309"/>
      <c r="J2" s="309"/>
      <c r="K2" s="309"/>
      <c r="L2" s="309"/>
    </row>
    <row r="3" spans="1:35" ht="77.849999999999994" customHeight="1" x14ac:dyDescent="0.2">
      <c r="A3" s="116"/>
      <c r="B3" s="116"/>
      <c r="C3" s="116"/>
      <c r="D3" s="116"/>
      <c r="E3" s="116"/>
      <c r="F3" s="116"/>
      <c r="G3" s="116"/>
      <c r="H3" s="116"/>
      <c r="I3" s="116"/>
      <c r="J3" s="116"/>
      <c r="K3" s="116"/>
    </row>
    <row r="4" spans="1:35" ht="5.45" customHeight="1" x14ac:dyDescent="0.2">
      <c r="A4" s="117"/>
      <c r="B4" s="117"/>
      <c r="C4" s="117"/>
      <c r="D4" s="117"/>
      <c r="E4" s="117"/>
      <c r="F4" s="117"/>
      <c r="G4" s="117"/>
      <c r="H4" s="117"/>
      <c r="I4" s="117"/>
      <c r="J4" s="117"/>
      <c r="K4" s="117"/>
    </row>
    <row r="5" spans="1:35" ht="8.4499999999999993" customHeight="1" x14ac:dyDescent="0.2">
      <c r="A5" s="117"/>
      <c r="B5" s="117"/>
      <c r="C5" s="117"/>
      <c r="D5" s="117"/>
      <c r="E5" s="117"/>
      <c r="F5" s="117"/>
      <c r="G5" s="117"/>
      <c r="H5" s="117"/>
      <c r="I5" s="117"/>
      <c r="J5" s="117"/>
      <c r="K5" s="117"/>
    </row>
    <row r="6" spans="1:35" ht="46.5" customHeight="1" x14ac:dyDescent="0.2">
      <c r="A6" s="118"/>
      <c r="B6" s="118"/>
      <c r="C6" s="118"/>
      <c r="D6" s="118"/>
      <c r="E6" s="118"/>
      <c r="F6" s="118"/>
      <c r="G6" s="118"/>
      <c r="H6" s="118"/>
      <c r="I6" s="308"/>
      <c r="J6" s="308"/>
      <c r="K6" s="308"/>
    </row>
    <row r="7" spans="1:35" ht="6" customHeight="1" x14ac:dyDescent="0.2">
      <c r="A7" s="117"/>
      <c r="B7" s="117"/>
      <c r="C7" s="117"/>
      <c r="D7" s="117"/>
      <c r="E7" s="117"/>
      <c r="F7" s="117"/>
      <c r="G7" s="117"/>
      <c r="H7" s="117"/>
      <c r="I7" s="308"/>
      <c r="J7" s="308"/>
      <c r="K7" s="308"/>
    </row>
    <row r="8" spans="1:35" ht="17.100000000000001" customHeight="1" x14ac:dyDescent="0.2">
      <c r="A8" s="119"/>
      <c r="B8" s="119"/>
      <c r="C8" s="119"/>
      <c r="D8" s="119"/>
      <c r="E8" s="119"/>
      <c r="F8" s="119"/>
      <c r="G8" s="119"/>
      <c r="H8" s="119"/>
      <c r="I8" s="308"/>
      <c r="J8" s="308"/>
      <c r="K8" s="308"/>
    </row>
    <row r="9" spans="1:35" ht="53.45" customHeight="1" x14ac:dyDescent="0.2">
      <c r="A9" s="118"/>
      <c r="B9" s="118"/>
      <c r="C9" s="118"/>
      <c r="D9" s="118"/>
      <c r="E9" s="118"/>
      <c r="F9" s="118"/>
      <c r="G9" s="118"/>
      <c r="H9" s="118"/>
      <c r="I9" s="308"/>
      <c r="J9" s="308"/>
      <c r="K9" s="308"/>
    </row>
    <row r="10" spans="1:35" x14ac:dyDescent="0.2">
      <c r="A10" s="307" t="s">
        <v>196</v>
      </c>
      <c r="B10" s="307"/>
      <c r="C10" s="307"/>
      <c r="D10" s="307"/>
      <c r="E10" s="307"/>
      <c r="F10" s="307"/>
      <c r="G10" s="307"/>
      <c r="H10" s="307"/>
      <c r="I10" s="307"/>
      <c r="J10" s="307"/>
      <c r="K10" s="307"/>
    </row>
    <row r="11" spans="1:35" ht="14.1" customHeight="1" x14ac:dyDescent="0.2">
      <c r="A11" s="305" t="s">
        <v>197</v>
      </c>
      <c r="B11" s="305"/>
      <c r="C11" s="305"/>
      <c r="D11" s="305"/>
      <c r="E11" s="305"/>
      <c r="F11" s="305"/>
      <c r="G11" s="305"/>
      <c r="H11" s="305"/>
      <c r="I11" s="305"/>
      <c r="J11" s="305"/>
      <c r="K11" s="305"/>
      <c r="L11" s="305"/>
    </row>
    <row r="12" spans="1:35" ht="29.1" customHeight="1" x14ac:dyDescent="0.2">
      <c r="A12" s="147" t="s">
        <v>198</v>
      </c>
      <c r="B12" s="148" t="s">
        <v>199</v>
      </c>
      <c r="C12" s="149" t="s">
        <v>200</v>
      </c>
      <c r="D12" s="149" t="s">
        <v>201</v>
      </c>
      <c r="E12" s="149" t="s">
        <v>202</v>
      </c>
      <c r="F12" s="149" t="s">
        <v>203</v>
      </c>
      <c r="G12" s="149" t="s">
        <v>204</v>
      </c>
      <c r="H12" s="149" t="s">
        <v>205</v>
      </c>
      <c r="I12" s="150" t="s">
        <v>206</v>
      </c>
      <c r="J12" s="151" t="s">
        <v>207</v>
      </c>
      <c r="K12" s="149" t="s">
        <v>208</v>
      </c>
      <c r="L12" s="151" t="s">
        <v>348</v>
      </c>
    </row>
    <row r="13" spans="1:35" ht="11.1" customHeight="1" x14ac:dyDescent="0.2">
      <c r="A13" s="125">
        <v>2026</v>
      </c>
      <c r="B13" s="126">
        <v>260</v>
      </c>
      <c r="C13" s="126">
        <v>202</v>
      </c>
      <c r="D13" s="126">
        <v>62</v>
      </c>
      <c r="E13" s="127">
        <v>0.04</v>
      </c>
      <c r="F13" s="128">
        <v>0.3</v>
      </c>
      <c r="G13" s="127">
        <v>0.4</v>
      </c>
      <c r="H13" s="126">
        <v>25</v>
      </c>
      <c r="I13" s="128">
        <v>1.8</v>
      </c>
      <c r="J13" s="127">
        <v>1.27</v>
      </c>
      <c r="K13" s="128">
        <v>21.1</v>
      </c>
      <c r="L13" s="127">
        <v>34.450000000000003</v>
      </c>
      <c r="P13" s="129"/>
      <c r="Q13" s="129"/>
      <c r="R13" s="129"/>
      <c r="S13" s="129"/>
      <c r="T13" s="129"/>
      <c r="U13" s="129"/>
      <c r="V13" s="129"/>
      <c r="W13" s="129"/>
      <c r="X13" s="129"/>
      <c r="Y13" s="129"/>
      <c r="Z13" s="129"/>
      <c r="AA13" s="129"/>
      <c r="AB13" s="129"/>
      <c r="AC13" s="129"/>
      <c r="AD13" s="129"/>
      <c r="AE13" s="129"/>
      <c r="AF13" s="129"/>
      <c r="AG13" s="129"/>
      <c r="AH13" s="129"/>
      <c r="AI13" s="129"/>
    </row>
    <row r="14" spans="1:35" ht="11.1" customHeight="1" x14ac:dyDescent="0.2">
      <c r="A14" s="129">
        <v>2030</v>
      </c>
      <c r="B14" s="130">
        <v>292</v>
      </c>
      <c r="C14" s="130">
        <v>234</v>
      </c>
      <c r="D14" s="130">
        <v>62</v>
      </c>
      <c r="E14" s="131">
        <v>0.04</v>
      </c>
      <c r="F14" s="132">
        <v>0.4</v>
      </c>
      <c r="G14" s="131">
        <v>0.44</v>
      </c>
      <c r="H14" s="130">
        <v>25</v>
      </c>
      <c r="I14" s="132">
        <v>2</v>
      </c>
      <c r="J14" s="131">
        <v>1.27</v>
      </c>
      <c r="K14" s="132">
        <v>23.6</v>
      </c>
      <c r="L14" s="131">
        <v>35.35</v>
      </c>
    </row>
    <row r="15" spans="1:35" ht="11.1" customHeight="1" x14ac:dyDescent="0.2">
      <c r="A15" s="129">
        <v>2035</v>
      </c>
      <c r="B15" s="130">
        <v>342</v>
      </c>
      <c r="C15" s="130">
        <v>284</v>
      </c>
      <c r="D15" s="130">
        <v>62</v>
      </c>
      <c r="E15" s="131">
        <v>0.05</v>
      </c>
      <c r="F15" s="132">
        <v>0.4</v>
      </c>
      <c r="G15" s="131">
        <v>0.51</v>
      </c>
      <c r="H15" s="130">
        <v>24</v>
      </c>
      <c r="I15" s="132">
        <v>2.4</v>
      </c>
      <c r="J15" s="131">
        <v>1.26</v>
      </c>
      <c r="K15" s="132">
        <v>27.5</v>
      </c>
      <c r="L15" s="131">
        <v>36.4</v>
      </c>
      <c r="P15" s="129"/>
      <c r="Q15" s="129"/>
      <c r="R15" s="129"/>
      <c r="S15" s="129"/>
      <c r="T15" s="129"/>
      <c r="U15" s="129"/>
      <c r="V15" s="129"/>
      <c r="W15" s="129"/>
      <c r="X15" s="129"/>
      <c r="Y15" s="129"/>
      <c r="Z15" s="129"/>
      <c r="AA15" s="129"/>
      <c r="AB15" s="129"/>
      <c r="AC15" s="129"/>
      <c r="AD15" s="129"/>
      <c r="AE15" s="129"/>
      <c r="AF15" s="129"/>
      <c r="AG15" s="129"/>
      <c r="AH15" s="129"/>
      <c r="AI15" s="129"/>
    </row>
    <row r="16" spans="1:35" ht="12" customHeight="1" x14ac:dyDescent="0.2">
      <c r="A16" s="129">
        <v>2040</v>
      </c>
      <c r="B16" s="130">
        <v>392</v>
      </c>
      <c r="C16" s="130">
        <v>334</v>
      </c>
      <c r="D16" s="130">
        <v>62</v>
      </c>
      <c r="E16" s="131">
        <v>0.06</v>
      </c>
      <c r="F16" s="132">
        <v>0.4</v>
      </c>
      <c r="G16" s="131">
        <v>0.55000000000000004</v>
      </c>
      <c r="H16" s="130">
        <v>25</v>
      </c>
      <c r="I16" s="132">
        <v>2.7</v>
      </c>
      <c r="J16" s="131">
        <v>1.26</v>
      </c>
      <c r="K16" s="132">
        <v>31.2</v>
      </c>
      <c r="L16" s="131">
        <v>36.450000000000003</v>
      </c>
    </row>
    <row r="17" spans="1:55" ht="12.95" customHeight="1" x14ac:dyDescent="0.2">
      <c r="A17" s="129">
        <v>2045</v>
      </c>
      <c r="B17" s="130">
        <v>442</v>
      </c>
      <c r="C17" s="130">
        <v>384</v>
      </c>
      <c r="D17" s="130">
        <v>62</v>
      </c>
      <c r="E17" s="131">
        <v>7.0000000000000007E-2</v>
      </c>
      <c r="F17" s="132">
        <v>0.5</v>
      </c>
      <c r="G17" s="131">
        <v>0.62</v>
      </c>
      <c r="H17" s="130">
        <v>24</v>
      </c>
      <c r="I17" s="132">
        <v>3</v>
      </c>
      <c r="J17" s="131">
        <v>1.26</v>
      </c>
      <c r="K17" s="132">
        <v>34.9</v>
      </c>
      <c r="L17" s="131">
        <v>36.799999999999997</v>
      </c>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row>
    <row r="18" spans="1:55" ht="11.1" customHeight="1" x14ac:dyDescent="0.2">
      <c r="A18" s="129">
        <v>2050</v>
      </c>
      <c r="B18" s="130">
        <v>492</v>
      </c>
      <c r="C18" s="130">
        <v>434</v>
      </c>
      <c r="D18" s="130">
        <v>62</v>
      </c>
      <c r="E18" s="131">
        <v>7.0000000000000007E-2</v>
      </c>
      <c r="F18" s="132">
        <v>0.5</v>
      </c>
      <c r="G18" s="131">
        <v>0.69</v>
      </c>
      <c r="H18" s="130">
        <v>23</v>
      </c>
      <c r="I18" s="132">
        <v>3.3</v>
      </c>
      <c r="J18" s="131">
        <v>1.25</v>
      </c>
      <c r="K18" s="132">
        <v>38.4</v>
      </c>
      <c r="L18" s="131">
        <v>37.6</v>
      </c>
    </row>
    <row r="19" spans="1:55" ht="11.1" customHeight="1" x14ac:dyDescent="0.2">
      <c r="A19" s="129">
        <v>2055</v>
      </c>
      <c r="B19" s="130">
        <v>542</v>
      </c>
      <c r="C19" s="130">
        <v>484</v>
      </c>
      <c r="D19" s="130">
        <v>62</v>
      </c>
      <c r="E19" s="131">
        <v>0.08</v>
      </c>
      <c r="F19" s="132">
        <v>0.6</v>
      </c>
      <c r="G19" s="131">
        <v>0.75</v>
      </c>
      <c r="H19" s="130">
        <v>23</v>
      </c>
      <c r="I19" s="132">
        <v>3.6</v>
      </c>
      <c r="J19" s="131">
        <v>1.25</v>
      </c>
      <c r="K19" s="132">
        <v>41.9</v>
      </c>
      <c r="L19" s="131">
        <v>38.049999999999997</v>
      </c>
    </row>
    <row r="20" spans="1:55" ht="9.9499999999999993" customHeight="1" x14ac:dyDescent="0.2">
      <c r="A20" s="129">
        <v>2060</v>
      </c>
      <c r="B20" s="130">
        <v>592</v>
      </c>
      <c r="C20" s="130">
        <v>534</v>
      </c>
      <c r="D20" s="130">
        <v>62</v>
      </c>
      <c r="E20" s="131">
        <v>0.09</v>
      </c>
      <c r="F20" s="132">
        <v>0.6</v>
      </c>
      <c r="G20" s="131">
        <v>0.82</v>
      </c>
      <c r="H20" s="130">
        <v>23</v>
      </c>
      <c r="I20" s="132">
        <v>3.9</v>
      </c>
      <c r="J20" s="131">
        <v>1.25</v>
      </c>
      <c r="K20" s="132">
        <v>45.3</v>
      </c>
      <c r="L20" s="131">
        <v>38.4</v>
      </c>
    </row>
    <row r="21" spans="1:55" ht="12.95" customHeight="1" x14ac:dyDescent="0.2">
      <c r="A21" s="129">
        <v>2075</v>
      </c>
      <c r="B21" s="130">
        <v>742</v>
      </c>
      <c r="C21" s="130">
        <v>684</v>
      </c>
      <c r="D21" s="130">
        <v>62</v>
      </c>
      <c r="E21" s="131">
        <v>0.11</v>
      </c>
      <c r="F21" s="132">
        <v>0.7</v>
      </c>
      <c r="G21" s="131">
        <v>1.01</v>
      </c>
      <c r="H21" s="130">
        <v>22</v>
      </c>
      <c r="I21" s="132">
        <v>4.7</v>
      </c>
      <c r="J21" s="131">
        <v>1.24</v>
      </c>
      <c r="K21" s="132">
        <v>55</v>
      </c>
      <c r="L21" s="131">
        <v>39.5</v>
      </c>
    </row>
    <row r="22" spans="1:55" ht="12" customHeight="1" x14ac:dyDescent="0.2">
      <c r="A22" s="129">
        <v>2090</v>
      </c>
      <c r="B22" s="130">
        <v>892</v>
      </c>
      <c r="C22" s="130">
        <v>834</v>
      </c>
      <c r="D22" s="130">
        <v>62</v>
      </c>
      <c r="E22" s="131">
        <v>0.14000000000000001</v>
      </c>
      <c r="F22" s="132">
        <v>0.8</v>
      </c>
      <c r="G22" s="131">
        <v>1.21</v>
      </c>
      <c r="H22" s="130">
        <v>22</v>
      </c>
      <c r="I22" s="132">
        <v>5.5</v>
      </c>
      <c r="J22" s="131">
        <v>1.23</v>
      </c>
      <c r="K22" s="132">
        <v>63.9</v>
      </c>
      <c r="L22" s="131">
        <v>40.6</v>
      </c>
    </row>
    <row r="23" spans="1:55" ht="11.1" customHeight="1" x14ac:dyDescent="0.2">
      <c r="A23" s="129">
        <v>2100</v>
      </c>
      <c r="B23" s="130">
        <v>992</v>
      </c>
      <c r="C23" s="130">
        <v>934</v>
      </c>
      <c r="D23" s="130">
        <v>62</v>
      </c>
      <c r="E23" s="131">
        <v>0.15</v>
      </c>
      <c r="F23" s="132">
        <v>0.9</v>
      </c>
      <c r="G23" s="131">
        <v>1.34</v>
      </c>
      <c r="H23" s="130">
        <v>22</v>
      </c>
      <c r="I23" s="132">
        <v>6</v>
      </c>
      <c r="J23" s="131">
        <v>1.22</v>
      </c>
      <c r="K23" s="132">
        <v>69.5</v>
      </c>
      <c r="L23" s="131">
        <v>41.95</v>
      </c>
    </row>
    <row r="24" spans="1:55" ht="11.1" customHeight="1" x14ac:dyDescent="0.2">
      <c r="A24" s="129">
        <v>2110</v>
      </c>
      <c r="B24" s="130">
        <v>1092</v>
      </c>
      <c r="C24" s="130">
        <v>1034</v>
      </c>
      <c r="D24" s="130">
        <v>62</v>
      </c>
      <c r="E24" s="131">
        <v>0.17</v>
      </c>
      <c r="F24" s="132">
        <v>1</v>
      </c>
      <c r="G24" s="131">
        <v>1.47</v>
      </c>
      <c r="H24" s="130">
        <v>22</v>
      </c>
      <c r="I24" s="132">
        <v>6.4</v>
      </c>
      <c r="J24" s="131">
        <v>1.21</v>
      </c>
      <c r="K24" s="132">
        <v>74.7</v>
      </c>
      <c r="L24" s="131">
        <v>45.15</v>
      </c>
    </row>
    <row r="25" spans="1:55" ht="11.1" customHeight="1" x14ac:dyDescent="0.2">
      <c r="A25" s="129">
        <v>2120</v>
      </c>
      <c r="B25" s="130">
        <v>1192</v>
      </c>
      <c r="C25" s="130">
        <v>1134</v>
      </c>
      <c r="D25" s="130">
        <v>62</v>
      </c>
      <c r="E25" s="131">
        <v>0.18</v>
      </c>
      <c r="F25" s="132">
        <v>1.1000000000000001</v>
      </c>
      <c r="G25" s="131">
        <v>1.6</v>
      </c>
      <c r="H25" s="130">
        <v>22</v>
      </c>
      <c r="I25" s="132">
        <v>7.1</v>
      </c>
      <c r="J25" s="131">
        <v>1.3</v>
      </c>
      <c r="K25" s="132">
        <v>82.7</v>
      </c>
      <c r="L25" s="131">
        <v>48</v>
      </c>
    </row>
    <row r="26" spans="1:55" ht="12" customHeight="1" x14ac:dyDescent="0.2">
      <c r="A26" s="129">
        <v>2150</v>
      </c>
      <c r="B26" s="130">
        <v>1492</v>
      </c>
      <c r="C26" s="130">
        <v>1434</v>
      </c>
      <c r="D26" s="130">
        <v>62</v>
      </c>
      <c r="E26" s="131">
        <v>0.23</v>
      </c>
      <c r="F26" s="132">
        <v>1.3</v>
      </c>
      <c r="G26" s="131">
        <v>2</v>
      </c>
      <c r="H26" s="130">
        <v>23</v>
      </c>
      <c r="I26" s="132">
        <v>8.9</v>
      </c>
      <c r="J26" s="131">
        <v>1.29</v>
      </c>
      <c r="K26" s="132">
        <v>104</v>
      </c>
      <c r="L26" s="131">
        <v>61.65</v>
      </c>
    </row>
    <row r="27" spans="1:55" ht="12.95" customHeight="1" x14ac:dyDescent="0.2">
      <c r="A27" s="129">
        <v>2180</v>
      </c>
      <c r="B27" s="130">
        <v>1792</v>
      </c>
      <c r="C27" s="130">
        <v>1734</v>
      </c>
      <c r="D27" s="130">
        <v>62</v>
      </c>
      <c r="E27" s="131">
        <v>0.28000000000000003</v>
      </c>
      <c r="F27" s="132">
        <v>1.5</v>
      </c>
      <c r="G27" s="131">
        <v>2.39</v>
      </c>
      <c r="H27" s="130">
        <v>23</v>
      </c>
      <c r="I27" s="132">
        <v>10.7</v>
      </c>
      <c r="J27" s="131">
        <v>1.29</v>
      </c>
      <c r="K27" s="132">
        <v>124</v>
      </c>
      <c r="L27" s="131">
        <v>72.95</v>
      </c>
    </row>
    <row r="28" spans="1:55" ht="11.1" customHeight="1" x14ac:dyDescent="0.2">
      <c r="A28" s="129">
        <v>2200</v>
      </c>
      <c r="B28" s="130">
        <v>1992</v>
      </c>
      <c r="C28" s="130">
        <v>1934</v>
      </c>
      <c r="D28" s="130">
        <v>62</v>
      </c>
      <c r="E28" s="131">
        <v>0.31</v>
      </c>
      <c r="F28" s="132">
        <v>1.7</v>
      </c>
      <c r="G28" s="131">
        <v>2.65</v>
      </c>
      <c r="H28" s="130">
        <v>23</v>
      </c>
      <c r="I28" s="132">
        <v>11.9</v>
      </c>
      <c r="J28" s="131">
        <v>1.28</v>
      </c>
      <c r="K28" s="132">
        <v>138</v>
      </c>
      <c r="L28" s="131">
        <v>81.3</v>
      </c>
    </row>
    <row r="29" spans="1:55" ht="11.1" customHeight="1" x14ac:dyDescent="0.2">
      <c r="A29" s="129">
        <v>2220</v>
      </c>
      <c r="B29" s="130">
        <v>2192</v>
      </c>
      <c r="C29" s="130">
        <v>2134</v>
      </c>
      <c r="D29" s="130">
        <v>62</v>
      </c>
      <c r="E29" s="131">
        <v>0.34</v>
      </c>
      <c r="F29" s="132">
        <v>1.9</v>
      </c>
      <c r="G29" s="131">
        <v>2.92</v>
      </c>
      <c r="H29" s="130">
        <v>23</v>
      </c>
      <c r="I29" s="132">
        <v>13</v>
      </c>
      <c r="J29" s="131">
        <v>1.28</v>
      </c>
      <c r="K29" s="132">
        <v>151</v>
      </c>
      <c r="L29" s="131">
        <v>89.15</v>
      </c>
    </row>
    <row r="30" spans="1:55" ht="11.1" customHeight="1" x14ac:dyDescent="0.2">
      <c r="A30" s="129">
        <v>2250</v>
      </c>
      <c r="B30" s="130">
        <v>2492</v>
      </c>
      <c r="C30" s="130">
        <v>2434</v>
      </c>
      <c r="D30" s="130">
        <v>62</v>
      </c>
      <c r="E30" s="131">
        <v>0.39</v>
      </c>
      <c r="F30" s="132">
        <v>2.1</v>
      </c>
      <c r="G30" s="131">
        <v>3.31</v>
      </c>
      <c r="H30" s="130">
        <v>23</v>
      </c>
      <c r="I30" s="132">
        <v>14.7</v>
      </c>
      <c r="J30" s="131">
        <v>1.28</v>
      </c>
      <c r="K30" s="132">
        <v>171</v>
      </c>
      <c r="L30" s="131">
        <v>100.4</v>
      </c>
    </row>
    <row r="31" spans="1:55" ht="12" customHeight="1" x14ac:dyDescent="0.2">
      <c r="A31" s="129">
        <v>2280</v>
      </c>
      <c r="B31" s="130">
        <v>2792</v>
      </c>
      <c r="C31" s="130">
        <v>2734</v>
      </c>
      <c r="D31" s="130">
        <v>62</v>
      </c>
      <c r="E31" s="131">
        <v>0.44</v>
      </c>
      <c r="F31" s="132">
        <v>2.4</v>
      </c>
      <c r="G31" s="131">
        <v>3.7</v>
      </c>
      <c r="H31" s="130">
        <v>23</v>
      </c>
      <c r="I31" s="132">
        <v>16.3</v>
      </c>
      <c r="J31" s="131">
        <v>1.27</v>
      </c>
      <c r="K31" s="132">
        <v>189</v>
      </c>
      <c r="L31" s="131">
        <v>113.15</v>
      </c>
    </row>
    <row r="32" spans="1:55" ht="12.95" customHeight="1" x14ac:dyDescent="0.2">
      <c r="A32" s="133">
        <v>2300</v>
      </c>
      <c r="B32" s="134">
        <v>2992</v>
      </c>
      <c r="C32" s="134">
        <v>2934</v>
      </c>
      <c r="D32" s="134">
        <v>62</v>
      </c>
      <c r="E32" s="135">
        <v>0.47</v>
      </c>
      <c r="F32" s="136">
        <v>2.5</v>
      </c>
      <c r="G32" s="135">
        <v>3.97</v>
      </c>
      <c r="H32" s="134">
        <v>23</v>
      </c>
      <c r="I32" s="136">
        <v>17.3</v>
      </c>
      <c r="J32" s="135">
        <v>1.27</v>
      </c>
      <c r="K32" s="136">
        <v>201</v>
      </c>
      <c r="L32" s="135">
        <v>120.75</v>
      </c>
    </row>
    <row r="33" spans="1:16" ht="14.1" customHeight="1" x14ac:dyDescent="0.2">
      <c r="A33" s="305" t="s">
        <v>209</v>
      </c>
      <c r="B33" s="305"/>
      <c r="C33" s="305"/>
      <c r="D33" s="305"/>
      <c r="E33" s="305"/>
      <c r="F33" s="305"/>
      <c r="G33" s="305"/>
      <c r="H33" s="305"/>
      <c r="I33" s="305"/>
      <c r="J33" s="305"/>
      <c r="K33" s="305"/>
      <c r="L33" s="305"/>
    </row>
    <row r="34" spans="1:16" ht="214.35" customHeight="1" x14ac:dyDescent="0.2">
      <c r="A34" s="306" t="s">
        <v>195</v>
      </c>
      <c r="B34" s="306"/>
      <c r="C34" s="306"/>
      <c r="D34" s="306"/>
      <c r="E34" s="306"/>
      <c r="F34" s="306"/>
      <c r="G34" s="306"/>
      <c r="H34" s="306"/>
      <c r="I34" s="306"/>
      <c r="J34" s="306"/>
      <c r="K34" s="306"/>
    </row>
    <row r="35" spans="1:16" x14ac:dyDescent="0.2">
      <c r="A35" s="307" t="s">
        <v>196</v>
      </c>
      <c r="B35" s="307"/>
      <c r="C35" s="307"/>
      <c r="D35" s="307"/>
      <c r="E35" s="307"/>
      <c r="F35" s="307"/>
      <c r="G35" s="307"/>
      <c r="H35" s="307"/>
      <c r="I35" s="307"/>
      <c r="J35" s="307"/>
      <c r="K35" s="307"/>
    </row>
    <row r="36" spans="1:16" ht="14.1" customHeight="1" x14ac:dyDescent="0.2">
      <c r="A36" s="305" t="s">
        <v>197</v>
      </c>
      <c r="B36" s="305"/>
      <c r="C36" s="305"/>
      <c r="D36" s="305"/>
      <c r="E36" s="305"/>
      <c r="F36" s="305"/>
      <c r="G36" s="305"/>
      <c r="H36" s="305"/>
      <c r="I36" s="305"/>
      <c r="J36" s="305"/>
      <c r="K36" s="305"/>
      <c r="L36" s="305"/>
    </row>
    <row r="37" spans="1:16" ht="29.1" customHeight="1" x14ac:dyDescent="0.2">
      <c r="A37" s="120" t="s">
        <v>198</v>
      </c>
      <c r="B37" s="121" t="s">
        <v>199</v>
      </c>
      <c r="C37" s="122" t="s">
        <v>200</v>
      </c>
      <c r="D37" s="122" t="s">
        <v>201</v>
      </c>
      <c r="E37" s="122" t="s">
        <v>202</v>
      </c>
      <c r="F37" s="122" t="s">
        <v>203</v>
      </c>
      <c r="G37" s="122" t="s">
        <v>204</v>
      </c>
      <c r="H37" s="122" t="s">
        <v>205</v>
      </c>
      <c r="I37" s="123" t="s">
        <v>206</v>
      </c>
      <c r="J37" s="124" t="s">
        <v>207</v>
      </c>
      <c r="K37" s="122" t="s">
        <v>208</v>
      </c>
      <c r="L37" s="151" t="s">
        <v>348</v>
      </c>
    </row>
    <row r="38" spans="1:16" ht="11.1" customHeight="1" x14ac:dyDescent="0.2">
      <c r="A38" s="125">
        <v>3026</v>
      </c>
      <c r="B38" s="126">
        <v>260</v>
      </c>
      <c r="C38" s="126">
        <v>194</v>
      </c>
      <c r="D38" s="126">
        <v>100</v>
      </c>
      <c r="E38" s="127">
        <v>0.06</v>
      </c>
      <c r="F38" s="128">
        <v>0.5</v>
      </c>
      <c r="G38" s="127">
        <v>0.56000000000000005</v>
      </c>
      <c r="H38" s="126">
        <v>21</v>
      </c>
      <c r="I38" s="128">
        <v>2.4</v>
      </c>
      <c r="J38" s="127">
        <v>1.28</v>
      </c>
      <c r="K38" s="128">
        <v>27.9</v>
      </c>
      <c r="L38" s="127">
        <v>34.450000000000003</v>
      </c>
      <c r="P38" s="146"/>
    </row>
    <row r="39" spans="1:16" ht="11.1" customHeight="1" x14ac:dyDescent="0.2">
      <c r="A39" s="129">
        <v>3030</v>
      </c>
      <c r="B39" s="130">
        <v>300</v>
      </c>
      <c r="C39" s="130">
        <v>234</v>
      </c>
      <c r="D39" s="130">
        <v>100</v>
      </c>
      <c r="E39" s="131">
        <v>7.0000000000000007E-2</v>
      </c>
      <c r="F39" s="132">
        <v>0.6</v>
      </c>
      <c r="G39" s="131">
        <v>0.63</v>
      </c>
      <c r="H39" s="130">
        <v>20</v>
      </c>
      <c r="I39" s="132">
        <v>2.8</v>
      </c>
      <c r="J39" s="131">
        <v>1.28</v>
      </c>
      <c r="K39" s="132">
        <v>32</v>
      </c>
      <c r="L39" s="131">
        <v>35.35</v>
      </c>
      <c r="P39" s="146"/>
    </row>
    <row r="40" spans="1:16" ht="11.1" customHeight="1" x14ac:dyDescent="0.2">
      <c r="A40" s="129">
        <v>3035</v>
      </c>
      <c r="B40" s="130">
        <v>350</v>
      </c>
      <c r="C40" s="130">
        <v>284</v>
      </c>
      <c r="D40" s="130">
        <v>100</v>
      </c>
      <c r="E40" s="131">
        <v>0.08</v>
      </c>
      <c r="F40" s="132">
        <v>0.6</v>
      </c>
      <c r="G40" s="131">
        <v>0.73</v>
      </c>
      <c r="H40" s="130">
        <v>20</v>
      </c>
      <c r="I40" s="132">
        <v>3.2</v>
      </c>
      <c r="J40" s="131">
        <v>1.28</v>
      </c>
      <c r="K40" s="132">
        <v>37</v>
      </c>
      <c r="L40" s="131">
        <v>36.4</v>
      </c>
      <c r="P40" s="146"/>
    </row>
    <row r="41" spans="1:16" ht="12" customHeight="1" x14ac:dyDescent="0.2">
      <c r="A41" s="129">
        <v>3040</v>
      </c>
      <c r="B41" s="130">
        <v>400</v>
      </c>
      <c r="C41" s="130">
        <v>334</v>
      </c>
      <c r="D41" s="130">
        <v>100</v>
      </c>
      <c r="E41" s="131">
        <v>0.09</v>
      </c>
      <c r="F41" s="132">
        <v>0.7</v>
      </c>
      <c r="G41" s="131">
        <v>0.83</v>
      </c>
      <c r="H41" s="130">
        <v>19</v>
      </c>
      <c r="I41" s="132">
        <v>3.6</v>
      </c>
      <c r="J41" s="131">
        <v>1.28</v>
      </c>
      <c r="K41" s="132">
        <v>41.9</v>
      </c>
      <c r="L41" s="131">
        <v>37.6</v>
      </c>
      <c r="P41" s="146"/>
    </row>
    <row r="42" spans="1:16" ht="12.95" customHeight="1" x14ac:dyDescent="0.2">
      <c r="A42" s="129">
        <v>3045</v>
      </c>
      <c r="B42" s="130">
        <v>450</v>
      </c>
      <c r="C42" s="130">
        <v>384</v>
      </c>
      <c r="D42" s="130">
        <v>100</v>
      </c>
      <c r="E42" s="131">
        <v>0.1</v>
      </c>
      <c r="F42" s="132">
        <v>0.7</v>
      </c>
      <c r="G42" s="131">
        <v>0.93</v>
      </c>
      <c r="H42" s="130">
        <v>19</v>
      </c>
      <c r="I42" s="132">
        <v>4</v>
      </c>
      <c r="J42" s="131">
        <v>1.27</v>
      </c>
      <c r="K42" s="132">
        <v>46.8</v>
      </c>
      <c r="L42" s="131">
        <v>38.049999999999997</v>
      </c>
      <c r="P42" s="146"/>
    </row>
    <row r="43" spans="1:16" ht="11.1" customHeight="1" x14ac:dyDescent="0.2">
      <c r="A43" s="129">
        <v>3050</v>
      </c>
      <c r="B43" s="130">
        <v>500</v>
      </c>
      <c r="C43" s="130">
        <v>434</v>
      </c>
      <c r="D43" s="130">
        <v>100</v>
      </c>
      <c r="E43" s="131">
        <v>0.11</v>
      </c>
      <c r="F43" s="132">
        <v>0.8</v>
      </c>
      <c r="G43" s="131">
        <v>1.03</v>
      </c>
      <c r="H43" s="130">
        <v>18</v>
      </c>
      <c r="I43" s="132">
        <v>4.4000000000000004</v>
      </c>
      <c r="J43" s="131">
        <v>1.27</v>
      </c>
      <c r="K43" s="132">
        <v>51.6</v>
      </c>
      <c r="L43" s="131">
        <v>38.4</v>
      </c>
      <c r="P43" s="146"/>
    </row>
    <row r="44" spans="1:16" ht="11.1" customHeight="1" x14ac:dyDescent="0.2">
      <c r="A44" s="129">
        <v>3055</v>
      </c>
      <c r="B44" s="130">
        <v>550</v>
      </c>
      <c r="C44" s="130">
        <v>484</v>
      </c>
      <c r="D44" s="130">
        <v>100</v>
      </c>
      <c r="E44" s="131">
        <v>0.12</v>
      </c>
      <c r="F44" s="132">
        <v>0.9</v>
      </c>
      <c r="G44" s="131">
        <v>1.1299999999999999</v>
      </c>
      <c r="H44" s="130">
        <v>18</v>
      </c>
      <c r="I44" s="132">
        <v>4.8</v>
      </c>
      <c r="J44" s="131">
        <v>1.27</v>
      </c>
      <c r="K44" s="132">
        <v>56.3</v>
      </c>
      <c r="L44" s="131">
        <v>39.5</v>
      </c>
      <c r="P44" s="146"/>
    </row>
    <row r="45" spans="1:16" ht="9.9499999999999993" customHeight="1" x14ac:dyDescent="0.2">
      <c r="A45" s="129">
        <v>3060</v>
      </c>
      <c r="B45" s="130">
        <v>600</v>
      </c>
      <c r="C45" s="130">
        <v>534</v>
      </c>
      <c r="D45" s="130">
        <v>100</v>
      </c>
      <c r="E45" s="131">
        <v>0.14000000000000001</v>
      </c>
      <c r="F45" s="132">
        <v>0.9</v>
      </c>
      <c r="G45" s="131">
        <v>1.23</v>
      </c>
      <c r="H45" s="130">
        <v>18</v>
      </c>
      <c r="I45" s="132">
        <v>5.2</v>
      </c>
      <c r="J45" s="131">
        <v>1.27</v>
      </c>
      <c r="K45" s="132">
        <v>60.9</v>
      </c>
      <c r="L45" s="131">
        <v>40.6</v>
      </c>
      <c r="P45" s="146"/>
    </row>
    <row r="46" spans="1:16" ht="12.95" customHeight="1" x14ac:dyDescent="0.2">
      <c r="A46" s="129">
        <v>3075</v>
      </c>
      <c r="B46" s="130">
        <v>750</v>
      </c>
      <c r="C46" s="130">
        <v>684</v>
      </c>
      <c r="D46" s="130">
        <v>100</v>
      </c>
      <c r="E46" s="131">
        <v>0.17</v>
      </c>
      <c r="F46" s="132">
        <v>1.1000000000000001</v>
      </c>
      <c r="G46" s="131">
        <v>1.52</v>
      </c>
      <c r="H46" s="130">
        <v>18</v>
      </c>
      <c r="I46" s="132">
        <v>6.4</v>
      </c>
      <c r="J46" s="131">
        <v>1.26</v>
      </c>
      <c r="K46" s="132">
        <v>74.3</v>
      </c>
      <c r="L46" s="131">
        <v>43.65</v>
      </c>
      <c r="P46" s="146"/>
    </row>
    <row r="47" spans="1:16" ht="12" customHeight="1" x14ac:dyDescent="0.2">
      <c r="A47" s="129">
        <v>3090</v>
      </c>
      <c r="B47" s="130">
        <v>900</v>
      </c>
      <c r="C47" s="130">
        <v>834</v>
      </c>
      <c r="D47" s="130">
        <v>100</v>
      </c>
      <c r="E47" s="131">
        <v>0.21</v>
      </c>
      <c r="F47" s="132">
        <v>1.3</v>
      </c>
      <c r="G47" s="131">
        <v>1.81</v>
      </c>
      <c r="H47" s="130">
        <v>18</v>
      </c>
      <c r="I47" s="132">
        <v>7.5</v>
      </c>
      <c r="J47" s="131">
        <v>1.25</v>
      </c>
      <c r="K47" s="132">
        <v>87</v>
      </c>
      <c r="L47" s="131">
        <v>48</v>
      </c>
      <c r="P47" s="146"/>
    </row>
    <row r="48" spans="1:16" ht="11.1" customHeight="1" x14ac:dyDescent="0.2">
      <c r="A48" s="129">
        <v>3100</v>
      </c>
      <c r="B48" s="130">
        <v>1000</v>
      </c>
      <c r="C48" s="130">
        <v>934</v>
      </c>
      <c r="D48" s="130">
        <v>100</v>
      </c>
      <c r="E48" s="131">
        <v>0.23</v>
      </c>
      <c r="F48" s="132">
        <v>1.4</v>
      </c>
      <c r="G48" s="131">
        <v>2.0099999999999998</v>
      </c>
      <c r="H48" s="130">
        <v>18</v>
      </c>
      <c r="I48" s="132">
        <v>8.1999999999999993</v>
      </c>
      <c r="J48" s="131">
        <v>1.25</v>
      </c>
      <c r="K48" s="132">
        <v>95.1</v>
      </c>
      <c r="L48" s="131">
        <v>51.4</v>
      </c>
      <c r="P48" s="146"/>
    </row>
    <row r="49" spans="1:16" ht="11.1" customHeight="1" x14ac:dyDescent="0.2">
      <c r="A49" s="129">
        <v>3110</v>
      </c>
      <c r="B49" s="130">
        <v>1100</v>
      </c>
      <c r="C49" s="130">
        <v>1034</v>
      </c>
      <c r="D49" s="130">
        <v>100</v>
      </c>
      <c r="E49" s="131">
        <v>0.25</v>
      </c>
      <c r="F49" s="132">
        <v>1.5</v>
      </c>
      <c r="G49" s="131">
        <v>2.21</v>
      </c>
      <c r="H49" s="130">
        <v>18</v>
      </c>
      <c r="I49" s="132">
        <v>8.9</v>
      </c>
      <c r="J49" s="131">
        <v>1.25</v>
      </c>
      <c r="K49" s="132">
        <v>103</v>
      </c>
      <c r="L49" s="131">
        <v>57.8</v>
      </c>
      <c r="P49" s="146"/>
    </row>
    <row r="50" spans="1:16" ht="11.1" customHeight="1" x14ac:dyDescent="0.2">
      <c r="A50" s="129">
        <v>3120</v>
      </c>
      <c r="B50" s="130">
        <v>1200</v>
      </c>
      <c r="C50" s="130">
        <v>1134</v>
      </c>
      <c r="D50" s="130">
        <v>100</v>
      </c>
      <c r="E50" s="131">
        <v>0.28000000000000003</v>
      </c>
      <c r="F50" s="132">
        <v>1.6</v>
      </c>
      <c r="G50" s="131">
        <v>2.4</v>
      </c>
      <c r="H50" s="130">
        <v>18</v>
      </c>
      <c r="I50" s="132">
        <v>9.9</v>
      </c>
      <c r="J50" s="131">
        <v>1.31</v>
      </c>
      <c r="K50" s="132">
        <v>115</v>
      </c>
      <c r="L50" s="131">
        <v>68.5</v>
      </c>
      <c r="P50" s="146"/>
    </row>
    <row r="51" spans="1:16" ht="12" customHeight="1" x14ac:dyDescent="0.2">
      <c r="A51" s="129">
        <v>3150</v>
      </c>
      <c r="B51" s="130">
        <v>1500</v>
      </c>
      <c r="C51" s="130">
        <v>1434</v>
      </c>
      <c r="D51" s="130">
        <v>100</v>
      </c>
      <c r="E51" s="131">
        <v>0.35</v>
      </c>
      <c r="F51" s="132">
        <v>2</v>
      </c>
      <c r="G51" s="131">
        <v>2.99</v>
      </c>
      <c r="H51" s="130">
        <v>18</v>
      </c>
      <c r="I51" s="132">
        <v>12</v>
      </c>
      <c r="J51" s="131">
        <v>1.31</v>
      </c>
      <c r="K51" s="132">
        <v>140</v>
      </c>
      <c r="L51" s="131">
        <v>87.9</v>
      </c>
      <c r="P51" s="146"/>
    </row>
    <row r="52" spans="1:16" ht="12.95" customHeight="1" x14ac:dyDescent="0.2">
      <c r="A52" s="129">
        <v>3180</v>
      </c>
      <c r="B52" s="130">
        <v>1800</v>
      </c>
      <c r="C52" s="130">
        <v>1734</v>
      </c>
      <c r="D52" s="130">
        <v>100</v>
      </c>
      <c r="E52" s="131">
        <v>0.42</v>
      </c>
      <c r="F52" s="132">
        <v>2.4</v>
      </c>
      <c r="G52" s="131">
        <v>3.58</v>
      </c>
      <c r="H52" s="130">
        <v>18</v>
      </c>
      <c r="I52" s="132">
        <v>14.3</v>
      </c>
      <c r="J52" s="131">
        <v>1.32</v>
      </c>
      <c r="K52" s="132">
        <v>166</v>
      </c>
      <c r="L52" s="131">
        <v>108.35</v>
      </c>
      <c r="P52" s="146"/>
    </row>
    <row r="53" spans="1:16" ht="11.1" customHeight="1" x14ac:dyDescent="0.2">
      <c r="A53" s="129">
        <v>3200</v>
      </c>
      <c r="B53" s="130">
        <v>2000</v>
      </c>
      <c r="C53" s="130">
        <v>1934</v>
      </c>
      <c r="D53" s="130">
        <v>100</v>
      </c>
      <c r="E53" s="131">
        <v>0.47</v>
      </c>
      <c r="F53" s="132">
        <v>2.6</v>
      </c>
      <c r="G53" s="131">
        <v>3.97</v>
      </c>
      <c r="H53" s="130">
        <v>18</v>
      </c>
      <c r="I53" s="132">
        <v>15.7</v>
      </c>
      <c r="J53" s="131">
        <v>1.32</v>
      </c>
      <c r="K53" s="132">
        <v>183</v>
      </c>
      <c r="L53" s="131">
        <v>115.7</v>
      </c>
      <c r="P53" s="146"/>
    </row>
    <row r="54" spans="1:16" ht="11.1" customHeight="1" x14ac:dyDescent="0.2">
      <c r="A54" s="129">
        <v>3220</v>
      </c>
      <c r="B54" s="130">
        <v>2200</v>
      </c>
      <c r="C54" s="130">
        <v>2134</v>
      </c>
      <c r="D54" s="130">
        <v>100</v>
      </c>
      <c r="E54" s="131">
        <v>0.51</v>
      </c>
      <c r="F54" s="132">
        <v>2.9</v>
      </c>
      <c r="G54" s="131">
        <v>4.3600000000000003</v>
      </c>
      <c r="H54" s="130">
        <v>18</v>
      </c>
      <c r="I54" s="132">
        <v>17.2</v>
      </c>
      <c r="J54" s="131">
        <v>1.32</v>
      </c>
      <c r="K54" s="132">
        <v>200</v>
      </c>
      <c r="L54" s="131">
        <v>128.69999999999999</v>
      </c>
      <c r="P54" s="146"/>
    </row>
    <row r="55" spans="1:16" ht="11.1" customHeight="1" x14ac:dyDescent="0.2">
      <c r="A55" s="129">
        <v>3250</v>
      </c>
      <c r="B55" s="130">
        <v>2500</v>
      </c>
      <c r="C55" s="130">
        <v>2434</v>
      </c>
      <c r="D55" s="130">
        <v>100</v>
      </c>
      <c r="E55" s="131">
        <v>0.57999999999999996</v>
      </c>
      <c r="F55" s="132">
        <v>3.2</v>
      </c>
      <c r="G55" s="131">
        <v>4.95</v>
      </c>
      <c r="H55" s="130">
        <v>18</v>
      </c>
      <c r="I55" s="132">
        <v>19.399999999999999</v>
      </c>
      <c r="J55" s="131">
        <v>1.32</v>
      </c>
      <c r="K55" s="132">
        <v>225</v>
      </c>
      <c r="L55" s="131">
        <v>147.4</v>
      </c>
      <c r="P55" s="146"/>
    </row>
    <row r="56" spans="1:16" ht="12" customHeight="1" x14ac:dyDescent="0.2">
      <c r="A56" s="129">
        <v>3280</v>
      </c>
      <c r="B56" s="130">
        <v>2800</v>
      </c>
      <c r="C56" s="130">
        <v>2734</v>
      </c>
      <c r="D56" s="130">
        <v>100</v>
      </c>
      <c r="E56" s="131">
        <v>0.65</v>
      </c>
      <c r="F56" s="132">
        <v>3.6</v>
      </c>
      <c r="G56" s="131">
        <v>5.54</v>
      </c>
      <c r="H56" s="130">
        <v>18</v>
      </c>
      <c r="I56" s="132">
        <v>21.6</v>
      </c>
      <c r="J56" s="131">
        <v>1.33</v>
      </c>
      <c r="K56" s="132">
        <v>251</v>
      </c>
      <c r="L56" s="131">
        <v>164.85</v>
      </c>
      <c r="P56" s="146"/>
    </row>
    <row r="57" spans="1:16" ht="12.95" customHeight="1" x14ac:dyDescent="0.2">
      <c r="A57" s="133">
        <v>3300</v>
      </c>
      <c r="B57" s="134">
        <v>3000</v>
      </c>
      <c r="C57" s="134">
        <v>2934</v>
      </c>
      <c r="D57" s="134">
        <v>100</v>
      </c>
      <c r="E57" s="135">
        <v>0.7</v>
      </c>
      <c r="F57" s="136">
        <v>3.9</v>
      </c>
      <c r="G57" s="135">
        <v>5.93</v>
      </c>
      <c r="H57" s="134">
        <v>18</v>
      </c>
      <c r="I57" s="136">
        <v>23.1</v>
      </c>
      <c r="J57" s="135">
        <v>1.33</v>
      </c>
      <c r="K57" s="136">
        <v>269</v>
      </c>
      <c r="L57" s="135">
        <v>177.3</v>
      </c>
      <c r="P57" s="146"/>
    </row>
    <row r="58" spans="1:16" ht="14.1" customHeight="1" x14ac:dyDescent="0.2">
      <c r="A58" s="305" t="s">
        <v>210</v>
      </c>
      <c r="B58" s="305"/>
      <c r="C58" s="305"/>
      <c r="D58" s="305"/>
      <c r="E58" s="305"/>
      <c r="F58" s="305"/>
      <c r="G58" s="305"/>
      <c r="H58" s="305"/>
      <c r="I58" s="305"/>
      <c r="J58" s="305"/>
      <c r="K58" s="305"/>
      <c r="L58" s="305"/>
    </row>
    <row r="59" spans="1:16" ht="214.35" customHeight="1" x14ac:dyDescent="0.2">
      <c r="A59" s="306" t="s">
        <v>195</v>
      </c>
      <c r="B59" s="306"/>
      <c r="C59" s="306"/>
      <c r="D59" s="306"/>
      <c r="E59" s="306"/>
      <c r="F59" s="306"/>
      <c r="G59" s="306"/>
      <c r="H59" s="306"/>
      <c r="I59" s="306"/>
      <c r="J59" s="306"/>
      <c r="K59" s="306"/>
    </row>
    <row r="60" spans="1:16" x14ac:dyDescent="0.2">
      <c r="A60" s="307" t="s">
        <v>196</v>
      </c>
      <c r="B60" s="307"/>
      <c r="C60" s="307"/>
      <c r="D60" s="307"/>
      <c r="E60" s="307"/>
      <c r="F60" s="307"/>
      <c r="G60" s="307"/>
      <c r="H60" s="307"/>
      <c r="I60" s="307"/>
      <c r="J60" s="307"/>
      <c r="K60" s="307"/>
    </row>
    <row r="61" spans="1:16" ht="14.1" customHeight="1" x14ac:dyDescent="0.2">
      <c r="A61" s="305" t="s">
        <v>197</v>
      </c>
      <c r="B61" s="305"/>
      <c r="C61" s="305"/>
      <c r="D61" s="305"/>
      <c r="E61" s="305"/>
      <c r="F61" s="305"/>
      <c r="G61" s="305"/>
      <c r="H61" s="305"/>
      <c r="I61" s="305"/>
      <c r="J61" s="305"/>
      <c r="K61" s="305"/>
      <c r="L61" s="305"/>
    </row>
    <row r="62" spans="1:16" ht="29.1" customHeight="1" x14ac:dyDescent="0.2">
      <c r="A62" s="120" t="s">
        <v>198</v>
      </c>
      <c r="B62" s="121" t="s">
        <v>199</v>
      </c>
      <c r="C62" s="122" t="s">
        <v>200</v>
      </c>
      <c r="D62" s="122" t="s">
        <v>201</v>
      </c>
      <c r="E62" s="122" t="s">
        <v>202</v>
      </c>
      <c r="F62" s="122" t="s">
        <v>203</v>
      </c>
      <c r="G62" s="122" t="s">
        <v>204</v>
      </c>
      <c r="H62" s="122" t="s">
        <v>205</v>
      </c>
      <c r="I62" s="123" t="s">
        <v>206</v>
      </c>
      <c r="J62" s="124" t="s">
        <v>207</v>
      </c>
      <c r="K62" s="122" t="s">
        <v>208</v>
      </c>
      <c r="L62" s="151" t="s">
        <v>348</v>
      </c>
    </row>
    <row r="63" spans="1:16" ht="11.1" customHeight="1" x14ac:dyDescent="0.2">
      <c r="A63" s="125">
        <v>4026</v>
      </c>
      <c r="B63" s="126">
        <v>260</v>
      </c>
      <c r="C63" s="126">
        <v>194</v>
      </c>
      <c r="D63" s="126">
        <v>136</v>
      </c>
      <c r="E63" s="127">
        <v>0.08</v>
      </c>
      <c r="F63" s="128">
        <v>0.7</v>
      </c>
      <c r="G63" s="127">
        <v>0.77</v>
      </c>
      <c r="H63" s="126">
        <v>18</v>
      </c>
      <c r="I63" s="128">
        <v>3.1</v>
      </c>
      <c r="J63" s="127">
        <v>1.28</v>
      </c>
      <c r="K63" s="128">
        <v>36.5</v>
      </c>
      <c r="L63" s="127">
        <v>38.4</v>
      </c>
    </row>
    <row r="64" spans="1:16" ht="11.1" customHeight="1" x14ac:dyDescent="0.2">
      <c r="A64" s="129">
        <v>4030</v>
      </c>
      <c r="B64" s="130">
        <v>300</v>
      </c>
      <c r="C64" s="130">
        <v>234</v>
      </c>
      <c r="D64" s="130">
        <v>136</v>
      </c>
      <c r="E64" s="131">
        <v>0.09</v>
      </c>
      <c r="F64" s="132">
        <v>0.7</v>
      </c>
      <c r="G64" s="131">
        <v>0.88</v>
      </c>
      <c r="H64" s="130">
        <v>18</v>
      </c>
      <c r="I64" s="132">
        <v>3.6</v>
      </c>
      <c r="J64" s="131">
        <v>1.28</v>
      </c>
      <c r="K64" s="132">
        <v>41.9</v>
      </c>
      <c r="L64" s="131">
        <v>39.549999999999997</v>
      </c>
    </row>
    <row r="65" spans="1:12" ht="11.1" customHeight="1" x14ac:dyDescent="0.2">
      <c r="A65" s="129">
        <v>4035</v>
      </c>
      <c r="B65" s="130">
        <v>350</v>
      </c>
      <c r="C65" s="130">
        <v>284</v>
      </c>
      <c r="D65" s="130">
        <v>136</v>
      </c>
      <c r="E65" s="131">
        <v>0.11</v>
      </c>
      <c r="F65" s="132">
        <v>0.8</v>
      </c>
      <c r="G65" s="131">
        <v>1.01</v>
      </c>
      <c r="H65" s="130">
        <v>17</v>
      </c>
      <c r="I65" s="132">
        <v>4.2</v>
      </c>
      <c r="J65" s="131">
        <v>1.28</v>
      </c>
      <c r="K65" s="132">
        <v>48.5</v>
      </c>
      <c r="L65" s="131">
        <v>41.1</v>
      </c>
    </row>
    <row r="66" spans="1:12" ht="12" customHeight="1" x14ac:dyDescent="0.2">
      <c r="A66" s="129">
        <v>4040</v>
      </c>
      <c r="B66" s="130">
        <v>400</v>
      </c>
      <c r="C66" s="130">
        <v>334</v>
      </c>
      <c r="D66" s="130">
        <v>136</v>
      </c>
      <c r="E66" s="131">
        <v>0.12</v>
      </c>
      <c r="F66" s="132">
        <v>0.9</v>
      </c>
      <c r="G66" s="131">
        <v>1.1599999999999999</v>
      </c>
      <c r="H66" s="130">
        <v>16</v>
      </c>
      <c r="I66" s="132">
        <v>4.7</v>
      </c>
      <c r="J66" s="131">
        <v>1.28</v>
      </c>
      <c r="K66" s="132">
        <v>54.9</v>
      </c>
      <c r="L66" s="131">
        <v>42.45</v>
      </c>
    </row>
    <row r="67" spans="1:12" ht="12.95" customHeight="1" x14ac:dyDescent="0.2">
      <c r="A67" s="129">
        <v>4045</v>
      </c>
      <c r="B67" s="130">
        <v>450</v>
      </c>
      <c r="C67" s="130">
        <v>384</v>
      </c>
      <c r="D67" s="130">
        <v>136</v>
      </c>
      <c r="E67" s="131">
        <v>0.14000000000000001</v>
      </c>
      <c r="F67" s="132">
        <v>1</v>
      </c>
      <c r="G67" s="131">
        <v>1.29</v>
      </c>
      <c r="H67" s="130">
        <v>16</v>
      </c>
      <c r="I67" s="132">
        <v>5.3</v>
      </c>
      <c r="J67" s="131">
        <v>1.27</v>
      </c>
      <c r="K67" s="132">
        <v>61.3</v>
      </c>
      <c r="L67" s="131">
        <v>46.55</v>
      </c>
    </row>
    <row r="68" spans="1:12" ht="11.1" customHeight="1" x14ac:dyDescent="0.2">
      <c r="A68" s="129">
        <v>4050</v>
      </c>
      <c r="B68" s="130">
        <v>500</v>
      </c>
      <c r="C68" s="130">
        <v>434</v>
      </c>
      <c r="D68" s="130">
        <v>136</v>
      </c>
      <c r="E68" s="131">
        <v>0.15</v>
      </c>
      <c r="F68" s="132">
        <v>1</v>
      </c>
      <c r="G68" s="131">
        <v>1.42</v>
      </c>
      <c r="H68" s="130">
        <v>16</v>
      </c>
      <c r="I68" s="132">
        <v>5.8</v>
      </c>
      <c r="J68" s="131">
        <v>1.27</v>
      </c>
      <c r="K68" s="132">
        <v>67.599999999999994</v>
      </c>
      <c r="L68" s="131">
        <v>47.7</v>
      </c>
    </row>
    <row r="69" spans="1:12" ht="11.1" customHeight="1" x14ac:dyDescent="0.2">
      <c r="A69" s="129">
        <v>4055</v>
      </c>
      <c r="B69" s="130">
        <v>550</v>
      </c>
      <c r="C69" s="130">
        <v>484</v>
      </c>
      <c r="D69" s="130">
        <v>136</v>
      </c>
      <c r="E69" s="131">
        <v>0.17</v>
      </c>
      <c r="F69" s="132">
        <v>1.1000000000000001</v>
      </c>
      <c r="G69" s="131">
        <v>1.55</v>
      </c>
      <c r="H69" s="130">
        <v>16</v>
      </c>
      <c r="I69" s="132">
        <v>6.3</v>
      </c>
      <c r="J69" s="131">
        <v>1.27</v>
      </c>
      <c r="K69" s="132">
        <v>73.7</v>
      </c>
      <c r="L69" s="131">
        <v>49.1</v>
      </c>
    </row>
    <row r="70" spans="1:12" ht="9.9499999999999993" customHeight="1" x14ac:dyDescent="0.2">
      <c r="A70" s="129">
        <v>4060</v>
      </c>
      <c r="B70" s="130">
        <v>600</v>
      </c>
      <c r="C70" s="130">
        <v>534</v>
      </c>
      <c r="D70" s="130">
        <v>136</v>
      </c>
      <c r="E70" s="131">
        <v>0.19</v>
      </c>
      <c r="F70" s="132">
        <v>1.2</v>
      </c>
      <c r="G70" s="131">
        <v>1.67</v>
      </c>
      <c r="H70" s="130">
        <v>15</v>
      </c>
      <c r="I70" s="132">
        <v>6.9</v>
      </c>
      <c r="J70" s="131">
        <v>1.27</v>
      </c>
      <c r="K70" s="132">
        <v>79.8</v>
      </c>
      <c r="L70" s="131">
        <v>50.5</v>
      </c>
    </row>
    <row r="71" spans="1:12" ht="12.95" customHeight="1" x14ac:dyDescent="0.2">
      <c r="A71" s="129">
        <v>4075</v>
      </c>
      <c r="B71" s="130">
        <v>750</v>
      </c>
      <c r="C71" s="130">
        <v>684</v>
      </c>
      <c r="D71" s="130">
        <v>136</v>
      </c>
      <c r="E71" s="131">
        <v>0.23</v>
      </c>
      <c r="F71" s="132">
        <v>1.4</v>
      </c>
      <c r="G71" s="131">
        <v>2.06</v>
      </c>
      <c r="H71" s="130">
        <v>15</v>
      </c>
      <c r="I71" s="132">
        <v>8.4</v>
      </c>
      <c r="J71" s="131">
        <v>1.26</v>
      </c>
      <c r="K71" s="132">
        <v>97.4</v>
      </c>
      <c r="L71" s="131">
        <v>55.6</v>
      </c>
    </row>
    <row r="72" spans="1:12" ht="12" customHeight="1" x14ac:dyDescent="0.2">
      <c r="A72" s="129">
        <v>4090</v>
      </c>
      <c r="B72" s="130">
        <v>900</v>
      </c>
      <c r="C72" s="130">
        <v>834</v>
      </c>
      <c r="D72" s="130">
        <v>136</v>
      </c>
      <c r="E72" s="131">
        <v>0.28000000000000003</v>
      </c>
      <c r="F72" s="132">
        <v>1.7</v>
      </c>
      <c r="G72" s="131">
        <v>2.4500000000000002</v>
      </c>
      <c r="H72" s="130">
        <v>15</v>
      </c>
      <c r="I72" s="132">
        <v>9.8000000000000007</v>
      </c>
      <c r="J72" s="131">
        <v>1.25</v>
      </c>
      <c r="K72" s="132">
        <v>114</v>
      </c>
      <c r="L72" s="131">
        <v>63.75</v>
      </c>
    </row>
    <row r="73" spans="1:12" ht="11.1" customHeight="1" x14ac:dyDescent="0.2">
      <c r="A73" s="129">
        <v>4100</v>
      </c>
      <c r="B73" s="130">
        <v>1000</v>
      </c>
      <c r="C73" s="130">
        <v>934</v>
      </c>
      <c r="D73" s="130">
        <v>136</v>
      </c>
      <c r="E73" s="131">
        <v>0.31</v>
      </c>
      <c r="F73" s="132">
        <v>1.8</v>
      </c>
      <c r="G73" s="131">
        <v>2.7</v>
      </c>
      <c r="H73" s="130">
        <v>15</v>
      </c>
      <c r="I73" s="132">
        <v>10.8</v>
      </c>
      <c r="J73" s="131">
        <v>1.25</v>
      </c>
      <c r="K73" s="132">
        <v>125</v>
      </c>
      <c r="L73" s="131">
        <v>68.849999999999994</v>
      </c>
    </row>
    <row r="74" spans="1:12" ht="11.1" customHeight="1" x14ac:dyDescent="0.2">
      <c r="A74" s="129">
        <v>4110</v>
      </c>
      <c r="B74" s="130">
        <v>1100</v>
      </c>
      <c r="C74" s="130">
        <v>1034</v>
      </c>
      <c r="D74" s="130">
        <v>136</v>
      </c>
      <c r="E74" s="131">
        <v>0.34</v>
      </c>
      <c r="F74" s="132">
        <v>2</v>
      </c>
      <c r="G74" s="131">
        <v>2.96</v>
      </c>
      <c r="H74" s="130">
        <v>15</v>
      </c>
      <c r="I74" s="132">
        <v>11.6</v>
      </c>
      <c r="J74" s="131">
        <v>1.25</v>
      </c>
      <c r="K74" s="132">
        <v>135</v>
      </c>
      <c r="L74" s="131">
        <v>76.2</v>
      </c>
    </row>
    <row r="75" spans="1:12" ht="11.1" customHeight="1" x14ac:dyDescent="0.2">
      <c r="A75" s="129">
        <v>4120</v>
      </c>
      <c r="B75" s="130">
        <v>1200</v>
      </c>
      <c r="C75" s="130">
        <v>1134</v>
      </c>
      <c r="D75" s="130">
        <v>136</v>
      </c>
      <c r="E75" s="131">
        <v>0.37</v>
      </c>
      <c r="F75" s="132">
        <v>2.1</v>
      </c>
      <c r="G75" s="131">
        <v>3.22</v>
      </c>
      <c r="H75" s="130">
        <v>15</v>
      </c>
      <c r="I75" s="132">
        <v>12.6</v>
      </c>
      <c r="J75" s="131">
        <v>1.31</v>
      </c>
      <c r="K75" s="132">
        <v>147</v>
      </c>
      <c r="L75" s="131">
        <v>85.95</v>
      </c>
    </row>
    <row r="76" spans="1:12" ht="12" customHeight="1" x14ac:dyDescent="0.2">
      <c r="A76" s="129">
        <v>4150</v>
      </c>
      <c r="B76" s="130">
        <v>1500</v>
      </c>
      <c r="C76" s="130">
        <v>1434</v>
      </c>
      <c r="D76" s="130">
        <v>136</v>
      </c>
      <c r="E76" s="131">
        <v>0.47</v>
      </c>
      <c r="F76" s="132">
        <v>2.6</v>
      </c>
      <c r="G76" s="131">
        <v>3.99</v>
      </c>
      <c r="H76" s="130">
        <v>15</v>
      </c>
      <c r="I76" s="132">
        <v>15.5</v>
      </c>
      <c r="J76" s="131">
        <v>1.31</v>
      </c>
      <c r="K76" s="132">
        <v>180</v>
      </c>
      <c r="L76" s="131">
        <v>105.5</v>
      </c>
    </row>
    <row r="77" spans="1:12" ht="12.95" customHeight="1" x14ac:dyDescent="0.2">
      <c r="A77" s="129">
        <v>4180</v>
      </c>
      <c r="B77" s="130">
        <v>1800</v>
      </c>
      <c r="C77" s="130">
        <v>1734</v>
      </c>
      <c r="D77" s="130">
        <v>136</v>
      </c>
      <c r="E77" s="131">
        <v>0.56000000000000005</v>
      </c>
      <c r="F77" s="132">
        <v>3.1</v>
      </c>
      <c r="G77" s="131">
        <v>4.76</v>
      </c>
      <c r="H77" s="130">
        <v>15</v>
      </c>
      <c r="I77" s="132">
        <v>18.3</v>
      </c>
      <c r="J77" s="131">
        <v>1.32</v>
      </c>
      <c r="K77" s="132">
        <v>213</v>
      </c>
      <c r="L77" s="131">
        <v>137.44999999999999</v>
      </c>
    </row>
    <row r="78" spans="1:12" ht="11.1" customHeight="1" x14ac:dyDescent="0.2">
      <c r="A78" s="129">
        <v>4200</v>
      </c>
      <c r="B78" s="130">
        <v>2000</v>
      </c>
      <c r="C78" s="130">
        <v>1934</v>
      </c>
      <c r="D78" s="130">
        <v>136</v>
      </c>
      <c r="E78" s="131">
        <v>0.63</v>
      </c>
      <c r="F78" s="132">
        <v>3.4</v>
      </c>
      <c r="G78" s="131">
        <v>5.28</v>
      </c>
      <c r="H78" s="130">
        <v>15</v>
      </c>
      <c r="I78" s="132">
        <v>20.100000000000001</v>
      </c>
      <c r="J78" s="131">
        <v>1.32</v>
      </c>
      <c r="K78" s="132">
        <v>234</v>
      </c>
      <c r="L78" s="131">
        <v>153.30000000000001</v>
      </c>
    </row>
    <row r="79" spans="1:12" ht="11.1" customHeight="1" x14ac:dyDescent="0.2">
      <c r="A79" s="129">
        <v>4220</v>
      </c>
      <c r="B79" s="130">
        <v>2200</v>
      </c>
      <c r="C79" s="130">
        <v>2134</v>
      </c>
      <c r="D79" s="130">
        <v>136</v>
      </c>
      <c r="E79" s="131">
        <v>0.69</v>
      </c>
      <c r="F79" s="132">
        <v>3.8</v>
      </c>
      <c r="G79" s="131">
        <v>5.79</v>
      </c>
      <c r="H79" s="130">
        <v>15</v>
      </c>
      <c r="I79" s="132">
        <v>22</v>
      </c>
      <c r="J79" s="131">
        <v>1.32</v>
      </c>
      <c r="K79" s="132">
        <v>256</v>
      </c>
      <c r="L79" s="131">
        <v>168</v>
      </c>
    </row>
    <row r="80" spans="1:12" ht="11.1" customHeight="1" x14ac:dyDescent="0.2">
      <c r="A80" s="129">
        <v>4250</v>
      </c>
      <c r="B80" s="130">
        <v>2500</v>
      </c>
      <c r="C80" s="130">
        <v>2434</v>
      </c>
      <c r="D80" s="130">
        <v>136</v>
      </c>
      <c r="E80" s="131">
        <v>0.78</v>
      </c>
      <c r="F80" s="132">
        <v>4.3</v>
      </c>
      <c r="G80" s="131">
        <v>6.56</v>
      </c>
      <c r="H80" s="130">
        <v>15</v>
      </c>
      <c r="I80" s="132">
        <v>24.9</v>
      </c>
      <c r="J80" s="131">
        <v>1.32</v>
      </c>
      <c r="K80" s="132">
        <v>289</v>
      </c>
      <c r="L80" s="131">
        <v>190.65</v>
      </c>
    </row>
    <row r="81" spans="1:12" ht="12" customHeight="1" x14ac:dyDescent="0.2">
      <c r="A81" s="129">
        <v>4280</v>
      </c>
      <c r="B81" s="130">
        <v>2800</v>
      </c>
      <c r="C81" s="130">
        <v>2734</v>
      </c>
      <c r="D81" s="130">
        <v>136</v>
      </c>
      <c r="E81" s="131">
        <v>0.88</v>
      </c>
      <c r="F81" s="132">
        <v>4.8</v>
      </c>
      <c r="G81" s="131">
        <v>7.33</v>
      </c>
      <c r="H81" s="130">
        <v>15</v>
      </c>
      <c r="I81" s="132">
        <v>27.8</v>
      </c>
      <c r="J81" s="131">
        <v>1.33</v>
      </c>
      <c r="K81" s="132">
        <v>323</v>
      </c>
      <c r="L81" s="131">
        <v>215.7</v>
      </c>
    </row>
    <row r="82" spans="1:12" ht="12.95" customHeight="1" x14ac:dyDescent="0.2">
      <c r="A82" s="133">
        <v>4300</v>
      </c>
      <c r="B82" s="134">
        <v>3000</v>
      </c>
      <c r="C82" s="134">
        <v>2934</v>
      </c>
      <c r="D82" s="134">
        <v>136</v>
      </c>
      <c r="E82" s="135">
        <v>0.94</v>
      </c>
      <c r="F82" s="136">
        <v>5.0999999999999996</v>
      </c>
      <c r="G82" s="135">
        <v>7.85</v>
      </c>
      <c r="H82" s="134">
        <v>15</v>
      </c>
      <c r="I82" s="136">
        <v>29.7</v>
      </c>
      <c r="J82" s="135">
        <v>1.33</v>
      </c>
      <c r="K82" s="136">
        <v>345</v>
      </c>
      <c r="L82" s="135">
        <v>229.7</v>
      </c>
    </row>
    <row r="83" spans="1:12" ht="14.1" customHeight="1" x14ac:dyDescent="0.2">
      <c r="A83" s="305" t="s">
        <v>211</v>
      </c>
      <c r="B83" s="305"/>
      <c r="C83" s="305"/>
      <c r="D83" s="305"/>
      <c r="E83" s="305"/>
      <c r="F83" s="305"/>
      <c r="G83" s="305"/>
      <c r="H83" s="305"/>
      <c r="I83" s="305"/>
      <c r="J83" s="305"/>
      <c r="K83" s="305"/>
      <c r="L83" s="305"/>
    </row>
    <row r="84" spans="1:12" ht="214.35" customHeight="1" x14ac:dyDescent="0.2">
      <c r="A84" s="306" t="s">
        <v>195</v>
      </c>
      <c r="B84" s="306"/>
      <c r="C84" s="306"/>
      <c r="D84" s="306"/>
      <c r="E84" s="306"/>
      <c r="F84" s="306"/>
      <c r="G84" s="306"/>
      <c r="H84" s="306"/>
      <c r="I84" s="306"/>
      <c r="J84" s="306"/>
      <c r="K84" s="306"/>
    </row>
    <row r="85" spans="1:12" x14ac:dyDescent="0.2">
      <c r="A85" s="307" t="s">
        <v>196</v>
      </c>
      <c r="B85" s="307"/>
      <c r="C85" s="307"/>
      <c r="D85" s="307"/>
      <c r="E85" s="307"/>
      <c r="F85" s="307"/>
      <c r="G85" s="307"/>
      <c r="H85" s="307"/>
      <c r="I85" s="307"/>
      <c r="J85" s="307"/>
      <c r="K85" s="307"/>
    </row>
    <row r="86" spans="1:12" ht="14.1" customHeight="1" x14ac:dyDescent="0.2">
      <c r="A86" s="305" t="s">
        <v>197</v>
      </c>
      <c r="B86" s="305"/>
      <c r="C86" s="305"/>
      <c r="D86" s="305"/>
      <c r="E86" s="305"/>
      <c r="F86" s="305"/>
      <c r="G86" s="305"/>
      <c r="H86" s="305"/>
      <c r="I86" s="305"/>
      <c r="J86" s="305"/>
      <c r="K86" s="305"/>
      <c r="L86" s="305"/>
    </row>
    <row r="87" spans="1:12" ht="29.1" customHeight="1" x14ac:dyDescent="0.2">
      <c r="A87" s="120" t="s">
        <v>198</v>
      </c>
      <c r="B87" s="121" t="s">
        <v>199</v>
      </c>
      <c r="C87" s="122" t="s">
        <v>200</v>
      </c>
      <c r="D87" s="122" t="s">
        <v>201</v>
      </c>
      <c r="E87" s="122" t="s">
        <v>202</v>
      </c>
      <c r="F87" s="122" t="s">
        <v>203</v>
      </c>
      <c r="G87" s="122" t="s">
        <v>204</v>
      </c>
      <c r="H87" s="122" t="s">
        <v>205</v>
      </c>
      <c r="I87" s="123" t="s">
        <v>206</v>
      </c>
      <c r="J87" s="124" t="s">
        <v>207</v>
      </c>
      <c r="K87" s="122" t="s">
        <v>208</v>
      </c>
      <c r="L87" s="151" t="s">
        <v>348</v>
      </c>
    </row>
    <row r="88" spans="1:12" ht="11.1" customHeight="1" x14ac:dyDescent="0.2">
      <c r="A88" s="125">
        <v>5026</v>
      </c>
      <c r="B88" s="126">
        <v>260</v>
      </c>
      <c r="C88" s="126">
        <v>194</v>
      </c>
      <c r="D88" s="126">
        <v>173</v>
      </c>
      <c r="E88" s="127">
        <v>0.1</v>
      </c>
      <c r="F88" s="128">
        <v>0.8</v>
      </c>
      <c r="G88" s="127">
        <v>0.88</v>
      </c>
      <c r="H88" s="126">
        <v>17</v>
      </c>
      <c r="I88" s="128">
        <v>3.9</v>
      </c>
      <c r="J88" s="127">
        <v>1.28</v>
      </c>
      <c r="K88" s="128">
        <v>45.1</v>
      </c>
      <c r="L88" s="127">
        <v>46.55</v>
      </c>
    </row>
    <row r="89" spans="1:12" ht="11.1" customHeight="1" x14ac:dyDescent="0.2">
      <c r="A89" s="129">
        <v>5030</v>
      </c>
      <c r="B89" s="130">
        <v>300</v>
      </c>
      <c r="C89" s="130">
        <v>234</v>
      </c>
      <c r="D89" s="130">
        <v>173</v>
      </c>
      <c r="E89" s="131">
        <v>0.12</v>
      </c>
      <c r="F89" s="132">
        <v>0.9</v>
      </c>
      <c r="G89" s="131">
        <v>1.01</v>
      </c>
      <c r="H89" s="130">
        <v>16</v>
      </c>
      <c r="I89" s="132">
        <v>4.5</v>
      </c>
      <c r="J89" s="131">
        <v>1.28</v>
      </c>
      <c r="K89" s="132">
        <v>51.7</v>
      </c>
      <c r="L89" s="131">
        <v>48</v>
      </c>
    </row>
    <row r="90" spans="1:12" ht="11.1" customHeight="1" x14ac:dyDescent="0.2">
      <c r="A90" s="129">
        <v>5035</v>
      </c>
      <c r="B90" s="130">
        <v>350</v>
      </c>
      <c r="C90" s="130">
        <v>284</v>
      </c>
      <c r="D90" s="130">
        <v>173</v>
      </c>
      <c r="E90" s="131">
        <v>0.13</v>
      </c>
      <c r="F90" s="132">
        <v>1</v>
      </c>
      <c r="G90" s="131">
        <v>1.18</v>
      </c>
      <c r="H90" s="130">
        <v>15</v>
      </c>
      <c r="I90" s="132">
        <v>5.2</v>
      </c>
      <c r="J90" s="131">
        <v>1.28</v>
      </c>
      <c r="K90" s="132">
        <v>59.9</v>
      </c>
      <c r="L90" s="131">
        <v>49.25</v>
      </c>
    </row>
    <row r="91" spans="1:12" ht="12" customHeight="1" x14ac:dyDescent="0.2">
      <c r="A91" s="129">
        <v>5040</v>
      </c>
      <c r="B91" s="130">
        <v>400</v>
      </c>
      <c r="C91" s="130">
        <v>334</v>
      </c>
      <c r="D91" s="130">
        <v>173</v>
      </c>
      <c r="E91" s="131">
        <v>0.15</v>
      </c>
      <c r="F91" s="132">
        <v>1.1000000000000001</v>
      </c>
      <c r="G91" s="131">
        <v>1.51</v>
      </c>
      <c r="H91" s="130">
        <v>15</v>
      </c>
      <c r="I91" s="132">
        <v>5.8</v>
      </c>
      <c r="J91" s="131">
        <v>1.28</v>
      </c>
      <c r="K91" s="132">
        <v>67.900000000000006</v>
      </c>
      <c r="L91" s="131">
        <v>50.5</v>
      </c>
    </row>
    <row r="92" spans="1:12" ht="12.95" customHeight="1" x14ac:dyDescent="0.2">
      <c r="A92" s="129">
        <v>5045</v>
      </c>
      <c r="B92" s="130">
        <v>450</v>
      </c>
      <c r="C92" s="130">
        <v>384</v>
      </c>
      <c r="D92" s="130">
        <v>173</v>
      </c>
      <c r="E92" s="131">
        <v>0.17</v>
      </c>
      <c r="F92" s="132">
        <v>1.2</v>
      </c>
      <c r="G92" s="131">
        <v>1.67</v>
      </c>
      <c r="H92" s="130">
        <v>14</v>
      </c>
      <c r="I92" s="132">
        <v>6.5</v>
      </c>
      <c r="J92" s="131">
        <v>1.27</v>
      </c>
      <c r="K92" s="132">
        <v>75.8</v>
      </c>
      <c r="L92" s="131">
        <v>63.75</v>
      </c>
    </row>
    <row r="93" spans="1:12" ht="11.1" customHeight="1" x14ac:dyDescent="0.2">
      <c r="A93" s="129">
        <v>5050</v>
      </c>
      <c r="B93" s="130">
        <v>500</v>
      </c>
      <c r="C93" s="130">
        <v>434</v>
      </c>
      <c r="D93" s="130">
        <v>173</v>
      </c>
      <c r="E93" s="131">
        <v>0.19</v>
      </c>
      <c r="F93" s="132">
        <v>1.3</v>
      </c>
      <c r="G93" s="131">
        <v>1.83</v>
      </c>
      <c r="H93" s="130">
        <v>14</v>
      </c>
      <c r="I93" s="132">
        <v>7.2</v>
      </c>
      <c r="J93" s="131">
        <v>1.27</v>
      </c>
      <c r="K93" s="132">
        <v>83.5</v>
      </c>
      <c r="L93" s="131">
        <v>64.8</v>
      </c>
    </row>
    <row r="94" spans="1:12" ht="11.1" customHeight="1" x14ac:dyDescent="0.2">
      <c r="A94" s="129">
        <v>5055</v>
      </c>
      <c r="B94" s="130">
        <v>550</v>
      </c>
      <c r="C94" s="130">
        <v>484</v>
      </c>
      <c r="D94" s="130">
        <v>173</v>
      </c>
      <c r="E94" s="131">
        <v>0.2</v>
      </c>
      <c r="F94" s="132">
        <v>1.3</v>
      </c>
      <c r="G94" s="131">
        <v>2</v>
      </c>
      <c r="H94" s="130">
        <v>14</v>
      </c>
      <c r="I94" s="132">
        <v>7.8</v>
      </c>
      <c r="J94" s="131">
        <v>1.27</v>
      </c>
      <c r="K94" s="132">
        <v>91.1</v>
      </c>
      <c r="L94" s="131">
        <v>66.900000000000006</v>
      </c>
    </row>
    <row r="95" spans="1:12" ht="9.9499999999999993" customHeight="1" x14ac:dyDescent="0.2">
      <c r="A95" s="129">
        <v>5060</v>
      </c>
      <c r="B95" s="130">
        <v>600</v>
      </c>
      <c r="C95" s="130">
        <v>534</v>
      </c>
      <c r="D95" s="130">
        <v>173</v>
      </c>
      <c r="E95" s="131">
        <v>0.23</v>
      </c>
      <c r="F95" s="132">
        <v>1.5</v>
      </c>
      <c r="G95" s="131">
        <v>2.16</v>
      </c>
      <c r="H95" s="130">
        <v>13</v>
      </c>
      <c r="I95" s="132">
        <v>8.5</v>
      </c>
      <c r="J95" s="131">
        <v>1.27</v>
      </c>
      <c r="K95" s="132">
        <v>98.6</v>
      </c>
      <c r="L95" s="131">
        <v>68.849999999999994</v>
      </c>
    </row>
    <row r="96" spans="1:12" ht="12.95" customHeight="1" x14ac:dyDescent="0.2">
      <c r="A96" s="129">
        <v>5075</v>
      </c>
      <c r="B96" s="130">
        <v>750</v>
      </c>
      <c r="C96" s="130">
        <v>684</v>
      </c>
      <c r="D96" s="130">
        <v>173</v>
      </c>
      <c r="E96" s="131">
        <v>0.28999999999999998</v>
      </c>
      <c r="F96" s="132">
        <v>1.8</v>
      </c>
      <c r="G96" s="131">
        <v>2.65</v>
      </c>
      <c r="H96" s="130">
        <v>13</v>
      </c>
      <c r="I96" s="132">
        <v>10.3</v>
      </c>
      <c r="J96" s="131">
        <v>1.26</v>
      </c>
      <c r="K96" s="132">
        <v>120</v>
      </c>
      <c r="L96" s="131">
        <v>72.900000000000006</v>
      </c>
    </row>
    <row r="97" spans="1:12" ht="12" customHeight="1" x14ac:dyDescent="0.2">
      <c r="A97" s="129">
        <v>5090</v>
      </c>
      <c r="B97" s="130">
        <v>900</v>
      </c>
      <c r="C97" s="130">
        <v>834</v>
      </c>
      <c r="D97" s="130">
        <v>173</v>
      </c>
      <c r="E97" s="131">
        <v>0.35</v>
      </c>
      <c r="F97" s="132">
        <v>2.1</v>
      </c>
      <c r="G97" s="131">
        <v>3.14</v>
      </c>
      <c r="H97" s="130">
        <v>13</v>
      </c>
      <c r="I97" s="132">
        <v>12.1</v>
      </c>
      <c r="J97" s="131">
        <v>1.25</v>
      </c>
      <c r="K97" s="132">
        <v>141</v>
      </c>
      <c r="L97" s="131">
        <v>79</v>
      </c>
    </row>
    <row r="98" spans="1:12" ht="11.1" customHeight="1" x14ac:dyDescent="0.2">
      <c r="A98" s="129">
        <v>5100</v>
      </c>
      <c r="B98" s="130">
        <v>1000</v>
      </c>
      <c r="C98" s="130">
        <v>934</v>
      </c>
      <c r="D98" s="130">
        <v>173</v>
      </c>
      <c r="E98" s="131">
        <v>0.39</v>
      </c>
      <c r="F98" s="132">
        <v>2.2999999999999998</v>
      </c>
      <c r="G98" s="131">
        <v>3.47</v>
      </c>
      <c r="H98" s="130">
        <v>13</v>
      </c>
      <c r="I98" s="132">
        <v>13.2</v>
      </c>
      <c r="J98" s="131">
        <v>1.25</v>
      </c>
      <c r="K98" s="132">
        <v>154</v>
      </c>
      <c r="L98" s="131">
        <v>82.9</v>
      </c>
    </row>
    <row r="99" spans="1:12" ht="11.1" customHeight="1" x14ac:dyDescent="0.2">
      <c r="A99" s="129">
        <v>5110</v>
      </c>
      <c r="B99" s="130">
        <v>1100</v>
      </c>
      <c r="C99" s="130">
        <v>1034</v>
      </c>
      <c r="D99" s="130">
        <v>173</v>
      </c>
      <c r="E99" s="131">
        <v>0.43</v>
      </c>
      <c r="F99" s="132">
        <v>2.5</v>
      </c>
      <c r="G99" s="131">
        <v>3.79</v>
      </c>
      <c r="H99" s="130">
        <v>13</v>
      </c>
      <c r="I99" s="132">
        <v>14.4</v>
      </c>
      <c r="J99" s="131">
        <v>1.25</v>
      </c>
      <c r="K99" s="132">
        <v>167</v>
      </c>
      <c r="L99" s="131">
        <v>92</v>
      </c>
    </row>
    <row r="100" spans="1:12" ht="11.1" customHeight="1" x14ac:dyDescent="0.2">
      <c r="A100" s="129">
        <v>5120</v>
      </c>
      <c r="B100" s="130">
        <v>1200</v>
      </c>
      <c r="C100" s="130">
        <v>1134</v>
      </c>
      <c r="D100" s="130">
        <v>173</v>
      </c>
      <c r="E100" s="131">
        <v>0.47</v>
      </c>
      <c r="F100" s="132">
        <v>2.7</v>
      </c>
      <c r="G100" s="131">
        <v>4.12</v>
      </c>
      <c r="H100" s="130">
        <v>13</v>
      </c>
      <c r="I100" s="132">
        <v>15.4</v>
      </c>
      <c r="J100" s="131">
        <v>1.31</v>
      </c>
      <c r="K100" s="132">
        <v>179</v>
      </c>
      <c r="L100" s="131">
        <v>106.9</v>
      </c>
    </row>
    <row r="101" spans="1:12" ht="12" customHeight="1" x14ac:dyDescent="0.2">
      <c r="A101" s="129">
        <v>5150</v>
      </c>
      <c r="B101" s="130">
        <v>1500</v>
      </c>
      <c r="C101" s="130">
        <v>1434</v>
      </c>
      <c r="D101" s="130">
        <v>173</v>
      </c>
      <c r="E101" s="131">
        <v>0.59</v>
      </c>
      <c r="F101" s="132">
        <v>3.3</v>
      </c>
      <c r="G101" s="131">
        <v>5.0999999999999996</v>
      </c>
      <c r="H101" s="130">
        <v>13</v>
      </c>
      <c r="I101" s="132">
        <v>18.8</v>
      </c>
      <c r="J101" s="131">
        <v>1.31</v>
      </c>
      <c r="K101" s="132">
        <v>219</v>
      </c>
      <c r="L101" s="131">
        <v>142.15</v>
      </c>
    </row>
    <row r="102" spans="1:12" ht="12.95" customHeight="1" x14ac:dyDescent="0.2">
      <c r="A102" s="129">
        <v>5180</v>
      </c>
      <c r="B102" s="130">
        <v>1800</v>
      </c>
      <c r="C102" s="130">
        <v>1734</v>
      </c>
      <c r="D102" s="130">
        <v>173</v>
      </c>
      <c r="E102" s="131">
        <v>0.7</v>
      </c>
      <c r="F102" s="132">
        <v>3.9</v>
      </c>
      <c r="G102" s="131">
        <v>6.08</v>
      </c>
      <c r="H102" s="130">
        <v>13</v>
      </c>
      <c r="I102" s="132">
        <v>22.3</v>
      </c>
      <c r="J102" s="131">
        <v>1.32</v>
      </c>
      <c r="K102" s="132">
        <v>259</v>
      </c>
      <c r="L102" s="131">
        <v>168.7</v>
      </c>
    </row>
    <row r="103" spans="1:12" ht="11.1" customHeight="1" x14ac:dyDescent="0.2">
      <c r="A103" s="129">
        <v>5200</v>
      </c>
      <c r="B103" s="130">
        <v>2000</v>
      </c>
      <c r="C103" s="130">
        <v>1934</v>
      </c>
      <c r="D103" s="130">
        <v>173</v>
      </c>
      <c r="E103" s="131">
        <v>0.78</v>
      </c>
      <c r="F103" s="132">
        <v>4.3</v>
      </c>
      <c r="G103" s="131">
        <v>6.73</v>
      </c>
      <c r="H103" s="130">
        <v>13</v>
      </c>
      <c r="I103" s="132">
        <v>24.5</v>
      </c>
      <c r="J103" s="131">
        <v>1.32</v>
      </c>
      <c r="K103" s="132">
        <v>285</v>
      </c>
      <c r="L103" s="131">
        <v>188.25</v>
      </c>
    </row>
    <row r="104" spans="1:12" ht="11.1" customHeight="1" x14ac:dyDescent="0.2">
      <c r="A104" s="129">
        <v>5220</v>
      </c>
      <c r="B104" s="130">
        <v>2200</v>
      </c>
      <c r="C104" s="130">
        <v>2134</v>
      </c>
      <c r="D104" s="130">
        <v>173</v>
      </c>
      <c r="E104" s="131">
        <v>0.86</v>
      </c>
      <c r="F104" s="132">
        <v>4.7</v>
      </c>
      <c r="G104" s="131">
        <v>7.39</v>
      </c>
      <c r="H104" s="130">
        <v>13</v>
      </c>
      <c r="I104" s="132">
        <v>26.8</v>
      </c>
      <c r="J104" s="131">
        <v>1.32</v>
      </c>
      <c r="K104" s="132">
        <v>312</v>
      </c>
      <c r="L104" s="131">
        <v>206.25</v>
      </c>
    </row>
    <row r="105" spans="1:12" ht="11.1" customHeight="1" x14ac:dyDescent="0.2">
      <c r="A105" s="129">
        <v>5250</v>
      </c>
      <c r="B105" s="130">
        <v>2500</v>
      </c>
      <c r="C105" s="130">
        <v>2434</v>
      </c>
      <c r="D105" s="130">
        <v>173</v>
      </c>
      <c r="E105" s="131">
        <v>0.98</v>
      </c>
      <c r="F105" s="132">
        <v>5.3</v>
      </c>
      <c r="G105" s="131">
        <v>8.3699999999999992</v>
      </c>
      <c r="H105" s="130">
        <v>13</v>
      </c>
      <c r="I105" s="132">
        <v>30.3</v>
      </c>
      <c r="J105" s="131">
        <v>1.32</v>
      </c>
      <c r="K105" s="132">
        <v>352</v>
      </c>
      <c r="L105" s="131">
        <v>233.4</v>
      </c>
    </row>
    <row r="106" spans="1:12" ht="12" customHeight="1" x14ac:dyDescent="0.2">
      <c r="A106" s="129">
        <v>5280</v>
      </c>
      <c r="B106" s="130">
        <v>2800</v>
      </c>
      <c r="C106" s="130">
        <v>2734</v>
      </c>
      <c r="D106" s="130">
        <v>173</v>
      </c>
      <c r="E106" s="131">
        <v>1.1000000000000001</v>
      </c>
      <c r="F106" s="132">
        <v>5.9</v>
      </c>
      <c r="G106" s="131">
        <v>9.35</v>
      </c>
      <c r="H106" s="130">
        <v>13</v>
      </c>
      <c r="I106" s="132">
        <v>33.700000000000003</v>
      </c>
      <c r="J106" s="131">
        <v>1.33</v>
      </c>
      <c r="K106" s="132">
        <v>392</v>
      </c>
      <c r="L106" s="131">
        <v>258.60000000000002</v>
      </c>
    </row>
    <row r="107" spans="1:12" ht="12.95" customHeight="1" x14ac:dyDescent="0.2">
      <c r="A107" s="133">
        <v>5300</v>
      </c>
      <c r="B107" s="134">
        <v>3000</v>
      </c>
      <c r="C107" s="134">
        <v>2934</v>
      </c>
      <c r="D107" s="134">
        <v>173</v>
      </c>
      <c r="E107" s="135">
        <v>1.18</v>
      </c>
      <c r="F107" s="136">
        <v>6.4</v>
      </c>
      <c r="G107" s="135">
        <v>10</v>
      </c>
      <c r="H107" s="134">
        <v>13</v>
      </c>
      <c r="I107" s="136">
        <v>36.1</v>
      </c>
      <c r="J107" s="135">
        <v>1.33</v>
      </c>
      <c r="K107" s="136">
        <v>420</v>
      </c>
      <c r="L107" s="135">
        <v>277.39999999999998</v>
      </c>
    </row>
    <row r="108" spans="1:12" ht="14.1" customHeight="1" x14ac:dyDescent="0.2">
      <c r="A108" s="312" t="s">
        <v>349</v>
      </c>
      <c r="B108" s="305"/>
      <c r="C108" s="305"/>
      <c r="D108" s="305"/>
      <c r="E108" s="305"/>
      <c r="F108" s="305"/>
      <c r="G108" s="305"/>
      <c r="H108" s="305"/>
      <c r="I108" s="305"/>
      <c r="J108" s="305"/>
      <c r="K108" s="305"/>
      <c r="L108" s="305"/>
    </row>
    <row r="109" spans="1:12" ht="214.35" customHeight="1" x14ac:dyDescent="0.2">
      <c r="A109" s="310" t="s">
        <v>195</v>
      </c>
      <c r="B109" s="310"/>
      <c r="C109" s="310"/>
      <c r="D109" s="310"/>
      <c r="E109" s="310"/>
      <c r="F109" s="310"/>
      <c r="G109" s="310"/>
      <c r="H109" s="310"/>
      <c r="I109" s="310"/>
      <c r="J109" s="310"/>
      <c r="K109" s="310"/>
      <c r="L109" s="310"/>
    </row>
    <row r="110" spans="1:12" x14ac:dyDescent="0.2">
      <c r="A110" s="311" t="s">
        <v>196</v>
      </c>
      <c r="B110" s="311"/>
      <c r="C110" s="311"/>
      <c r="D110" s="311"/>
      <c r="E110" s="311"/>
      <c r="F110" s="311"/>
      <c r="G110" s="311"/>
      <c r="H110" s="311"/>
      <c r="I110" s="311"/>
      <c r="J110" s="311"/>
      <c r="K110" s="311"/>
      <c r="L110" s="311"/>
    </row>
    <row r="111" spans="1:12" ht="14.1" customHeight="1" x14ac:dyDescent="0.2">
      <c r="A111" s="305" t="s">
        <v>197</v>
      </c>
      <c r="B111" s="305"/>
      <c r="C111" s="305"/>
      <c r="D111" s="305"/>
      <c r="E111" s="305"/>
      <c r="F111" s="305"/>
      <c r="G111" s="305"/>
      <c r="H111" s="305"/>
      <c r="I111" s="305"/>
      <c r="J111" s="305"/>
      <c r="K111" s="305"/>
      <c r="L111" s="305"/>
    </row>
    <row r="112" spans="1:12" ht="29.1" customHeight="1" x14ac:dyDescent="0.2">
      <c r="A112" s="120" t="s">
        <v>198</v>
      </c>
      <c r="B112" s="121" t="s">
        <v>199</v>
      </c>
      <c r="C112" s="122" t="s">
        <v>200</v>
      </c>
      <c r="D112" s="122" t="s">
        <v>201</v>
      </c>
      <c r="E112" s="122" t="s">
        <v>202</v>
      </c>
      <c r="F112" s="122" t="s">
        <v>203</v>
      </c>
      <c r="G112" s="122" t="s">
        <v>204</v>
      </c>
      <c r="H112" s="122" t="s">
        <v>212</v>
      </c>
      <c r="I112" s="123" t="s">
        <v>213</v>
      </c>
      <c r="J112" s="124" t="s">
        <v>207</v>
      </c>
      <c r="K112" s="122" t="s">
        <v>208</v>
      </c>
      <c r="L112" s="151" t="s">
        <v>348</v>
      </c>
    </row>
    <row r="113" spans="1:12" ht="11.1" customHeight="1" x14ac:dyDescent="0.2">
      <c r="A113" s="125">
        <v>6026</v>
      </c>
      <c r="B113" s="126">
        <v>260</v>
      </c>
      <c r="C113" s="126">
        <v>194</v>
      </c>
      <c r="D113" s="126">
        <v>210</v>
      </c>
      <c r="E113" s="127">
        <v>0.12</v>
      </c>
      <c r="F113" s="128">
        <v>1</v>
      </c>
      <c r="G113" s="127">
        <v>1.26</v>
      </c>
      <c r="H113" s="126">
        <v>18</v>
      </c>
      <c r="I113" s="128">
        <v>4.5999999999999996</v>
      </c>
      <c r="J113" s="127">
        <v>1.28</v>
      </c>
      <c r="K113" s="128">
        <v>53.5</v>
      </c>
      <c r="L113" s="127">
        <v>53.05</v>
      </c>
    </row>
    <row r="114" spans="1:12" ht="11.1" customHeight="1" x14ac:dyDescent="0.2">
      <c r="A114" s="129">
        <v>6030</v>
      </c>
      <c r="B114" s="130">
        <v>300</v>
      </c>
      <c r="C114" s="130">
        <v>234</v>
      </c>
      <c r="D114" s="130">
        <v>210</v>
      </c>
      <c r="E114" s="131">
        <v>0.14000000000000001</v>
      </c>
      <c r="F114" s="132">
        <v>1.1000000000000001</v>
      </c>
      <c r="G114" s="131">
        <v>1.42</v>
      </c>
      <c r="H114" s="130">
        <v>15</v>
      </c>
      <c r="I114" s="132">
        <v>5.3</v>
      </c>
      <c r="J114" s="131">
        <v>1.28</v>
      </c>
      <c r="K114" s="132">
        <v>61.3</v>
      </c>
      <c r="L114" s="131">
        <v>54.95</v>
      </c>
    </row>
    <row r="115" spans="1:12" ht="11.1" customHeight="1" x14ac:dyDescent="0.2">
      <c r="A115" s="129">
        <v>6035</v>
      </c>
      <c r="B115" s="130">
        <v>350</v>
      </c>
      <c r="C115" s="130">
        <v>284</v>
      </c>
      <c r="D115" s="130">
        <v>210</v>
      </c>
      <c r="E115" s="131">
        <v>0.16</v>
      </c>
      <c r="F115" s="132">
        <v>1.2</v>
      </c>
      <c r="G115" s="131">
        <v>1.62</v>
      </c>
      <c r="H115" s="130">
        <v>14</v>
      </c>
      <c r="I115" s="132">
        <v>6.1</v>
      </c>
      <c r="J115" s="131">
        <v>1.28</v>
      </c>
      <c r="K115" s="132">
        <v>71</v>
      </c>
      <c r="L115" s="131">
        <v>57.55</v>
      </c>
    </row>
    <row r="116" spans="1:12" ht="12" customHeight="1" x14ac:dyDescent="0.2">
      <c r="A116" s="129">
        <v>6040</v>
      </c>
      <c r="B116" s="130">
        <v>400</v>
      </c>
      <c r="C116" s="130">
        <v>334</v>
      </c>
      <c r="D116" s="130">
        <v>210</v>
      </c>
      <c r="E116" s="131">
        <v>0.19</v>
      </c>
      <c r="F116" s="132">
        <v>1.3</v>
      </c>
      <c r="G116" s="131">
        <v>1.79</v>
      </c>
      <c r="H116" s="130">
        <v>14</v>
      </c>
      <c r="I116" s="132">
        <v>6.9</v>
      </c>
      <c r="J116" s="131">
        <v>1.28</v>
      </c>
      <c r="K116" s="132">
        <v>80.5</v>
      </c>
      <c r="L116" s="131">
        <v>59.5</v>
      </c>
    </row>
    <row r="117" spans="1:12" ht="12.95" customHeight="1" x14ac:dyDescent="0.2">
      <c r="A117" s="129">
        <v>6045</v>
      </c>
      <c r="B117" s="130">
        <v>450</v>
      </c>
      <c r="C117" s="130">
        <v>384</v>
      </c>
      <c r="D117" s="130">
        <v>210</v>
      </c>
      <c r="E117" s="131">
        <v>0.21</v>
      </c>
      <c r="F117" s="132">
        <v>1.4</v>
      </c>
      <c r="G117" s="131">
        <v>1.99</v>
      </c>
      <c r="H117" s="130">
        <v>13</v>
      </c>
      <c r="I117" s="132">
        <v>7.7</v>
      </c>
      <c r="J117" s="131">
        <v>1.27</v>
      </c>
      <c r="K117" s="132">
        <v>89.8</v>
      </c>
      <c r="L117" s="131">
        <v>67.900000000000006</v>
      </c>
    </row>
    <row r="118" spans="1:12" ht="11.1" customHeight="1" x14ac:dyDescent="0.2">
      <c r="A118" s="129">
        <v>6050</v>
      </c>
      <c r="B118" s="130">
        <v>500</v>
      </c>
      <c r="C118" s="130">
        <v>434</v>
      </c>
      <c r="D118" s="130">
        <v>210</v>
      </c>
      <c r="E118" s="131">
        <v>0.23</v>
      </c>
      <c r="F118" s="132">
        <v>1.5</v>
      </c>
      <c r="G118" s="131">
        <v>2.19</v>
      </c>
      <c r="H118" s="130">
        <v>13</v>
      </c>
      <c r="I118" s="132">
        <v>8.5</v>
      </c>
      <c r="J118" s="131">
        <v>1.27</v>
      </c>
      <c r="K118" s="132">
        <v>99</v>
      </c>
      <c r="L118" s="131">
        <v>69.849999999999994</v>
      </c>
    </row>
    <row r="119" spans="1:12" ht="11.1" customHeight="1" x14ac:dyDescent="0.2">
      <c r="A119" s="129">
        <v>6055</v>
      </c>
      <c r="B119" s="130">
        <v>550</v>
      </c>
      <c r="C119" s="130">
        <v>484</v>
      </c>
      <c r="D119" s="130">
        <v>210</v>
      </c>
      <c r="E119" s="131">
        <v>0.26</v>
      </c>
      <c r="F119" s="132">
        <v>1.6</v>
      </c>
      <c r="G119" s="131">
        <v>2.38</v>
      </c>
      <c r="H119" s="130">
        <v>12</v>
      </c>
      <c r="I119" s="132">
        <v>9.3000000000000007</v>
      </c>
      <c r="J119" s="131">
        <v>1.27</v>
      </c>
      <c r="K119" s="132">
        <v>108</v>
      </c>
      <c r="L119" s="131">
        <v>72.05</v>
      </c>
    </row>
    <row r="120" spans="1:12" ht="9.9499999999999993" customHeight="1" x14ac:dyDescent="0.2">
      <c r="A120" s="129">
        <v>6060</v>
      </c>
      <c r="B120" s="130">
        <v>600</v>
      </c>
      <c r="C120" s="130">
        <v>534</v>
      </c>
      <c r="D120" s="130">
        <v>210</v>
      </c>
      <c r="E120" s="131">
        <v>0.28000000000000003</v>
      </c>
      <c r="F120" s="132">
        <v>1.8</v>
      </c>
      <c r="G120" s="131">
        <v>2.58</v>
      </c>
      <c r="H120" s="130">
        <v>12</v>
      </c>
      <c r="I120" s="132">
        <v>10.1</v>
      </c>
      <c r="J120" s="131">
        <v>1.27</v>
      </c>
      <c r="K120" s="132">
        <v>117</v>
      </c>
      <c r="L120" s="131">
        <v>73.95</v>
      </c>
    </row>
    <row r="121" spans="1:12" ht="12.95" customHeight="1" x14ac:dyDescent="0.2">
      <c r="A121" s="129">
        <v>6075</v>
      </c>
      <c r="B121" s="130">
        <v>750</v>
      </c>
      <c r="C121" s="130">
        <v>684</v>
      </c>
      <c r="D121" s="130">
        <v>210</v>
      </c>
      <c r="E121" s="131">
        <v>0.35</v>
      </c>
      <c r="F121" s="132">
        <v>2.1</v>
      </c>
      <c r="G121" s="131">
        <v>3.17</v>
      </c>
      <c r="H121" s="130">
        <v>12</v>
      </c>
      <c r="I121" s="132">
        <v>12.3</v>
      </c>
      <c r="J121" s="131">
        <v>1.26</v>
      </c>
      <c r="K121" s="132">
        <v>143</v>
      </c>
      <c r="L121" s="131">
        <v>85.2</v>
      </c>
    </row>
    <row r="122" spans="1:12" ht="12" customHeight="1" x14ac:dyDescent="0.2">
      <c r="A122" s="129">
        <v>6090</v>
      </c>
      <c r="B122" s="130">
        <v>900</v>
      </c>
      <c r="C122" s="130">
        <v>834</v>
      </c>
      <c r="D122" s="130">
        <v>210</v>
      </c>
      <c r="E122" s="131">
        <v>0.42</v>
      </c>
      <c r="F122" s="132">
        <v>2.5</v>
      </c>
      <c r="G122" s="131">
        <v>3.76</v>
      </c>
      <c r="H122" s="130">
        <v>12</v>
      </c>
      <c r="I122" s="132">
        <v>14.4</v>
      </c>
      <c r="J122" s="131">
        <v>1.25</v>
      </c>
      <c r="K122" s="132">
        <v>167</v>
      </c>
      <c r="L122" s="131">
        <v>86.95</v>
      </c>
    </row>
    <row r="123" spans="1:12" ht="11.1" customHeight="1" x14ac:dyDescent="0.2">
      <c r="A123" s="129">
        <v>6100</v>
      </c>
      <c r="B123" s="130">
        <v>1000</v>
      </c>
      <c r="C123" s="130">
        <v>934</v>
      </c>
      <c r="D123" s="130">
        <v>210</v>
      </c>
      <c r="E123" s="131">
        <v>0.47</v>
      </c>
      <c r="F123" s="132">
        <v>2.7</v>
      </c>
      <c r="G123" s="131">
        <v>4.16</v>
      </c>
      <c r="H123" s="130">
        <v>12</v>
      </c>
      <c r="I123" s="132">
        <v>15.7</v>
      </c>
      <c r="J123" s="131">
        <v>1.25</v>
      </c>
      <c r="K123" s="132">
        <v>183</v>
      </c>
      <c r="L123" s="131">
        <v>92.8</v>
      </c>
    </row>
    <row r="124" spans="1:12" ht="11.1" customHeight="1" x14ac:dyDescent="0.2">
      <c r="A124" s="129">
        <v>6110</v>
      </c>
      <c r="B124" s="130">
        <v>1100</v>
      </c>
      <c r="C124" s="130">
        <v>1034</v>
      </c>
      <c r="D124" s="130">
        <v>210</v>
      </c>
      <c r="E124" s="131">
        <v>0.52</v>
      </c>
      <c r="F124" s="132">
        <v>3</v>
      </c>
      <c r="G124" s="131">
        <v>4.55</v>
      </c>
      <c r="H124" s="130">
        <v>12</v>
      </c>
      <c r="I124" s="132">
        <v>17</v>
      </c>
      <c r="J124" s="131">
        <v>1.25</v>
      </c>
      <c r="K124" s="132">
        <v>198</v>
      </c>
      <c r="L124" s="131">
        <v>110.1</v>
      </c>
    </row>
    <row r="125" spans="1:12" ht="11.1" customHeight="1" x14ac:dyDescent="0.2">
      <c r="A125" s="129">
        <v>6120</v>
      </c>
      <c r="B125" s="130">
        <v>1200</v>
      </c>
      <c r="C125" s="130">
        <v>1134</v>
      </c>
      <c r="D125" s="130">
        <v>210</v>
      </c>
      <c r="E125" s="131">
        <v>0.56000000000000005</v>
      </c>
      <c r="F125" s="132">
        <v>3.2</v>
      </c>
      <c r="G125" s="131">
        <v>4.95</v>
      </c>
      <c r="H125" s="130">
        <v>12</v>
      </c>
      <c r="I125" s="132">
        <v>18.100000000000001</v>
      </c>
      <c r="J125" s="131">
        <v>1.25</v>
      </c>
      <c r="K125" s="132">
        <v>210</v>
      </c>
      <c r="L125" s="131">
        <v>124.95</v>
      </c>
    </row>
    <row r="126" spans="1:12" ht="12" customHeight="1" x14ac:dyDescent="0.2">
      <c r="A126" s="129">
        <v>6150</v>
      </c>
      <c r="B126" s="130">
        <v>1500</v>
      </c>
      <c r="C126" s="130">
        <v>1434</v>
      </c>
      <c r="D126" s="130">
        <v>210</v>
      </c>
      <c r="E126" s="131">
        <v>0.7</v>
      </c>
      <c r="F126" s="132">
        <v>4</v>
      </c>
      <c r="G126" s="131">
        <v>6.13</v>
      </c>
      <c r="H126" s="130">
        <v>12</v>
      </c>
      <c r="I126" s="132">
        <v>22</v>
      </c>
      <c r="J126" s="131">
        <v>1.31</v>
      </c>
      <c r="K126" s="132">
        <v>256</v>
      </c>
      <c r="L126" s="131">
        <v>169.65</v>
      </c>
    </row>
    <row r="127" spans="1:12" ht="12.95" customHeight="1" x14ac:dyDescent="0.2">
      <c r="A127" s="129">
        <v>6180</v>
      </c>
      <c r="B127" s="130">
        <v>1800</v>
      </c>
      <c r="C127" s="130">
        <v>1734</v>
      </c>
      <c r="D127" s="130">
        <v>210</v>
      </c>
      <c r="E127" s="131">
        <v>0.85</v>
      </c>
      <c r="F127" s="132">
        <v>4.7</v>
      </c>
      <c r="G127" s="131">
        <v>7.31</v>
      </c>
      <c r="H127" s="130">
        <v>12</v>
      </c>
      <c r="I127" s="132">
        <v>26.1</v>
      </c>
      <c r="J127" s="131">
        <v>1.32</v>
      </c>
      <c r="K127" s="132">
        <v>303</v>
      </c>
      <c r="L127" s="131">
        <v>201.55</v>
      </c>
    </row>
    <row r="128" spans="1:12" ht="11.1" customHeight="1" x14ac:dyDescent="0.2">
      <c r="A128" s="129">
        <v>6200</v>
      </c>
      <c r="B128" s="130">
        <v>2000</v>
      </c>
      <c r="C128" s="130">
        <v>1934</v>
      </c>
      <c r="D128" s="130">
        <v>210</v>
      </c>
      <c r="E128" s="131">
        <v>0.94</v>
      </c>
      <c r="F128" s="132">
        <v>5.2</v>
      </c>
      <c r="G128" s="131">
        <v>8.1</v>
      </c>
      <c r="H128" s="130">
        <v>12</v>
      </c>
      <c r="I128" s="132">
        <v>28.7</v>
      </c>
      <c r="J128" s="131">
        <v>1.32</v>
      </c>
      <c r="K128" s="132">
        <v>334</v>
      </c>
      <c r="L128" s="131">
        <v>221.55</v>
      </c>
    </row>
    <row r="129" spans="1:12" ht="11.1" customHeight="1" x14ac:dyDescent="0.2">
      <c r="A129" s="129">
        <v>6220</v>
      </c>
      <c r="B129" s="130">
        <v>2200</v>
      </c>
      <c r="C129" s="130">
        <v>2134</v>
      </c>
      <c r="D129" s="130">
        <v>210</v>
      </c>
      <c r="E129" s="131">
        <v>1.03</v>
      </c>
      <c r="F129" s="132">
        <v>5.6</v>
      </c>
      <c r="G129" s="131">
        <v>8.89</v>
      </c>
      <c r="H129" s="130">
        <v>12</v>
      </c>
      <c r="I129" s="132">
        <v>31.4</v>
      </c>
      <c r="J129" s="131">
        <v>1.32</v>
      </c>
      <c r="K129" s="132">
        <v>365</v>
      </c>
      <c r="L129" s="131">
        <v>244.3</v>
      </c>
    </row>
    <row r="130" spans="1:12" ht="11.1" customHeight="1" x14ac:dyDescent="0.2">
      <c r="A130" s="129">
        <v>6250</v>
      </c>
      <c r="B130" s="130">
        <v>2500</v>
      </c>
      <c r="C130" s="130">
        <v>2434</v>
      </c>
      <c r="D130" s="130">
        <v>210</v>
      </c>
      <c r="E130" s="131">
        <v>1.18</v>
      </c>
      <c r="F130" s="132">
        <v>6.3</v>
      </c>
      <c r="G130" s="131">
        <v>10.07</v>
      </c>
      <c r="H130" s="130">
        <v>12</v>
      </c>
      <c r="I130" s="132">
        <v>35.4</v>
      </c>
      <c r="J130" s="131">
        <v>1.32</v>
      </c>
      <c r="K130" s="132">
        <v>412</v>
      </c>
      <c r="L130" s="131">
        <v>277.64999999999998</v>
      </c>
    </row>
    <row r="131" spans="1:12" ht="11.1" customHeight="1" x14ac:dyDescent="0.2">
      <c r="A131" s="129">
        <v>6280</v>
      </c>
      <c r="B131" s="130">
        <v>2800</v>
      </c>
      <c r="C131" s="130">
        <v>2734</v>
      </c>
      <c r="D131" s="130">
        <v>210</v>
      </c>
      <c r="E131" s="131">
        <v>1.33</v>
      </c>
      <c r="F131" s="132">
        <v>7</v>
      </c>
      <c r="G131" s="131">
        <v>11.25</v>
      </c>
      <c r="H131" s="130">
        <v>12</v>
      </c>
      <c r="I131" s="132">
        <v>39.5</v>
      </c>
      <c r="J131" s="131">
        <v>1.33</v>
      </c>
      <c r="K131" s="132">
        <v>459</v>
      </c>
      <c r="L131" s="131">
        <v>311.05</v>
      </c>
    </row>
    <row r="132" spans="1:12" ht="14.1" customHeight="1" x14ac:dyDescent="0.2">
      <c r="A132" s="133">
        <v>6300</v>
      </c>
      <c r="B132" s="134">
        <v>3000</v>
      </c>
      <c r="C132" s="134">
        <v>2934</v>
      </c>
      <c r="D132" s="134">
        <v>210</v>
      </c>
      <c r="E132" s="135">
        <v>1.41</v>
      </c>
      <c r="F132" s="136">
        <v>7.5</v>
      </c>
      <c r="G132" s="135">
        <v>12.04</v>
      </c>
      <c r="H132" s="134">
        <v>12</v>
      </c>
      <c r="I132" s="136">
        <v>42.2</v>
      </c>
      <c r="J132" s="135">
        <v>1.33</v>
      </c>
      <c r="K132" s="136">
        <v>491</v>
      </c>
      <c r="L132" s="135">
        <v>331.65</v>
      </c>
    </row>
    <row r="133" spans="1:12" ht="20.25" customHeight="1" x14ac:dyDescent="0.2">
      <c r="A133" s="304" t="s">
        <v>368</v>
      </c>
      <c r="B133" s="304"/>
      <c r="C133" s="304"/>
      <c r="D133" s="304"/>
      <c r="E133" s="304"/>
      <c r="F133" s="304"/>
      <c r="G133" s="304"/>
      <c r="H133" s="304"/>
      <c r="I133" s="304"/>
      <c r="J133" s="304"/>
      <c r="K133" s="304"/>
      <c r="L133" s="304"/>
    </row>
    <row r="134" spans="1:12" ht="14.1" customHeight="1" x14ac:dyDescent="0.2">
      <c r="A134" s="305" t="s">
        <v>214</v>
      </c>
      <c r="B134" s="305"/>
      <c r="C134" s="305"/>
      <c r="D134" s="305"/>
      <c r="E134" s="305"/>
      <c r="F134" s="305"/>
      <c r="G134" s="305"/>
      <c r="H134" s="305"/>
      <c r="I134" s="305"/>
      <c r="J134" s="305"/>
      <c r="K134" s="305"/>
      <c r="L134" s="305"/>
    </row>
    <row r="135" spans="1:12" ht="76.7" customHeight="1" x14ac:dyDescent="0.2">
      <c r="A135" s="116"/>
      <c r="B135" s="118"/>
      <c r="C135" s="118"/>
      <c r="D135" s="118"/>
      <c r="E135" s="118"/>
      <c r="F135" s="118"/>
      <c r="G135" s="116"/>
      <c r="H135" s="116"/>
      <c r="I135" s="116"/>
      <c r="J135" s="116"/>
      <c r="K135" s="116"/>
    </row>
    <row r="136" spans="1:12" ht="6.6" customHeight="1" x14ac:dyDescent="0.2">
      <c r="A136" s="117"/>
      <c r="B136" s="117"/>
      <c r="C136" s="117"/>
      <c r="D136" s="117"/>
      <c r="E136" s="117"/>
      <c r="F136" s="117"/>
      <c r="G136" s="117"/>
      <c r="H136" s="117"/>
      <c r="I136" s="117"/>
      <c r="J136" s="117"/>
      <c r="K136" s="117"/>
    </row>
    <row r="137" spans="1:12" ht="8.4499999999999993" customHeight="1" x14ac:dyDescent="0.2">
      <c r="A137" s="117"/>
      <c r="B137" s="117"/>
      <c r="C137" s="117"/>
      <c r="D137" s="117"/>
      <c r="E137" s="117"/>
      <c r="F137" s="117"/>
      <c r="G137" s="117"/>
      <c r="H137" s="117"/>
      <c r="I137" s="117"/>
      <c r="J137" s="117"/>
      <c r="K137" s="117"/>
    </row>
    <row r="138" spans="1:12" ht="45.6" customHeight="1" x14ac:dyDescent="0.2">
      <c r="A138" s="118"/>
      <c r="B138" s="118"/>
      <c r="C138" s="118"/>
      <c r="D138" s="118"/>
      <c r="E138" s="118"/>
      <c r="F138" s="118"/>
      <c r="G138" s="118"/>
      <c r="H138" s="118"/>
      <c r="I138" s="308"/>
      <c r="J138" s="308"/>
      <c r="K138" s="308"/>
    </row>
    <row r="139" spans="1:12" ht="6.95" customHeight="1" x14ac:dyDescent="0.2">
      <c r="A139" s="117"/>
      <c r="B139" s="117"/>
      <c r="C139" s="117"/>
      <c r="D139" s="117"/>
      <c r="E139" s="117"/>
      <c r="F139" s="117"/>
      <c r="G139" s="117"/>
      <c r="H139" s="117"/>
      <c r="I139" s="308"/>
      <c r="J139" s="308"/>
      <c r="K139" s="308"/>
    </row>
    <row r="140" spans="1:12" ht="15.95" customHeight="1" x14ac:dyDescent="0.2">
      <c r="A140" s="119"/>
      <c r="B140" s="119"/>
      <c r="C140" s="119"/>
      <c r="D140" s="119"/>
      <c r="E140" s="119"/>
      <c r="F140" s="119"/>
      <c r="G140" s="119"/>
      <c r="H140" s="119"/>
      <c r="I140" s="308"/>
      <c r="J140" s="308"/>
      <c r="K140" s="308"/>
    </row>
    <row r="141" spans="1:12" ht="54.6" customHeight="1" x14ac:dyDescent="0.2">
      <c r="A141" s="118"/>
      <c r="B141" s="118"/>
      <c r="C141" s="118"/>
      <c r="D141" s="118"/>
      <c r="E141" s="118"/>
      <c r="F141" s="118"/>
      <c r="G141" s="118"/>
      <c r="H141" s="118"/>
      <c r="I141" s="308"/>
      <c r="J141" s="308"/>
      <c r="K141" s="308"/>
    </row>
    <row r="142" spans="1:12" x14ac:dyDescent="0.2">
      <c r="A142" s="307" t="s">
        <v>196</v>
      </c>
      <c r="B142" s="307"/>
      <c r="C142" s="307"/>
      <c r="D142" s="307"/>
      <c r="E142" s="307"/>
      <c r="F142" s="307"/>
      <c r="G142" s="307"/>
      <c r="H142" s="307"/>
      <c r="I142" s="307"/>
      <c r="J142" s="307"/>
      <c r="K142" s="307"/>
    </row>
    <row r="143" spans="1:12" ht="14.1" customHeight="1" x14ac:dyDescent="0.2">
      <c r="A143" s="305" t="s">
        <v>197</v>
      </c>
      <c r="B143" s="305"/>
      <c r="C143" s="305"/>
      <c r="D143" s="305"/>
      <c r="E143" s="305"/>
      <c r="F143" s="305"/>
      <c r="G143" s="305"/>
      <c r="H143" s="305"/>
      <c r="I143" s="305"/>
      <c r="J143" s="305"/>
      <c r="K143" s="305"/>
      <c r="L143" s="305"/>
    </row>
    <row r="144" spans="1:12" ht="29.1" customHeight="1" x14ac:dyDescent="0.2">
      <c r="A144" s="120" t="s">
        <v>198</v>
      </c>
      <c r="B144" s="121" t="s">
        <v>199</v>
      </c>
      <c r="C144" s="122" t="s">
        <v>200</v>
      </c>
      <c r="D144" s="122" t="s">
        <v>201</v>
      </c>
      <c r="E144" s="122" t="s">
        <v>202</v>
      </c>
      <c r="F144" s="122" t="s">
        <v>203</v>
      </c>
      <c r="G144" s="122" t="s">
        <v>204</v>
      </c>
      <c r="H144" s="122" t="s">
        <v>205</v>
      </c>
      <c r="I144" s="123" t="s">
        <v>206</v>
      </c>
      <c r="J144" s="124" t="s">
        <v>207</v>
      </c>
      <c r="K144" s="122" t="s">
        <v>208</v>
      </c>
      <c r="L144" s="151" t="s">
        <v>348</v>
      </c>
    </row>
    <row r="145" spans="1:12" ht="11.1" customHeight="1" x14ac:dyDescent="0.2">
      <c r="A145" s="125" t="s">
        <v>215</v>
      </c>
      <c r="B145" s="126">
        <v>260</v>
      </c>
      <c r="C145" s="126">
        <v>202</v>
      </c>
      <c r="D145" s="126">
        <v>62</v>
      </c>
      <c r="E145" s="127">
        <v>0.04</v>
      </c>
      <c r="F145" s="128">
        <v>0.4</v>
      </c>
      <c r="G145" s="127">
        <v>0.47</v>
      </c>
      <c r="H145" s="126">
        <v>25</v>
      </c>
      <c r="I145" s="128">
        <v>2.1</v>
      </c>
      <c r="J145" s="127">
        <v>1.3</v>
      </c>
      <c r="K145" s="128">
        <v>23.9</v>
      </c>
      <c r="L145" s="127">
        <v>66</v>
      </c>
    </row>
    <row r="146" spans="1:12" ht="11.1" customHeight="1" x14ac:dyDescent="0.2">
      <c r="A146" s="129" t="s">
        <v>216</v>
      </c>
      <c r="B146" s="130">
        <v>292</v>
      </c>
      <c r="C146" s="130">
        <v>234</v>
      </c>
      <c r="D146" s="130">
        <v>62</v>
      </c>
      <c r="E146" s="131">
        <v>0.05</v>
      </c>
      <c r="F146" s="132">
        <v>0.4</v>
      </c>
      <c r="G146" s="131">
        <v>0.51</v>
      </c>
      <c r="H146" s="130">
        <v>25</v>
      </c>
      <c r="I146" s="132">
        <v>2.2999999999999998</v>
      </c>
      <c r="J146" s="131">
        <v>1.3</v>
      </c>
      <c r="K146" s="132">
        <v>26.5</v>
      </c>
      <c r="L146" s="131">
        <v>66.05</v>
      </c>
    </row>
    <row r="147" spans="1:12" ht="11.1" customHeight="1" x14ac:dyDescent="0.2">
      <c r="A147" s="129" t="s">
        <v>217</v>
      </c>
      <c r="B147" s="130">
        <v>342</v>
      </c>
      <c r="C147" s="130">
        <v>284</v>
      </c>
      <c r="D147" s="130">
        <v>62</v>
      </c>
      <c r="E147" s="131">
        <v>0.06</v>
      </c>
      <c r="F147" s="132">
        <v>0.4</v>
      </c>
      <c r="G147" s="131">
        <v>0.57999999999999996</v>
      </c>
      <c r="H147" s="130">
        <v>24</v>
      </c>
      <c r="I147" s="132">
        <v>2.6</v>
      </c>
      <c r="J147" s="131">
        <v>1.3</v>
      </c>
      <c r="K147" s="132">
        <v>30.4</v>
      </c>
      <c r="L147" s="131">
        <v>66.25</v>
      </c>
    </row>
    <row r="148" spans="1:12" ht="12" customHeight="1" x14ac:dyDescent="0.2">
      <c r="A148" s="129" t="s">
        <v>218</v>
      </c>
      <c r="B148" s="130">
        <v>392</v>
      </c>
      <c r="C148" s="130">
        <v>334</v>
      </c>
      <c r="D148" s="130">
        <v>62</v>
      </c>
      <c r="E148" s="131">
        <v>7.0000000000000007E-2</v>
      </c>
      <c r="F148" s="132">
        <v>0.5</v>
      </c>
      <c r="G148" s="131">
        <v>0.62</v>
      </c>
      <c r="H148" s="130">
        <v>25</v>
      </c>
      <c r="I148" s="132">
        <v>2.9</v>
      </c>
      <c r="J148" s="131">
        <v>1.3</v>
      </c>
      <c r="K148" s="132">
        <v>34.200000000000003</v>
      </c>
      <c r="L148" s="131">
        <v>66.7</v>
      </c>
    </row>
    <row r="149" spans="1:12" ht="12.95" customHeight="1" x14ac:dyDescent="0.2">
      <c r="A149" s="129" t="s">
        <v>219</v>
      </c>
      <c r="B149" s="130">
        <v>442</v>
      </c>
      <c r="C149" s="130">
        <v>384</v>
      </c>
      <c r="D149" s="130">
        <v>62</v>
      </c>
      <c r="E149" s="131">
        <v>7.0000000000000007E-2</v>
      </c>
      <c r="F149" s="132">
        <v>0.5</v>
      </c>
      <c r="G149" s="131">
        <v>0.69</v>
      </c>
      <c r="H149" s="130">
        <v>24</v>
      </c>
      <c r="I149" s="132">
        <v>3.3</v>
      </c>
      <c r="J149" s="131">
        <v>1.3</v>
      </c>
      <c r="K149" s="132">
        <v>37.9</v>
      </c>
      <c r="L149" s="131">
        <v>67.5</v>
      </c>
    </row>
    <row r="150" spans="1:12" ht="11.1" customHeight="1" x14ac:dyDescent="0.2">
      <c r="A150" s="129" t="s">
        <v>220</v>
      </c>
      <c r="B150" s="130">
        <v>492</v>
      </c>
      <c r="C150" s="130">
        <v>434</v>
      </c>
      <c r="D150" s="130">
        <v>62</v>
      </c>
      <c r="E150" s="131">
        <v>0.08</v>
      </c>
      <c r="F150" s="132">
        <v>0.6</v>
      </c>
      <c r="G150" s="131">
        <v>0.75</v>
      </c>
      <c r="H150" s="130">
        <v>23</v>
      </c>
      <c r="I150" s="132">
        <v>3.6</v>
      </c>
      <c r="J150" s="131">
        <v>1.3</v>
      </c>
      <c r="K150" s="132">
        <v>41.6</v>
      </c>
      <c r="L150" s="131">
        <v>68.2</v>
      </c>
    </row>
    <row r="151" spans="1:12" ht="11.1" customHeight="1" x14ac:dyDescent="0.2">
      <c r="A151" s="129" t="s">
        <v>221</v>
      </c>
      <c r="B151" s="130">
        <v>542</v>
      </c>
      <c r="C151" s="130">
        <v>484</v>
      </c>
      <c r="D151" s="130">
        <v>62</v>
      </c>
      <c r="E151" s="131">
        <v>0.09</v>
      </c>
      <c r="F151" s="132">
        <v>0.6</v>
      </c>
      <c r="G151" s="131">
        <v>0.82</v>
      </c>
      <c r="H151" s="130">
        <v>23</v>
      </c>
      <c r="I151" s="132">
        <v>3.9</v>
      </c>
      <c r="J151" s="131">
        <v>1.3</v>
      </c>
      <c r="K151" s="132">
        <v>45.2</v>
      </c>
      <c r="L151" s="131">
        <v>69.55</v>
      </c>
    </row>
    <row r="152" spans="1:12" ht="11.1" customHeight="1" x14ac:dyDescent="0.2">
      <c r="A152" s="129" t="s">
        <v>222</v>
      </c>
      <c r="B152" s="130">
        <v>592</v>
      </c>
      <c r="C152" s="130">
        <v>534</v>
      </c>
      <c r="D152" s="130">
        <v>62</v>
      </c>
      <c r="E152" s="131">
        <v>0.1</v>
      </c>
      <c r="F152" s="132">
        <v>0.6</v>
      </c>
      <c r="G152" s="131">
        <v>0.88</v>
      </c>
      <c r="H152" s="130">
        <v>23</v>
      </c>
      <c r="I152" s="132">
        <v>4.2</v>
      </c>
      <c r="J152" s="131">
        <v>1.3</v>
      </c>
      <c r="K152" s="132">
        <v>48.8</v>
      </c>
      <c r="L152" s="131">
        <v>71</v>
      </c>
    </row>
    <row r="153" spans="1:12" ht="12" customHeight="1" x14ac:dyDescent="0.2">
      <c r="A153" s="129" t="s">
        <v>223</v>
      </c>
      <c r="B153" s="130">
        <v>742</v>
      </c>
      <c r="C153" s="130">
        <v>684</v>
      </c>
      <c r="D153" s="130">
        <v>62</v>
      </c>
      <c r="E153" s="131">
        <v>0.12</v>
      </c>
      <c r="F153" s="132">
        <v>0.8</v>
      </c>
      <c r="G153" s="131">
        <v>1.08</v>
      </c>
      <c r="H153" s="130">
        <v>22</v>
      </c>
      <c r="I153" s="132">
        <v>5.0999999999999996</v>
      </c>
      <c r="J153" s="131">
        <v>1.3</v>
      </c>
      <c r="K153" s="132">
        <v>59.2</v>
      </c>
      <c r="L153" s="131">
        <v>74.8</v>
      </c>
    </row>
    <row r="154" spans="1:12" ht="12" customHeight="1" x14ac:dyDescent="0.2">
      <c r="A154" s="129" t="s">
        <v>224</v>
      </c>
      <c r="B154" s="130">
        <v>892</v>
      </c>
      <c r="C154" s="130">
        <v>834</v>
      </c>
      <c r="D154" s="130">
        <v>62</v>
      </c>
      <c r="E154" s="131">
        <v>0.14000000000000001</v>
      </c>
      <c r="F154" s="132">
        <v>0.9</v>
      </c>
      <c r="G154" s="131">
        <v>1.28</v>
      </c>
      <c r="H154" s="130">
        <v>22</v>
      </c>
      <c r="I154" s="132">
        <v>6</v>
      </c>
      <c r="J154" s="131">
        <v>1.3</v>
      </c>
      <c r="K154" s="132">
        <v>69.400000000000006</v>
      </c>
      <c r="L154" s="131">
        <v>84.4</v>
      </c>
    </row>
    <row r="155" spans="1:12" ht="11.1" customHeight="1" x14ac:dyDescent="0.2">
      <c r="A155" s="129" t="s">
        <v>225</v>
      </c>
      <c r="B155" s="130">
        <v>992</v>
      </c>
      <c r="C155" s="130">
        <v>934</v>
      </c>
      <c r="D155" s="130">
        <v>62</v>
      </c>
      <c r="E155" s="131">
        <v>0.16</v>
      </c>
      <c r="F155" s="132">
        <v>1</v>
      </c>
      <c r="G155" s="131">
        <v>1.41</v>
      </c>
      <c r="H155" s="130">
        <v>22</v>
      </c>
      <c r="I155" s="132">
        <v>6.5</v>
      </c>
      <c r="J155" s="131">
        <v>1.3</v>
      </c>
      <c r="K155" s="132">
        <v>76</v>
      </c>
      <c r="L155" s="131">
        <v>121.55</v>
      </c>
    </row>
    <row r="156" spans="1:12" ht="11.1" customHeight="1" x14ac:dyDescent="0.2">
      <c r="A156" s="129" t="s">
        <v>226</v>
      </c>
      <c r="B156" s="130">
        <v>1092</v>
      </c>
      <c r="C156" s="130">
        <v>1034</v>
      </c>
      <c r="D156" s="130">
        <v>62</v>
      </c>
      <c r="E156" s="131">
        <v>0.18</v>
      </c>
      <c r="F156" s="132">
        <v>1</v>
      </c>
      <c r="G156" s="131">
        <v>1.54</v>
      </c>
      <c r="H156" s="130">
        <v>22</v>
      </c>
      <c r="I156" s="132">
        <v>7.1</v>
      </c>
      <c r="J156" s="131">
        <v>1.3</v>
      </c>
      <c r="K156" s="132">
        <v>82.6</v>
      </c>
      <c r="L156" s="131">
        <v>124.65</v>
      </c>
    </row>
    <row r="157" spans="1:12" ht="11.1" customHeight="1" x14ac:dyDescent="0.2">
      <c r="A157" s="129" t="s">
        <v>227</v>
      </c>
      <c r="B157" s="130">
        <v>1192</v>
      </c>
      <c r="C157" s="130">
        <v>1134</v>
      </c>
      <c r="D157" s="130">
        <v>62</v>
      </c>
      <c r="E157" s="131">
        <v>0.19</v>
      </c>
      <c r="F157" s="132">
        <v>1.1000000000000001</v>
      </c>
      <c r="G157" s="131">
        <v>1.67</v>
      </c>
      <c r="H157" s="130">
        <v>22</v>
      </c>
      <c r="I157" s="132">
        <v>7.8</v>
      </c>
      <c r="J157" s="131">
        <v>1.33</v>
      </c>
      <c r="K157" s="132">
        <v>91.1</v>
      </c>
      <c r="L157" s="131">
        <v>130.15</v>
      </c>
    </row>
    <row r="158" spans="1:12" ht="12.95" customHeight="1" x14ac:dyDescent="0.2">
      <c r="A158" s="129" t="s">
        <v>228</v>
      </c>
      <c r="B158" s="130">
        <v>1492</v>
      </c>
      <c r="C158" s="130">
        <v>1434</v>
      </c>
      <c r="D158" s="130">
        <v>62</v>
      </c>
      <c r="E158" s="131">
        <v>0.24</v>
      </c>
      <c r="F158" s="132">
        <v>1.3</v>
      </c>
      <c r="G158" s="131">
        <v>2.0699999999999998</v>
      </c>
      <c r="H158" s="130">
        <v>23</v>
      </c>
      <c r="I158" s="132">
        <v>9.9</v>
      </c>
      <c r="J158" s="131">
        <v>1.33</v>
      </c>
      <c r="K158" s="132">
        <v>115</v>
      </c>
      <c r="L158" s="131">
        <v>142.6</v>
      </c>
    </row>
    <row r="159" spans="1:12" ht="12" customHeight="1" x14ac:dyDescent="0.2">
      <c r="A159" s="129" t="s">
        <v>229</v>
      </c>
      <c r="B159" s="130">
        <v>1792</v>
      </c>
      <c r="C159" s="130">
        <v>1734</v>
      </c>
      <c r="D159" s="130">
        <v>62</v>
      </c>
      <c r="E159" s="131">
        <v>0.28999999999999998</v>
      </c>
      <c r="F159" s="132">
        <v>1.6</v>
      </c>
      <c r="G159" s="131">
        <v>2.46</v>
      </c>
      <c r="H159" s="130">
        <v>23</v>
      </c>
      <c r="I159" s="132">
        <v>12</v>
      </c>
      <c r="J159" s="131">
        <v>1.32</v>
      </c>
      <c r="K159" s="132">
        <v>139</v>
      </c>
      <c r="L159" s="131">
        <v>159</v>
      </c>
    </row>
    <row r="160" spans="1:12" ht="11.1" customHeight="1" x14ac:dyDescent="0.2">
      <c r="A160" s="129" t="s">
        <v>230</v>
      </c>
      <c r="B160" s="130">
        <v>1992</v>
      </c>
      <c r="C160" s="130">
        <v>1934</v>
      </c>
      <c r="D160" s="130">
        <v>62</v>
      </c>
      <c r="E160" s="131">
        <v>0.32</v>
      </c>
      <c r="F160" s="132">
        <v>1.8</v>
      </c>
      <c r="G160" s="131">
        <v>2.72</v>
      </c>
      <c r="H160" s="130">
        <v>23</v>
      </c>
      <c r="I160" s="132">
        <v>13.4</v>
      </c>
      <c r="J160" s="131">
        <v>1.32</v>
      </c>
      <c r="K160" s="132">
        <v>156</v>
      </c>
      <c r="L160" s="131">
        <v>170.15</v>
      </c>
    </row>
    <row r="161" spans="1:12" ht="11.1" customHeight="1" x14ac:dyDescent="0.2">
      <c r="A161" s="129" t="s">
        <v>231</v>
      </c>
      <c r="B161" s="130">
        <v>2192</v>
      </c>
      <c r="C161" s="130">
        <v>2134</v>
      </c>
      <c r="D161" s="130">
        <v>62</v>
      </c>
      <c r="E161" s="131">
        <v>0.35</v>
      </c>
      <c r="F161" s="132">
        <v>1.9</v>
      </c>
      <c r="G161" s="131">
        <v>2.98</v>
      </c>
      <c r="H161" s="130">
        <v>23</v>
      </c>
      <c r="I161" s="132">
        <v>14.8</v>
      </c>
      <c r="J161" s="131">
        <v>1.32</v>
      </c>
      <c r="K161" s="132">
        <v>172</v>
      </c>
      <c r="L161" s="131">
        <v>196.85</v>
      </c>
    </row>
    <row r="162" spans="1:12" ht="11.1" customHeight="1" x14ac:dyDescent="0.2">
      <c r="A162" s="129" t="s">
        <v>232</v>
      </c>
      <c r="B162" s="130">
        <v>2492</v>
      </c>
      <c r="C162" s="130">
        <v>2434</v>
      </c>
      <c r="D162" s="130">
        <v>62</v>
      </c>
      <c r="E162" s="131">
        <v>0.4</v>
      </c>
      <c r="F162" s="132">
        <v>2.2000000000000002</v>
      </c>
      <c r="G162" s="131">
        <v>3.38</v>
      </c>
      <c r="H162" s="130">
        <v>23</v>
      </c>
      <c r="I162" s="132">
        <v>16.8</v>
      </c>
      <c r="J162" s="131">
        <v>1.32</v>
      </c>
      <c r="K162" s="132">
        <v>195</v>
      </c>
      <c r="L162" s="131">
        <v>213.45</v>
      </c>
    </row>
    <row r="163" spans="1:12" ht="12" customHeight="1" x14ac:dyDescent="0.2">
      <c r="A163" s="129" t="s">
        <v>233</v>
      </c>
      <c r="B163" s="130">
        <v>2792</v>
      </c>
      <c r="C163" s="130">
        <v>2734</v>
      </c>
      <c r="D163" s="130">
        <v>62</v>
      </c>
      <c r="E163" s="131">
        <v>0.45</v>
      </c>
      <c r="F163" s="132">
        <v>2.4</v>
      </c>
      <c r="G163" s="131">
        <v>3.77</v>
      </c>
      <c r="H163" s="130">
        <v>23</v>
      </c>
      <c r="I163" s="132">
        <v>18.8</v>
      </c>
      <c r="J163" s="131">
        <v>1.32</v>
      </c>
      <c r="K163" s="132">
        <v>219</v>
      </c>
      <c r="L163" s="131">
        <v>240.75</v>
      </c>
    </row>
    <row r="164" spans="1:12" ht="13.35" customHeight="1" x14ac:dyDescent="0.2">
      <c r="A164" s="133" t="s">
        <v>234</v>
      </c>
      <c r="B164" s="134">
        <v>2992</v>
      </c>
      <c r="C164" s="134">
        <v>2934</v>
      </c>
      <c r="D164" s="134">
        <v>62</v>
      </c>
      <c r="E164" s="135">
        <v>0.48</v>
      </c>
      <c r="F164" s="136">
        <v>2.6</v>
      </c>
      <c r="G164" s="135">
        <v>4.03</v>
      </c>
      <c r="H164" s="134">
        <v>23</v>
      </c>
      <c r="I164" s="136">
        <v>20.2</v>
      </c>
      <c r="J164" s="135">
        <v>1.31</v>
      </c>
      <c r="K164" s="136">
        <v>235</v>
      </c>
      <c r="L164" s="135">
        <v>254.85</v>
      </c>
    </row>
    <row r="165" spans="1:12" ht="14.1" customHeight="1" x14ac:dyDescent="0.2">
      <c r="A165" s="305" t="s">
        <v>235</v>
      </c>
      <c r="B165" s="305"/>
      <c r="C165" s="305"/>
      <c r="D165" s="305"/>
      <c r="E165" s="305"/>
      <c r="F165" s="305"/>
      <c r="G165" s="305"/>
      <c r="H165" s="305"/>
      <c r="I165" s="305"/>
      <c r="J165" s="305"/>
      <c r="K165" s="305"/>
      <c r="L165" s="305"/>
    </row>
    <row r="166" spans="1:12" ht="214.35" customHeight="1" x14ac:dyDescent="0.2">
      <c r="A166" s="306" t="s">
        <v>195</v>
      </c>
      <c r="B166" s="306"/>
      <c r="C166" s="306"/>
      <c r="D166" s="306"/>
      <c r="E166" s="306"/>
      <c r="F166" s="306"/>
      <c r="G166" s="306"/>
      <c r="H166" s="306"/>
      <c r="I166" s="306"/>
      <c r="J166" s="306"/>
      <c r="K166" s="306"/>
    </row>
    <row r="167" spans="1:12" x14ac:dyDescent="0.2">
      <c r="A167" s="307" t="s">
        <v>196</v>
      </c>
      <c r="B167" s="307"/>
      <c r="C167" s="307"/>
      <c r="D167" s="307"/>
      <c r="E167" s="307"/>
      <c r="F167" s="307"/>
      <c r="G167" s="307"/>
      <c r="H167" s="307"/>
      <c r="I167" s="307"/>
      <c r="J167" s="307"/>
      <c r="K167" s="307"/>
    </row>
    <row r="168" spans="1:12" ht="14.1" customHeight="1" x14ac:dyDescent="0.2">
      <c r="A168" s="305" t="s">
        <v>197</v>
      </c>
      <c r="B168" s="305"/>
      <c r="C168" s="305"/>
      <c r="D168" s="305"/>
      <c r="E168" s="305"/>
      <c r="F168" s="305"/>
      <c r="G168" s="305"/>
      <c r="H168" s="305"/>
      <c r="I168" s="305"/>
      <c r="J168" s="305"/>
      <c r="K168" s="305"/>
      <c r="L168" s="305"/>
    </row>
    <row r="169" spans="1:12" ht="29.1" customHeight="1" x14ac:dyDescent="0.2">
      <c r="A169" s="120" t="s">
        <v>198</v>
      </c>
      <c r="B169" s="121" t="s">
        <v>199</v>
      </c>
      <c r="C169" s="122" t="s">
        <v>200</v>
      </c>
      <c r="D169" s="122" t="s">
        <v>201</v>
      </c>
      <c r="E169" s="122" t="s">
        <v>202</v>
      </c>
      <c r="F169" s="122" t="s">
        <v>203</v>
      </c>
      <c r="G169" s="122" t="s">
        <v>204</v>
      </c>
      <c r="H169" s="122" t="s">
        <v>205</v>
      </c>
      <c r="I169" s="123" t="s">
        <v>206</v>
      </c>
      <c r="J169" s="124" t="s">
        <v>207</v>
      </c>
      <c r="K169" s="122" t="s">
        <v>208</v>
      </c>
      <c r="L169" s="151" t="s">
        <v>348</v>
      </c>
    </row>
    <row r="170" spans="1:12" ht="11.1" customHeight="1" x14ac:dyDescent="0.2">
      <c r="A170" s="125" t="s">
        <v>236</v>
      </c>
      <c r="B170" s="126">
        <v>260</v>
      </c>
      <c r="C170" s="126">
        <v>194</v>
      </c>
      <c r="D170" s="126">
        <v>100</v>
      </c>
      <c r="E170" s="127">
        <v>0.06</v>
      </c>
      <c r="F170" s="128">
        <v>0.6</v>
      </c>
      <c r="G170" s="127">
        <v>0.63</v>
      </c>
      <c r="H170" s="126">
        <v>21</v>
      </c>
      <c r="I170" s="128">
        <v>2.7</v>
      </c>
      <c r="J170" s="127">
        <v>1.27</v>
      </c>
      <c r="K170" s="128">
        <v>31.2</v>
      </c>
      <c r="L170" s="127">
        <v>75.150000000000006</v>
      </c>
    </row>
    <row r="171" spans="1:12" ht="11.1" customHeight="1" x14ac:dyDescent="0.2">
      <c r="A171" s="129" t="s">
        <v>237</v>
      </c>
      <c r="B171" s="130">
        <v>300</v>
      </c>
      <c r="C171" s="130">
        <v>234</v>
      </c>
      <c r="D171" s="130">
        <v>100</v>
      </c>
      <c r="E171" s="131">
        <v>7.0000000000000007E-2</v>
      </c>
      <c r="F171" s="132">
        <v>0.6</v>
      </c>
      <c r="G171" s="131">
        <v>0.71</v>
      </c>
      <c r="H171" s="130">
        <v>20</v>
      </c>
      <c r="I171" s="132">
        <v>3</v>
      </c>
      <c r="J171" s="131">
        <v>1.27</v>
      </c>
      <c r="K171" s="132">
        <v>35.4</v>
      </c>
      <c r="L171" s="131">
        <v>75.650000000000006</v>
      </c>
    </row>
    <row r="172" spans="1:12" ht="11.1" customHeight="1" x14ac:dyDescent="0.2">
      <c r="A172" s="129" t="s">
        <v>238</v>
      </c>
      <c r="B172" s="130">
        <v>350</v>
      </c>
      <c r="C172" s="130">
        <v>284</v>
      </c>
      <c r="D172" s="130">
        <v>100</v>
      </c>
      <c r="E172" s="131">
        <v>0.08</v>
      </c>
      <c r="F172" s="132">
        <v>0.7</v>
      </c>
      <c r="G172" s="131">
        <v>0.8</v>
      </c>
      <c r="H172" s="130">
        <v>20</v>
      </c>
      <c r="I172" s="132">
        <v>3.5</v>
      </c>
      <c r="J172" s="131">
        <v>1.28</v>
      </c>
      <c r="K172" s="132">
        <v>40.6</v>
      </c>
      <c r="L172" s="131">
        <v>76</v>
      </c>
    </row>
    <row r="173" spans="1:12" ht="12" customHeight="1" x14ac:dyDescent="0.2">
      <c r="A173" s="129" t="s">
        <v>239</v>
      </c>
      <c r="B173" s="130">
        <v>400</v>
      </c>
      <c r="C173" s="130">
        <v>334</v>
      </c>
      <c r="D173" s="130">
        <v>100</v>
      </c>
      <c r="E173" s="131">
        <v>0.1</v>
      </c>
      <c r="F173" s="132">
        <v>0.7</v>
      </c>
      <c r="G173" s="131">
        <v>0.91</v>
      </c>
      <c r="H173" s="130">
        <v>19</v>
      </c>
      <c r="I173" s="132">
        <v>3.9</v>
      </c>
      <c r="J173" s="131">
        <v>1.28</v>
      </c>
      <c r="K173" s="132">
        <v>45.7</v>
      </c>
      <c r="L173" s="131">
        <v>76.55</v>
      </c>
    </row>
    <row r="174" spans="1:12" ht="12.95" customHeight="1" x14ac:dyDescent="0.2">
      <c r="A174" s="129" t="s">
        <v>240</v>
      </c>
      <c r="B174" s="130">
        <v>450</v>
      </c>
      <c r="C174" s="130">
        <v>384</v>
      </c>
      <c r="D174" s="130">
        <v>100</v>
      </c>
      <c r="E174" s="131">
        <v>0.11</v>
      </c>
      <c r="F174" s="132">
        <v>0.8</v>
      </c>
      <c r="G174" s="131">
        <v>1.01</v>
      </c>
      <c r="H174" s="130">
        <v>19</v>
      </c>
      <c r="I174" s="132">
        <v>4.4000000000000004</v>
      </c>
      <c r="J174" s="131">
        <v>1.28</v>
      </c>
      <c r="K174" s="132">
        <v>50.8</v>
      </c>
      <c r="L174" s="131">
        <v>77</v>
      </c>
    </row>
    <row r="175" spans="1:12" ht="11.1" customHeight="1" x14ac:dyDescent="0.2">
      <c r="A175" s="129" t="s">
        <v>241</v>
      </c>
      <c r="B175" s="130">
        <v>500</v>
      </c>
      <c r="C175" s="130">
        <v>434</v>
      </c>
      <c r="D175" s="130">
        <v>100</v>
      </c>
      <c r="E175" s="131">
        <v>0.12</v>
      </c>
      <c r="F175" s="132">
        <v>0.9</v>
      </c>
      <c r="G175" s="131">
        <v>1.1000000000000001</v>
      </c>
      <c r="H175" s="130">
        <v>18</v>
      </c>
      <c r="I175" s="132">
        <v>4.8</v>
      </c>
      <c r="J175" s="131">
        <v>1.28</v>
      </c>
      <c r="K175" s="132">
        <v>55.9</v>
      </c>
      <c r="L175" s="131">
        <v>77.400000000000006</v>
      </c>
    </row>
    <row r="176" spans="1:12" ht="11.1" customHeight="1" x14ac:dyDescent="0.2">
      <c r="A176" s="129" t="s">
        <v>242</v>
      </c>
      <c r="B176" s="130">
        <v>550</v>
      </c>
      <c r="C176" s="130">
        <v>484</v>
      </c>
      <c r="D176" s="130">
        <v>100</v>
      </c>
      <c r="E176" s="131">
        <v>0.13</v>
      </c>
      <c r="F176" s="132">
        <v>0.9</v>
      </c>
      <c r="G176" s="131">
        <v>1.2</v>
      </c>
      <c r="H176" s="130">
        <v>18</v>
      </c>
      <c r="I176" s="132">
        <v>5.2</v>
      </c>
      <c r="J176" s="131">
        <v>1.28</v>
      </c>
      <c r="K176" s="132">
        <v>61</v>
      </c>
      <c r="L176" s="131">
        <v>80.45</v>
      </c>
    </row>
    <row r="177" spans="1:12" ht="11.1" customHeight="1" x14ac:dyDescent="0.2">
      <c r="A177" s="129" t="s">
        <v>243</v>
      </c>
      <c r="B177" s="130">
        <v>600</v>
      </c>
      <c r="C177" s="130">
        <v>534</v>
      </c>
      <c r="D177" s="130">
        <v>100</v>
      </c>
      <c r="E177" s="131">
        <v>0.14000000000000001</v>
      </c>
      <c r="F177" s="132">
        <v>1</v>
      </c>
      <c r="G177" s="131">
        <v>1.3</v>
      </c>
      <c r="H177" s="130">
        <v>18</v>
      </c>
      <c r="I177" s="132">
        <v>5.7</v>
      </c>
      <c r="J177" s="131">
        <v>1.28</v>
      </c>
      <c r="K177" s="132">
        <v>66</v>
      </c>
      <c r="L177" s="131">
        <v>85.5</v>
      </c>
    </row>
    <row r="178" spans="1:12" ht="12" customHeight="1" x14ac:dyDescent="0.2">
      <c r="A178" s="129" t="s">
        <v>244</v>
      </c>
      <c r="B178" s="130">
        <v>750</v>
      </c>
      <c r="C178" s="130">
        <v>684</v>
      </c>
      <c r="D178" s="130">
        <v>100</v>
      </c>
      <c r="E178" s="131">
        <v>0.18</v>
      </c>
      <c r="F178" s="132">
        <v>1.2</v>
      </c>
      <c r="G178" s="131">
        <v>1.59</v>
      </c>
      <c r="H178" s="130">
        <v>18</v>
      </c>
      <c r="I178" s="132">
        <v>7</v>
      </c>
      <c r="J178" s="131">
        <v>1.29</v>
      </c>
      <c r="K178" s="132">
        <v>81.099999999999994</v>
      </c>
      <c r="L178" s="131">
        <v>88.95</v>
      </c>
    </row>
    <row r="179" spans="1:12" ht="12" customHeight="1" x14ac:dyDescent="0.2">
      <c r="A179" s="129" t="s">
        <v>245</v>
      </c>
      <c r="B179" s="130">
        <v>900</v>
      </c>
      <c r="C179" s="130">
        <v>834</v>
      </c>
      <c r="D179" s="130">
        <v>100</v>
      </c>
      <c r="E179" s="131">
        <v>0.21</v>
      </c>
      <c r="F179" s="132">
        <v>1.3</v>
      </c>
      <c r="G179" s="131">
        <v>1.89</v>
      </c>
      <c r="H179" s="130">
        <v>18</v>
      </c>
      <c r="I179" s="132">
        <v>8.3000000000000007</v>
      </c>
      <c r="J179" s="131">
        <v>1.29</v>
      </c>
      <c r="K179" s="132">
        <v>96.3</v>
      </c>
      <c r="L179" s="131">
        <v>95.55</v>
      </c>
    </row>
    <row r="180" spans="1:12" ht="11.1" customHeight="1" x14ac:dyDescent="0.2">
      <c r="A180" s="129" t="s">
        <v>246</v>
      </c>
      <c r="B180" s="130">
        <v>1000</v>
      </c>
      <c r="C180" s="130">
        <v>934</v>
      </c>
      <c r="D180" s="130">
        <v>100</v>
      </c>
      <c r="E180" s="131">
        <v>0.24</v>
      </c>
      <c r="F180" s="132">
        <v>1.5</v>
      </c>
      <c r="G180" s="131">
        <v>2.08</v>
      </c>
      <c r="H180" s="130">
        <v>18</v>
      </c>
      <c r="I180" s="132">
        <v>9.1999999999999993</v>
      </c>
      <c r="J180" s="131">
        <v>1.29</v>
      </c>
      <c r="K180" s="132">
        <v>107</v>
      </c>
      <c r="L180" s="131">
        <v>137.35</v>
      </c>
    </row>
    <row r="181" spans="1:12" ht="11.1" customHeight="1" x14ac:dyDescent="0.2">
      <c r="A181" s="129" t="s">
        <v>247</v>
      </c>
      <c r="B181" s="130">
        <v>1100</v>
      </c>
      <c r="C181" s="130">
        <v>1034</v>
      </c>
      <c r="D181" s="130">
        <v>100</v>
      </c>
      <c r="E181" s="131">
        <v>0.26</v>
      </c>
      <c r="F181" s="132">
        <v>1.6</v>
      </c>
      <c r="G181" s="131">
        <v>2.2799999999999998</v>
      </c>
      <c r="H181" s="130">
        <v>18</v>
      </c>
      <c r="I181" s="132">
        <v>10.1</v>
      </c>
      <c r="J181" s="131">
        <v>1.3</v>
      </c>
      <c r="K181" s="132">
        <v>117</v>
      </c>
      <c r="L181" s="131">
        <v>147.15</v>
      </c>
    </row>
    <row r="182" spans="1:12" ht="11.1" customHeight="1" x14ac:dyDescent="0.2">
      <c r="A182" s="129" t="s">
        <v>248</v>
      </c>
      <c r="B182" s="130">
        <v>1200</v>
      </c>
      <c r="C182" s="130">
        <v>1134</v>
      </c>
      <c r="D182" s="130">
        <v>100</v>
      </c>
      <c r="E182" s="131">
        <v>0.28999999999999998</v>
      </c>
      <c r="F182" s="132">
        <v>1.7</v>
      </c>
      <c r="G182" s="131">
        <v>2.48</v>
      </c>
      <c r="H182" s="130">
        <v>18</v>
      </c>
      <c r="I182" s="132">
        <v>10.9</v>
      </c>
      <c r="J182" s="131">
        <v>1.31</v>
      </c>
      <c r="K182" s="132">
        <v>127</v>
      </c>
      <c r="L182" s="131">
        <v>161.4</v>
      </c>
    </row>
    <row r="183" spans="1:12" ht="12.95" customHeight="1" x14ac:dyDescent="0.2">
      <c r="A183" s="129" t="s">
        <v>249</v>
      </c>
      <c r="B183" s="130">
        <v>1500</v>
      </c>
      <c r="C183" s="130">
        <v>1434</v>
      </c>
      <c r="D183" s="130">
        <v>100</v>
      </c>
      <c r="E183" s="131">
        <v>0.36</v>
      </c>
      <c r="F183" s="132">
        <v>2</v>
      </c>
      <c r="G183" s="131">
        <v>3.06</v>
      </c>
      <c r="H183" s="130">
        <v>18</v>
      </c>
      <c r="I183" s="132">
        <v>13.6</v>
      </c>
      <c r="J183" s="131">
        <v>1.31</v>
      </c>
      <c r="K183" s="132">
        <v>158</v>
      </c>
      <c r="L183" s="131">
        <v>191.1</v>
      </c>
    </row>
    <row r="184" spans="1:12" ht="12" customHeight="1" x14ac:dyDescent="0.2">
      <c r="A184" s="129" t="s">
        <v>250</v>
      </c>
      <c r="B184" s="130">
        <v>1800</v>
      </c>
      <c r="C184" s="130">
        <v>1734</v>
      </c>
      <c r="D184" s="130">
        <v>100</v>
      </c>
      <c r="E184" s="131">
        <v>0.43</v>
      </c>
      <c r="F184" s="132">
        <v>2.4</v>
      </c>
      <c r="G184" s="131">
        <v>3.65</v>
      </c>
      <c r="H184" s="130">
        <v>18</v>
      </c>
      <c r="I184" s="132">
        <v>16.3</v>
      </c>
      <c r="J184" s="131">
        <v>1.31</v>
      </c>
      <c r="K184" s="132">
        <v>189</v>
      </c>
      <c r="L184" s="131">
        <v>228.3</v>
      </c>
    </row>
    <row r="185" spans="1:12" ht="11.1" customHeight="1" x14ac:dyDescent="0.2">
      <c r="A185" s="129" t="s">
        <v>251</v>
      </c>
      <c r="B185" s="130">
        <v>2000</v>
      </c>
      <c r="C185" s="130">
        <v>1934</v>
      </c>
      <c r="D185" s="130">
        <v>100</v>
      </c>
      <c r="E185" s="131">
        <v>0.47</v>
      </c>
      <c r="F185" s="132">
        <v>2.6</v>
      </c>
      <c r="G185" s="131">
        <v>4.04</v>
      </c>
      <c r="H185" s="130">
        <v>18</v>
      </c>
      <c r="I185" s="132">
        <v>18</v>
      </c>
      <c r="J185" s="131">
        <v>1.31</v>
      </c>
      <c r="K185" s="132">
        <v>209</v>
      </c>
      <c r="L185" s="131">
        <v>242.65</v>
      </c>
    </row>
    <row r="186" spans="1:12" ht="11.1" customHeight="1" x14ac:dyDescent="0.2">
      <c r="A186" s="129" t="s">
        <v>252</v>
      </c>
      <c r="B186" s="130">
        <v>2200</v>
      </c>
      <c r="C186" s="130">
        <v>2134</v>
      </c>
      <c r="D186" s="130">
        <v>100</v>
      </c>
      <c r="E186" s="131">
        <v>0.52</v>
      </c>
      <c r="F186" s="132">
        <v>2.9</v>
      </c>
      <c r="G186" s="131">
        <v>4.4400000000000004</v>
      </c>
      <c r="H186" s="130">
        <v>18</v>
      </c>
      <c r="I186" s="132">
        <v>19.7</v>
      </c>
      <c r="J186" s="131">
        <v>1.31</v>
      </c>
      <c r="K186" s="132">
        <v>229</v>
      </c>
      <c r="L186" s="131">
        <v>256.85000000000002</v>
      </c>
    </row>
    <row r="187" spans="1:12" ht="11.1" customHeight="1" x14ac:dyDescent="0.2">
      <c r="A187" s="129" t="s">
        <v>253</v>
      </c>
      <c r="B187" s="130">
        <v>2500</v>
      </c>
      <c r="C187" s="130">
        <v>2434</v>
      </c>
      <c r="D187" s="130">
        <v>100</v>
      </c>
      <c r="E187" s="131">
        <v>0.59</v>
      </c>
      <c r="F187" s="132">
        <v>3.3</v>
      </c>
      <c r="G187" s="131">
        <v>5.0199999999999996</v>
      </c>
      <c r="H187" s="130">
        <v>18</v>
      </c>
      <c r="I187" s="132">
        <v>22.4</v>
      </c>
      <c r="J187" s="131">
        <v>1.32</v>
      </c>
      <c r="K187" s="132">
        <v>260</v>
      </c>
      <c r="L187" s="131">
        <v>283.5</v>
      </c>
    </row>
    <row r="188" spans="1:12" ht="12" customHeight="1" x14ac:dyDescent="0.2">
      <c r="A188" s="129" t="s">
        <v>254</v>
      </c>
      <c r="B188" s="130">
        <v>2800</v>
      </c>
      <c r="C188" s="130">
        <v>2734</v>
      </c>
      <c r="D188" s="130">
        <v>100</v>
      </c>
      <c r="E188" s="131">
        <v>0.66</v>
      </c>
      <c r="F188" s="132">
        <v>3.7</v>
      </c>
      <c r="G188" s="131">
        <v>5.61</v>
      </c>
      <c r="H188" s="130">
        <v>18</v>
      </c>
      <c r="I188" s="132">
        <v>24.9</v>
      </c>
      <c r="J188" s="131">
        <v>1.32</v>
      </c>
      <c r="K188" s="132">
        <v>290</v>
      </c>
      <c r="L188" s="131">
        <v>330.7</v>
      </c>
    </row>
    <row r="189" spans="1:12" ht="13.35" customHeight="1" x14ac:dyDescent="0.2">
      <c r="A189" s="133" t="s">
        <v>255</v>
      </c>
      <c r="B189" s="134">
        <v>3000</v>
      </c>
      <c r="C189" s="134">
        <v>2934</v>
      </c>
      <c r="D189" s="134">
        <v>100</v>
      </c>
      <c r="E189" s="135">
        <v>0.71</v>
      </c>
      <c r="F189" s="136">
        <v>4</v>
      </c>
      <c r="G189" s="135">
        <v>6</v>
      </c>
      <c r="H189" s="134">
        <v>18</v>
      </c>
      <c r="I189" s="136">
        <v>26.7</v>
      </c>
      <c r="J189" s="135">
        <v>1.32</v>
      </c>
      <c r="K189" s="136">
        <v>311</v>
      </c>
      <c r="L189" s="135">
        <v>361.05</v>
      </c>
    </row>
    <row r="190" spans="1:12" ht="14.1" customHeight="1" x14ac:dyDescent="0.2">
      <c r="A190" s="305" t="s">
        <v>256</v>
      </c>
      <c r="B190" s="305"/>
      <c r="C190" s="305"/>
      <c r="D190" s="305"/>
      <c r="E190" s="305"/>
      <c r="F190" s="305"/>
      <c r="G190" s="305"/>
      <c r="H190" s="305"/>
      <c r="I190" s="305"/>
      <c r="J190" s="305"/>
      <c r="K190" s="305"/>
      <c r="L190" s="305"/>
    </row>
    <row r="191" spans="1:12" ht="214.35" customHeight="1" x14ac:dyDescent="0.2">
      <c r="A191" s="306" t="s">
        <v>195</v>
      </c>
      <c r="B191" s="306"/>
      <c r="C191" s="306"/>
      <c r="D191" s="306"/>
      <c r="E191" s="306"/>
      <c r="F191" s="306"/>
      <c r="G191" s="306"/>
      <c r="H191" s="306"/>
      <c r="I191" s="306"/>
      <c r="J191" s="306"/>
      <c r="K191" s="306"/>
    </row>
    <row r="192" spans="1:12" x14ac:dyDescent="0.2">
      <c r="A192" s="307" t="s">
        <v>196</v>
      </c>
      <c r="B192" s="307"/>
      <c r="C192" s="307"/>
      <c r="D192" s="307"/>
      <c r="E192" s="307"/>
      <c r="F192" s="307"/>
      <c r="G192" s="307"/>
      <c r="H192" s="307"/>
      <c r="I192" s="307"/>
      <c r="J192" s="307"/>
      <c r="K192" s="307"/>
    </row>
    <row r="193" spans="1:12" ht="14.1" customHeight="1" x14ac:dyDescent="0.2">
      <c r="A193" s="305" t="s">
        <v>197</v>
      </c>
      <c r="B193" s="305"/>
      <c r="C193" s="305"/>
      <c r="D193" s="305"/>
      <c r="E193" s="305"/>
      <c r="F193" s="305"/>
      <c r="G193" s="305"/>
      <c r="H193" s="305"/>
      <c r="I193" s="305"/>
      <c r="J193" s="305"/>
      <c r="K193" s="305"/>
      <c r="L193" s="305"/>
    </row>
    <row r="194" spans="1:12" ht="29.1" customHeight="1" x14ac:dyDescent="0.2">
      <c r="A194" s="120" t="s">
        <v>198</v>
      </c>
      <c r="B194" s="121" t="s">
        <v>199</v>
      </c>
      <c r="C194" s="122" t="s">
        <v>200</v>
      </c>
      <c r="D194" s="122" t="s">
        <v>201</v>
      </c>
      <c r="E194" s="122" t="s">
        <v>202</v>
      </c>
      <c r="F194" s="122" t="s">
        <v>203</v>
      </c>
      <c r="G194" s="122" t="s">
        <v>204</v>
      </c>
      <c r="H194" s="122" t="s">
        <v>205</v>
      </c>
      <c r="I194" s="123" t="s">
        <v>206</v>
      </c>
      <c r="J194" s="124" t="s">
        <v>207</v>
      </c>
      <c r="K194" s="122" t="s">
        <v>208</v>
      </c>
      <c r="L194" s="151" t="s">
        <v>348</v>
      </c>
    </row>
    <row r="195" spans="1:12" ht="11.1" customHeight="1" x14ac:dyDescent="0.2">
      <c r="A195" s="125" t="s">
        <v>257</v>
      </c>
      <c r="B195" s="126">
        <v>260</v>
      </c>
      <c r="C195" s="126">
        <v>194</v>
      </c>
      <c r="D195" s="126">
        <v>136</v>
      </c>
      <c r="E195" s="127">
        <v>0.09</v>
      </c>
      <c r="F195" s="128">
        <v>0.7</v>
      </c>
      <c r="G195" s="127">
        <v>0.85</v>
      </c>
      <c r="H195" s="126">
        <v>18</v>
      </c>
      <c r="I195" s="128">
        <v>3.5</v>
      </c>
      <c r="J195" s="127">
        <v>1.27</v>
      </c>
      <c r="K195" s="128">
        <v>40.4</v>
      </c>
      <c r="L195" s="127">
        <v>82.5</v>
      </c>
    </row>
    <row r="196" spans="1:12" ht="11.1" customHeight="1" x14ac:dyDescent="0.2">
      <c r="A196" s="129" t="s">
        <v>258</v>
      </c>
      <c r="B196" s="130">
        <v>300</v>
      </c>
      <c r="C196" s="130">
        <v>234</v>
      </c>
      <c r="D196" s="130">
        <v>136</v>
      </c>
      <c r="E196" s="131">
        <v>0.1</v>
      </c>
      <c r="F196" s="132">
        <v>0.8</v>
      </c>
      <c r="G196" s="131">
        <v>0.95</v>
      </c>
      <c r="H196" s="130">
        <v>18</v>
      </c>
      <c r="I196" s="132">
        <v>3.9</v>
      </c>
      <c r="J196" s="131">
        <v>1.27</v>
      </c>
      <c r="K196" s="132">
        <v>45.8</v>
      </c>
      <c r="L196" s="131">
        <v>83.65</v>
      </c>
    </row>
    <row r="197" spans="1:12" ht="11.1" customHeight="1" x14ac:dyDescent="0.2">
      <c r="A197" s="129" t="s">
        <v>259</v>
      </c>
      <c r="B197" s="130">
        <v>350</v>
      </c>
      <c r="C197" s="130">
        <v>284</v>
      </c>
      <c r="D197" s="130">
        <v>136</v>
      </c>
      <c r="E197" s="131">
        <v>0.11</v>
      </c>
      <c r="F197" s="132">
        <v>0.9</v>
      </c>
      <c r="G197" s="131">
        <v>1.08</v>
      </c>
      <c r="H197" s="130">
        <v>17</v>
      </c>
      <c r="I197" s="132">
        <v>4.5</v>
      </c>
      <c r="J197" s="131">
        <v>1.28</v>
      </c>
      <c r="K197" s="132">
        <v>52.5</v>
      </c>
      <c r="L197" s="131">
        <v>84.65</v>
      </c>
    </row>
    <row r="198" spans="1:12" ht="12" customHeight="1" x14ac:dyDescent="0.2">
      <c r="A198" s="129" t="s">
        <v>260</v>
      </c>
      <c r="B198" s="130">
        <v>400</v>
      </c>
      <c r="C198" s="130">
        <v>334</v>
      </c>
      <c r="D198" s="130">
        <v>136</v>
      </c>
      <c r="E198" s="131">
        <v>0.13</v>
      </c>
      <c r="F198" s="132">
        <v>0.9</v>
      </c>
      <c r="G198" s="131">
        <v>1.23</v>
      </c>
      <c r="H198" s="130">
        <v>16</v>
      </c>
      <c r="I198" s="132">
        <v>5.0999999999999996</v>
      </c>
      <c r="J198" s="131">
        <v>1.28</v>
      </c>
      <c r="K198" s="132">
        <v>59.2</v>
      </c>
      <c r="L198" s="131">
        <v>85.9</v>
      </c>
    </row>
    <row r="199" spans="1:12" ht="12.95" customHeight="1" x14ac:dyDescent="0.2">
      <c r="A199" s="129" t="s">
        <v>261</v>
      </c>
      <c r="B199" s="130">
        <v>450</v>
      </c>
      <c r="C199" s="130">
        <v>384</v>
      </c>
      <c r="D199" s="130">
        <v>136</v>
      </c>
      <c r="E199" s="131">
        <v>0.15</v>
      </c>
      <c r="F199" s="132">
        <v>1</v>
      </c>
      <c r="G199" s="131">
        <v>1.36</v>
      </c>
      <c r="H199" s="130">
        <v>16</v>
      </c>
      <c r="I199" s="132">
        <v>5.7</v>
      </c>
      <c r="J199" s="131">
        <v>1.28</v>
      </c>
      <c r="K199" s="132">
        <v>65.7</v>
      </c>
      <c r="L199" s="131">
        <v>87.3</v>
      </c>
    </row>
    <row r="200" spans="1:12" ht="11.1" customHeight="1" x14ac:dyDescent="0.2">
      <c r="A200" s="129" t="s">
        <v>262</v>
      </c>
      <c r="B200" s="130">
        <v>500</v>
      </c>
      <c r="C200" s="130">
        <v>434</v>
      </c>
      <c r="D200" s="130">
        <v>136</v>
      </c>
      <c r="E200" s="131">
        <v>0.16</v>
      </c>
      <c r="F200" s="132">
        <v>1.1000000000000001</v>
      </c>
      <c r="G200" s="131">
        <v>1.49</v>
      </c>
      <c r="H200" s="130">
        <v>16</v>
      </c>
      <c r="I200" s="132">
        <v>6.2</v>
      </c>
      <c r="J200" s="131">
        <v>1.28</v>
      </c>
      <c r="K200" s="132">
        <v>72.3</v>
      </c>
      <c r="L200" s="131">
        <v>89.3</v>
      </c>
    </row>
    <row r="201" spans="1:12" ht="11.1" customHeight="1" x14ac:dyDescent="0.2">
      <c r="A201" s="129" t="s">
        <v>263</v>
      </c>
      <c r="B201" s="130">
        <v>550</v>
      </c>
      <c r="C201" s="130">
        <v>484</v>
      </c>
      <c r="D201" s="130">
        <v>136</v>
      </c>
      <c r="E201" s="131">
        <v>0.18</v>
      </c>
      <c r="F201" s="132">
        <v>1.2</v>
      </c>
      <c r="G201" s="131">
        <v>1.62</v>
      </c>
      <c r="H201" s="130">
        <v>16</v>
      </c>
      <c r="I201" s="132">
        <v>6.8</v>
      </c>
      <c r="J201" s="131">
        <v>1.28</v>
      </c>
      <c r="K201" s="132">
        <v>78.8</v>
      </c>
      <c r="L201" s="131">
        <v>91.15</v>
      </c>
    </row>
    <row r="202" spans="1:12" ht="11.1" customHeight="1" x14ac:dyDescent="0.2">
      <c r="A202" s="129" t="s">
        <v>264</v>
      </c>
      <c r="B202" s="130">
        <v>600</v>
      </c>
      <c r="C202" s="130">
        <v>534</v>
      </c>
      <c r="D202" s="130">
        <v>136</v>
      </c>
      <c r="E202" s="131">
        <v>0.19</v>
      </c>
      <c r="F202" s="132">
        <v>1.3</v>
      </c>
      <c r="G202" s="131">
        <v>1.75</v>
      </c>
      <c r="H202" s="130">
        <v>15</v>
      </c>
      <c r="I202" s="132">
        <v>7.3</v>
      </c>
      <c r="J202" s="131">
        <v>1.28</v>
      </c>
      <c r="K202" s="132">
        <v>85.4</v>
      </c>
      <c r="L202" s="131">
        <v>93</v>
      </c>
    </row>
    <row r="203" spans="1:12" ht="12" customHeight="1" x14ac:dyDescent="0.2">
      <c r="A203" s="129" t="s">
        <v>265</v>
      </c>
      <c r="B203" s="130">
        <v>750</v>
      </c>
      <c r="C203" s="130">
        <v>684</v>
      </c>
      <c r="D203" s="130">
        <v>136</v>
      </c>
      <c r="E203" s="131">
        <v>0.24</v>
      </c>
      <c r="F203" s="132">
        <v>1.5</v>
      </c>
      <c r="G203" s="131">
        <v>2.13</v>
      </c>
      <c r="H203" s="130">
        <v>15</v>
      </c>
      <c r="I203" s="132">
        <v>9</v>
      </c>
      <c r="J203" s="131">
        <v>1.29</v>
      </c>
      <c r="K203" s="132">
        <v>105</v>
      </c>
      <c r="L203" s="131">
        <v>99.6</v>
      </c>
    </row>
    <row r="204" spans="1:12" ht="12" customHeight="1" x14ac:dyDescent="0.2">
      <c r="A204" s="129" t="s">
        <v>266</v>
      </c>
      <c r="B204" s="130">
        <v>900</v>
      </c>
      <c r="C204" s="130">
        <v>834</v>
      </c>
      <c r="D204" s="130">
        <v>136</v>
      </c>
      <c r="E204" s="131">
        <v>0.28999999999999998</v>
      </c>
      <c r="F204" s="132">
        <v>1.8</v>
      </c>
      <c r="G204" s="131">
        <v>2.52</v>
      </c>
      <c r="H204" s="130">
        <v>15</v>
      </c>
      <c r="I204" s="132">
        <v>10.8</v>
      </c>
      <c r="J204" s="131">
        <v>1.29</v>
      </c>
      <c r="K204" s="132">
        <v>125</v>
      </c>
      <c r="L204" s="131">
        <v>109.1</v>
      </c>
    </row>
    <row r="205" spans="1:12" ht="11.1" customHeight="1" x14ac:dyDescent="0.2">
      <c r="A205" s="129" t="s">
        <v>267</v>
      </c>
      <c r="B205" s="130">
        <v>1000</v>
      </c>
      <c r="C205" s="130">
        <v>934</v>
      </c>
      <c r="D205" s="130">
        <v>136</v>
      </c>
      <c r="E205" s="131">
        <v>0.32</v>
      </c>
      <c r="F205" s="132">
        <v>1.9</v>
      </c>
      <c r="G205" s="131">
        <v>2.78</v>
      </c>
      <c r="H205" s="130">
        <v>15</v>
      </c>
      <c r="I205" s="132">
        <v>11.9</v>
      </c>
      <c r="J205" s="131">
        <v>1.29</v>
      </c>
      <c r="K205" s="132">
        <v>138</v>
      </c>
      <c r="L205" s="131">
        <v>138.6</v>
      </c>
    </row>
    <row r="206" spans="1:12" ht="11.1" customHeight="1" x14ac:dyDescent="0.2">
      <c r="A206" s="129" t="s">
        <v>268</v>
      </c>
      <c r="B206" s="130">
        <v>1100</v>
      </c>
      <c r="C206" s="130">
        <v>1034</v>
      </c>
      <c r="D206" s="130">
        <v>136</v>
      </c>
      <c r="E206" s="131">
        <v>0.35</v>
      </c>
      <c r="F206" s="132">
        <v>2.1</v>
      </c>
      <c r="G206" s="131">
        <v>3.03</v>
      </c>
      <c r="H206" s="130">
        <v>15</v>
      </c>
      <c r="I206" s="132">
        <v>13</v>
      </c>
      <c r="J206" s="131">
        <v>1.3</v>
      </c>
      <c r="K206" s="132">
        <v>151</v>
      </c>
      <c r="L206" s="131">
        <v>158.69999999999999</v>
      </c>
    </row>
    <row r="207" spans="1:12" ht="11.1" customHeight="1" x14ac:dyDescent="0.2">
      <c r="A207" s="129" t="s">
        <v>269</v>
      </c>
      <c r="B207" s="130">
        <v>1200</v>
      </c>
      <c r="C207" s="130">
        <v>1134</v>
      </c>
      <c r="D207" s="130">
        <v>136</v>
      </c>
      <c r="E207" s="131">
        <v>0.38</v>
      </c>
      <c r="F207" s="132">
        <v>2.2000000000000002</v>
      </c>
      <c r="G207" s="131">
        <v>3.29</v>
      </c>
      <c r="H207" s="130">
        <v>15</v>
      </c>
      <c r="I207" s="132">
        <v>14.2</v>
      </c>
      <c r="J207" s="131">
        <v>1.31</v>
      </c>
      <c r="K207" s="132">
        <v>165</v>
      </c>
      <c r="L207" s="131">
        <v>182.25</v>
      </c>
    </row>
    <row r="208" spans="1:12" ht="12.95" customHeight="1" x14ac:dyDescent="0.2">
      <c r="A208" s="129" t="s">
        <v>270</v>
      </c>
      <c r="B208" s="130">
        <v>1500</v>
      </c>
      <c r="C208" s="130">
        <v>1434</v>
      </c>
      <c r="D208" s="130">
        <v>136</v>
      </c>
      <c r="E208" s="131">
        <v>0.47</v>
      </c>
      <c r="F208" s="132">
        <v>2.7</v>
      </c>
      <c r="G208" s="131">
        <v>4.0599999999999996</v>
      </c>
      <c r="H208" s="130">
        <v>15</v>
      </c>
      <c r="I208" s="132">
        <v>17.5</v>
      </c>
      <c r="J208" s="131">
        <v>1.31</v>
      </c>
      <c r="K208" s="132">
        <v>204</v>
      </c>
      <c r="L208" s="131">
        <v>214.25</v>
      </c>
    </row>
    <row r="209" spans="1:12" ht="12" customHeight="1" x14ac:dyDescent="0.2">
      <c r="A209" s="129" t="s">
        <v>271</v>
      </c>
      <c r="B209" s="130">
        <v>1800</v>
      </c>
      <c r="C209" s="130">
        <v>1734</v>
      </c>
      <c r="D209" s="130">
        <v>136</v>
      </c>
      <c r="E209" s="131">
        <v>0.56999999999999995</v>
      </c>
      <c r="F209" s="132">
        <v>3.1</v>
      </c>
      <c r="G209" s="131">
        <v>4.83</v>
      </c>
      <c r="H209" s="130">
        <v>15</v>
      </c>
      <c r="I209" s="132">
        <v>21</v>
      </c>
      <c r="J209" s="131">
        <v>1.31</v>
      </c>
      <c r="K209" s="132">
        <v>244</v>
      </c>
      <c r="L209" s="131">
        <v>251.55</v>
      </c>
    </row>
    <row r="210" spans="1:12" ht="11.1" customHeight="1" x14ac:dyDescent="0.2">
      <c r="A210" s="129" t="s">
        <v>272</v>
      </c>
      <c r="B210" s="130">
        <v>2000</v>
      </c>
      <c r="C210" s="130">
        <v>1934</v>
      </c>
      <c r="D210" s="130">
        <v>136</v>
      </c>
      <c r="E210" s="131">
        <v>0.63</v>
      </c>
      <c r="F210" s="132">
        <v>3.4</v>
      </c>
      <c r="G210" s="131">
        <v>5.35</v>
      </c>
      <c r="H210" s="130">
        <v>15</v>
      </c>
      <c r="I210" s="132">
        <v>23.2</v>
      </c>
      <c r="J210" s="131">
        <v>1.31</v>
      </c>
      <c r="K210" s="132">
        <v>270</v>
      </c>
      <c r="L210" s="131">
        <v>270</v>
      </c>
    </row>
    <row r="211" spans="1:12" ht="11.1" customHeight="1" x14ac:dyDescent="0.2">
      <c r="A211" s="129" t="s">
        <v>273</v>
      </c>
      <c r="B211" s="130">
        <v>2200</v>
      </c>
      <c r="C211" s="130">
        <v>2134</v>
      </c>
      <c r="D211" s="130">
        <v>136</v>
      </c>
      <c r="E211" s="131">
        <v>0.7</v>
      </c>
      <c r="F211" s="132">
        <v>3.7</v>
      </c>
      <c r="G211" s="131">
        <v>5.86</v>
      </c>
      <c r="H211" s="130">
        <v>15</v>
      </c>
      <c r="I211" s="132">
        <v>25.5</v>
      </c>
      <c r="J211" s="131">
        <v>1.31</v>
      </c>
      <c r="K211" s="132">
        <v>296</v>
      </c>
      <c r="L211" s="131">
        <v>296.35000000000002</v>
      </c>
    </row>
    <row r="212" spans="1:12" ht="11.1" customHeight="1" x14ac:dyDescent="0.2">
      <c r="A212" s="129" t="s">
        <v>274</v>
      </c>
      <c r="B212" s="130">
        <v>2500</v>
      </c>
      <c r="C212" s="130">
        <v>2434</v>
      </c>
      <c r="D212" s="130">
        <v>136</v>
      </c>
      <c r="E212" s="131">
        <v>0.79</v>
      </c>
      <c r="F212" s="132">
        <v>4.3</v>
      </c>
      <c r="G212" s="131">
        <v>6.64</v>
      </c>
      <c r="H212" s="130">
        <v>15</v>
      </c>
      <c r="I212" s="132">
        <v>28.8</v>
      </c>
      <c r="J212" s="131">
        <v>1.32</v>
      </c>
      <c r="K212" s="132">
        <v>335</v>
      </c>
      <c r="L212" s="131">
        <v>318.55</v>
      </c>
    </row>
    <row r="213" spans="1:12" ht="12" customHeight="1" x14ac:dyDescent="0.2">
      <c r="A213" s="129" t="s">
        <v>275</v>
      </c>
      <c r="B213" s="130">
        <v>2800</v>
      </c>
      <c r="C213" s="130">
        <v>2734</v>
      </c>
      <c r="D213" s="130">
        <v>136</v>
      </c>
      <c r="E213" s="131">
        <v>0.87</v>
      </c>
      <c r="F213" s="132">
        <v>4.9000000000000004</v>
      </c>
      <c r="G213" s="131">
        <v>7.41</v>
      </c>
      <c r="H213" s="130">
        <v>15</v>
      </c>
      <c r="I213" s="132">
        <v>32.200000000000003</v>
      </c>
      <c r="J213" s="131">
        <v>1.32</v>
      </c>
      <c r="K213" s="132">
        <v>375</v>
      </c>
      <c r="L213" s="131">
        <v>347.75</v>
      </c>
    </row>
    <row r="214" spans="1:12" ht="13.35" customHeight="1" x14ac:dyDescent="0.2">
      <c r="A214" s="133" t="s">
        <v>276</v>
      </c>
      <c r="B214" s="134">
        <v>3000</v>
      </c>
      <c r="C214" s="134">
        <v>2934</v>
      </c>
      <c r="D214" s="134">
        <v>136</v>
      </c>
      <c r="E214" s="135">
        <v>0.95</v>
      </c>
      <c r="F214" s="136">
        <v>5.4</v>
      </c>
      <c r="G214" s="135">
        <v>7.92</v>
      </c>
      <c r="H214" s="134">
        <v>15</v>
      </c>
      <c r="I214" s="136">
        <v>34.5</v>
      </c>
      <c r="J214" s="135">
        <v>1.32</v>
      </c>
      <c r="K214" s="136">
        <v>401</v>
      </c>
      <c r="L214" s="135">
        <v>375.9</v>
      </c>
    </row>
    <row r="215" spans="1:12" ht="14.1" customHeight="1" x14ac:dyDescent="0.2">
      <c r="A215" s="305" t="s">
        <v>277</v>
      </c>
      <c r="B215" s="305"/>
      <c r="C215" s="305"/>
      <c r="D215" s="305"/>
      <c r="E215" s="305"/>
      <c r="F215" s="305"/>
      <c r="G215" s="305"/>
      <c r="H215" s="305"/>
      <c r="I215" s="305"/>
      <c r="J215" s="305"/>
      <c r="K215" s="305"/>
      <c r="L215" s="305"/>
    </row>
    <row r="216" spans="1:12" ht="214.35" customHeight="1" x14ac:dyDescent="0.2">
      <c r="A216" s="306" t="s">
        <v>195</v>
      </c>
      <c r="B216" s="306"/>
      <c r="C216" s="306"/>
      <c r="D216" s="306"/>
      <c r="E216" s="306"/>
      <c r="F216" s="306"/>
      <c r="G216" s="306"/>
      <c r="H216" s="306"/>
      <c r="I216" s="306"/>
      <c r="J216" s="306"/>
      <c r="K216" s="306"/>
    </row>
    <row r="217" spans="1:12" x14ac:dyDescent="0.2">
      <c r="A217" s="307" t="s">
        <v>196</v>
      </c>
      <c r="B217" s="307"/>
      <c r="C217" s="307"/>
      <c r="D217" s="307"/>
      <c r="E217" s="307"/>
      <c r="F217" s="307"/>
      <c r="G217" s="307"/>
      <c r="H217" s="307"/>
      <c r="I217" s="307"/>
      <c r="J217" s="307"/>
      <c r="K217" s="307"/>
    </row>
    <row r="218" spans="1:12" ht="14.1" customHeight="1" x14ac:dyDescent="0.2">
      <c r="A218" s="305" t="s">
        <v>197</v>
      </c>
      <c r="B218" s="305"/>
      <c r="C218" s="305"/>
      <c r="D218" s="305"/>
      <c r="E218" s="305"/>
      <c r="F218" s="305"/>
      <c r="G218" s="305"/>
      <c r="H218" s="305"/>
      <c r="I218" s="305"/>
      <c r="J218" s="305"/>
      <c r="K218" s="305"/>
      <c r="L218" s="305"/>
    </row>
    <row r="219" spans="1:12" ht="29.1" customHeight="1" x14ac:dyDescent="0.2">
      <c r="A219" s="120" t="s">
        <v>198</v>
      </c>
      <c r="B219" s="121" t="s">
        <v>199</v>
      </c>
      <c r="C219" s="122" t="s">
        <v>200</v>
      </c>
      <c r="D219" s="122" t="s">
        <v>201</v>
      </c>
      <c r="E219" s="122" t="s">
        <v>202</v>
      </c>
      <c r="F219" s="122" t="s">
        <v>203</v>
      </c>
      <c r="G219" s="122" t="s">
        <v>204</v>
      </c>
      <c r="H219" s="122" t="s">
        <v>205</v>
      </c>
      <c r="I219" s="123" t="s">
        <v>206</v>
      </c>
      <c r="J219" s="124" t="s">
        <v>207</v>
      </c>
      <c r="K219" s="122" t="s">
        <v>208</v>
      </c>
      <c r="L219" s="151" t="s">
        <v>348</v>
      </c>
    </row>
    <row r="220" spans="1:12" ht="11.1" customHeight="1" x14ac:dyDescent="0.2">
      <c r="A220" s="125" t="s">
        <v>278</v>
      </c>
      <c r="B220" s="126">
        <v>260</v>
      </c>
      <c r="C220" s="126">
        <v>194</v>
      </c>
      <c r="D220" s="126">
        <v>173</v>
      </c>
      <c r="E220" s="127">
        <v>0.11</v>
      </c>
      <c r="F220" s="128">
        <v>0.9</v>
      </c>
      <c r="G220" s="127">
        <v>0.95</v>
      </c>
      <c r="H220" s="126">
        <v>17</v>
      </c>
      <c r="I220" s="128">
        <v>4.3</v>
      </c>
      <c r="J220" s="127">
        <v>1.27</v>
      </c>
      <c r="K220" s="128">
        <v>49.4</v>
      </c>
      <c r="L220" s="127">
        <v>92.9</v>
      </c>
    </row>
    <row r="221" spans="1:12" ht="11.1" customHeight="1" x14ac:dyDescent="0.2">
      <c r="A221" s="129" t="s">
        <v>279</v>
      </c>
      <c r="B221" s="130">
        <v>300</v>
      </c>
      <c r="C221" s="130">
        <v>234</v>
      </c>
      <c r="D221" s="130">
        <v>173</v>
      </c>
      <c r="E221" s="131">
        <v>0.12</v>
      </c>
      <c r="F221" s="132">
        <v>1</v>
      </c>
      <c r="G221" s="131">
        <v>1.08</v>
      </c>
      <c r="H221" s="130">
        <v>16</v>
      </c>
      <c r="I221" s="132">
        <v>4.8</v>
      </c>
      <c r="J221" s="131">
        <v>1.27</v>
      </c>
      <c r="K221" s="132">
        <v>56</v>
      </c>
      <c r="L221" s="131">
        <v>93.4</v>
      </c>
    </row>
    <row r="222" spans="1:12" ht="11.1" customHeight="1" x14ac:dyDescent="0.2">
      <c r="A222" s="129" t="s">
        <v>280</v>
      </c>
      <c r="B222" s="130">
        <v>350</v>
      </c>
      <c r="C222" s="130">
        <v>284</v>
      </c>
      <c r="D222" s="130">
        <v>173</v>
      </c>
      <c r="E222" s="131">
        <v>0.14000000000000001</v>
      </c>
      <c r="F222" s="132">
        <v>1.1000000000000001</v>
      </c>
      <c r="G222" s="131">
        <v>1.25</v>
      </c>
      <c r="H222" s="130">
        <v>15</v>
      </c>
      <c r="I222" s="132">
        <v>5.5</v>
      </c>
      <c r="J222" s="131">
        <v>1.28</v>
      </c>
      <c r="K222" s="132">
        <v>64.2</v>
      </c>
      <c r="L222" s="131">
        <v>94.35</v>
      </c>
    </row>
    <row r="223" spans="1:12" ht="12" customHeight="1" x14ac:dyDescent="0.2">
      <c r="A223" s="129" t="s">
        <v>281</v>
      </c>
      <c r="B223" s="130">
        <v>400</v>
      </c>
      <c r="C223" s="130">
        <v>334</v>
      </c>
      <c r="D223" s="130">
        <v>173</v>
      </c>
      <c r="E223" s="131">
        <v>0.16</v>
      </c>
      <c r="F223" s="132">
        <v>1.2</v>
      </c>
      <c r="G223" s="131">
        <v>1.58</v>
      </c>
      <c r="H223" s="130">
        <v>15</v>
      </c>
      <c r="I223" s="132">
        <v>6.2</v>
      </c>
      <c r="J223" s="131">
        <v>1.28</v>
      </c>
      <c r="K223" s="132">
        <v>72.3</v>
      </c>
      <c r="L223" s="131">
        <v>95.85</v>
      </c>
    </row>
    <row r="224" spans="1:12" ht="12.95" customHeight="1" x14ac:dyDescent="0.2">
      <c r="A224" s="129" t="s">
        <v>282</v>
      </c>
      <c r="B224" s="130">
        <v>450</v>
      </c>
      <c r="C224" s="130">
        <v>384</v>
      </c>
      <c r="D224" s="130">
        <v>173</v>
      </c>
      <c r="E224" s="131">
        <v>0.18</v>
      </c>
      <c r="F224" s="132">
        <v>1.3</v>
      </c>
      <c r="G224" s="131">
        <v>1.74</v>
      </c>
      <c r="H224" s="130">
        <v>14</v>
      </c>
      <c r="I224" s="132">
        <v>6.9</v>
      </c>
      <c r="J224" s="131">
        <v>1.28</v>
      </c>
      <c r="K224" s="132">
        <v>80.400000000000006</v>
      </c>
      <c r="L224" s="131">
        <v>97.6</v>
      </c>
    </row>
    <row r="225" spans="1:12" ht="11.1" customHeight="1" x14ac:dyDescent="0.2">
      <c r="A225" s="129" t="s">
        <v>283</v>
      </c>
      <c r="B225" s="130">
        <v>500</v>
      </c>
      <c r="C225" s="130">
        <v>434</v>
      </c>
      <c r="D225" s="130">
        <v>173</v>
      </c>
      <c r="E225" s="131">
        <v>0.2</v>
      </c>
      <c r="F225" s="132">
        <v>1.4</v>
      </c>
      <c r="G225" s="131">
        <v>1.91</v>
      </c>
      <c r="H225" s="130">
        <v>14</v>
      </c>
      <c r="I225" s="132">
        <v>7.6</v>
      </c>
      <c r="J225" s="131">
        <v>1.28</v>
      </c>
      <c r="K225" s="132">
        <v>88.4</v>
      </c>
      <c r="L225" s="131">
        <v>99.05</v>
      </c>
    </row>
    <row r="226" spans="1:12" ht="11.1" customHeight="1" x14ac:dyDescent="0.2">
      <c r="A226" s="129" t="s">
        <v>284</v>
      </c>
      <c r="B226" s="130">
        <v>550</v>
      </c>
      <c r="C226" s="130">
        <v>484</v>
      </c>
      <c r="D226" s="130">
        <v>173</v>
      </c>
      <c r="E226" s="131">
        <v>0.22</v>
      </c>
      <c r="F226" s="132">
        <v>1.5</v>
      </c>
      <c r="G226" s="131">
        <v>2.0699999999999998</v>
      </c>
      <c r="H226" s="130">
        <v>14</v>
      </c>
      <c r="I226" s="132">
        <v>8.3000000000000007</v>
      </c>
      <c r="J226" s="131">
        <v>1.28</v>
      </c>
      <c r="K226" s="132">
        <v>96.4</v>
      </c>
      <c r="L226" s="131">
        <v>101</v>
      </c>
    </row>
    <row r="227" spans="1:12" ht="11.1" customHeight="1" x14ac:dyDescent="0.2">
      <c r="A227" s="129" t="s">
        <v>285</v>
      </c>
      <c r="B227" s="130">
        <v>600</v>
      </c>
      <c r="C227" s="130">
        <v>534</v>
      </c>
      <c r="D227" s="130">
        <v>173</v>
      </c>
      <c r="E227" s="131">
        <v>0.24</v>
      </c>
      <c r="F227" s="132">
        <v>1.6</v>
      </c>
      <c r="G227" s="131">
        <v>2.23</v>
      </c>
      <c r="H227" s="130">
        <v>13</v>
      </c>
      <c r="I227" s="132">
        <v>8.9</v>
      </c>
      <c r="J227" s="131">
        <v>1.28</v>
      </c>
      <c r="K227" s="132">
        <v>104</v>
      </c>
      <c r="L227" s="131">
        <v>102.85</v>
      </c>
    </row>
    <row r="228" spans="1:12" ht="12" customHeight="1" x14ac:dyDescent="0.2">
      <c r="A228" s="129" t="s">
        <v>286</v>
      </c>
      <c r="B228" s="130">
        <v>750</v>
      </c>
      <c r="C228" s="130">
        <v>684</v>
      </c>
      <c r="D228" s="130">
        <v>173</v>
      </c>
      <c r="E228" s="131">
        <v>0.3</v>
      </c>
      <c r="F228" s="132">
        <v>1.9</v>
      </c>
      <c r="G228" s="131">
        <v>2.72</v>
      </c>
      <c r="H228" s="130">
        <v>13</v>
      </c>
      <c r="I228" s="132">
        <v>11</v>
      </c>
      <c r="J228" s="131">
        <v>1.29</v>
      </c>
      <c r="K228" s="132">
        <v>128</v>
      </c>
      <c r="L228" s="131">
        <v>112.15</v>
      </c>
    </row>
    <row r="229" spans="1:12" ht="12" customHeight="1" x14ac:dyDescent="0.2">
      <c r="A229" s="129" t="s">
        <v>287</v>
      </c>
      <c r="B229" s="130">
        <v>900</v>
      </c>
      <c r="C229" s="130">
        <v>834</v>
      </c>
      <c r="D229" s="130">
        <v>173</v>
      </c>
      <c r="E229" s="131">
        <v>0.36</v>
      </c>
      <c r="F229" s="132">
        <v>2.2000000000000002</v>
      </c>
      <c r="G229" s="131">
        <v>3.21</v>
      </c>
      <c r="H229" s="130">
        <v>13</v>
      </c>
      <c r="I229" s="132">
        <v>13.1</v>
      </c>
      <c r="J229" s="131">
        <v>1.29</v>
      </c>
      <c r="K229" s="132">
        <v>152</v>
      </c>
      <c r="L229" s="131">
        <v>123.2</v>
      </c>
    </row>
    <row r="230" spans="1:12" ht="11.1" customHeight="1" x14ac:dyDescent="0.2">
      <c r="A230" s="129" t="s">
        <v>288</v>
      </c>
      <c r="B230" s="130">
        <v>1000</v>
      </c>
      <c r="C230" s="130">
        <v>934</v>
      </c>
      <c r="D230" s="130">
        <v>173</v>
      </c>
      <c r="E230" s="131">
        <v>0.4</v>
      </c>
      <c r="F230" s="132">
        <v>2.4</v>
      </c>
      <c r="G230" s="131">
        <v>3.54</v>
      </c>
      <c r="H230" s="130">
        <v>13</v>
      </c>
      <c r="I230" s="132">
        <v>14.4</v>
      </c>
      <c r="J230" s="131">
        <v>1.29</v>
      </c>
      <c r="K230" s="132">
        <v>168</v>
      </c>
      <c r="L230" s="131">
        <v>166.2</v>
      </c>
    </row>
    <row r="231" spans="1:12" ht="11.1" customHeight="1" x14ac:dyDescent="0.2">
      <c r="A231" s="129" t="s">
        <v>289</v>
      </c>
      <c r="B231" s="130">
        <v>1100</v>
      </c>
      <c r="C231" s="130">
        <v>1034</v>
      </c>
      <c r="D231" s="130">
        <v>173</v>
      </c>
      <c r="E231" s="131">
        <v>0.44</v>
      </c>
      <c r="F231" s="132">
        <v>2.6</v>
      </c>
      <c r="G231" s="131">
        <v>3.87</v>
      </c>
      <c r="H231" s="130">
        <v>13</v>
      </c>
      <c r="I231" s="132">
        <v>15.9</v>
      </c>
      <c r="J231" s="131">
        <v>1.3</v>
      </c>
      <c r="K231" s="132">
        <v>185</v>
      </c>
      <c r="L231" s="131">
        <v>188.3</v>
      </c>
    </row>
    <row r="232" spans="1:12" ht="11.1" customHeight="1" x14ac:dyDescent="0.2">
      <c r="A232" s="129" t="s">
        <v>290</v>
      </c>
      <c r="B232" s="130">
        <v>1200</v>
      </c>
      <c r="C232" s="130">
        <v>1134</v>
      </c>
      <c r="D232" s="130">
        <v>173</v>
      </c>
      <c r="E232" s="131">
        <v>0.48</v>
      </c>
      <c r="F232" s="132">
        <v>2.8</v>
      </c>
      <c r="G232" s="131">
        <v>4.1900000000000004</v>
      </c>
      <c r="H232" s="130">
        <v>13</v>
      </c>
      <c r="I232" s="132">
        <v>17.3</v>
      </c>
      <c r="J232" s="131">
        <v>1.31</v>
      </c>
      <c r="K232" s="132">
        <v>201</v>
      </c>
      <c r="L232" s="131">
        <v>215.5</v>
      </c>
    </row>
    <row r="233" spans="1:12" ht="12.95" customHeight="1" x14ac:dyDescent="0.2">
      <c r="A233" s="129" t="s">
        <v>291</v>
      </c>
      <c r="B233" s="130">
        <v>1500</v>
      </c>
      <c r="C233" s="130">
        <v>1434</v>
      </c>
      <c r="D233" s="130">
        <v>173</v>
      </c>
      <c r="E233" s="131">
        <v>0.59</v>
      </c>
      <c r="F233" s="132">
        <v>3.3</v>
      </c>
      <c r="G233" s="131">
        <v>5.17</v>
      </c>
      <c r="H233" s="130">
        <v>13</v>
      </c>
      <c r="I233" s="132">
        <v>21.4</v>
      </c>
      <c r="J233" s="131">
        <v>1.31</v>
      </c>
      <c r="K233" s="132">
        <v>249</v>
      </c>
      <c r="L233" s="131">
        <v>251.65</v>
      </c>
    </row>
    <row r="234" spans="1:12" ht="12" customHeight="1" x14ac:dyDescent="0.2">
      <c r="A234" s="129" t="s">
        <v>292</v>
      </c>
      <c r="B234" s="130">
        <v>1800</v>
      </c>
      <c r="C234" s="130">
        <v>1734</v>
      </c>
      <c r="D234" s="130">
        <v>173</v>
      </c>
      <c r="E234" s="131">
        <v>0.71</v>
      </c>
      <c r="F234" s="132">
        <v>3.9</v>
      </c>
      <c r="G234" s="131">
        <v>6.15</v>
      </c>
      <c r="H234" s="130">
        <v>13</v>
      </c>
      <c r="I234" s="132">
        <v>25.5</v>
      </c>
      <c r="J234" s="131">
        <v>1.31</v>
      </c>
      <c r="K234" s="132">
        <v>297</v>
      </c>
      <c r="L234" s="131">
        <v>294.14999999999998</v>
      </c>
    </row>
    <row r="235" spans="1:12" ht="11.1" customHeight="1" x14ac:dyDescent="0.2">
      <c r="A235" s="129" t="s">
        <v>293</v>
      </c>
      <c r="B235" s="130">
        <v>2000</v>
      </c>
      <c r="C235" s="130">
        <v>1934</v>
      </c>
      <c r="D235" s="130">
        <v>173</v>
      </c>
      <c r="E235" s="131">
        <v>0.79</v>
      </c>
      <c r="F235" s="132">
        <v>4.3</v>
      </c>
      <c r="G235" s="131">
        <v>6.81</v>
      </c>
      <c r="H235" s="130">
        <v>13</v>
      </c>
      <c r="I235" s="132">
        <v>28.4</v>
      </c>
      <c r="J235" s="131">
        <v>1.31</v>
      </c>
      <c r="K235" s="132">
        <v>330</v>
      </c>
      <c r="L235" s="131">
        <v>317.25</v>
      </c>
    </row>
    <row r="236" spans="1:12" ht="11.1" customHeight="1" x14ac:dyDescent="0.2">
      <c r="A236" s="129" t="s">
        <v>294</v>
      </c>
      <c r="B236" s="130">
        <v>2200</v>
      </c>
      <c r="C236" s="130">
        <v>2134</v>
      </c>
      <c r="D236" s="130">
        <v>173</v>
      </c>
      <c r="E236" s="131">
        <v>0.87</v>
      </c>
      <c r="F236" s="132">
        <v>4.7</v>
      </c>
      <c r="G236" s="131">
        <v>7.46</v>
      </c>
      <c r="H236" s="130">
        <v>13</v>
      </c>
      <c r="I236" s="132">
        <v>31.1</v>
      </c>
      <c r="J236" s="131">
        <v>1.31</v>
      </c>
      <c r="K236" s="132">
        <v>362</v>
      </c>
      <c r="L236" s="131">
        <v>342.8</v>
      </c>
    </row>
    <row r="237" spans="1:12" ht="11.1" customHeight="1" x14ac:dyDescent="0.2">
      <c r="A237" s="129" t="s">
        <v>295</v>
      </c>
      <c r="B237" s="130">
        <v>2500</v>
      </c>
      <c r="C237" s="130">
        <v>2434</v>
      </c>
      <c r="D237" s="130">
        <v>173</v>
      </c>
      <c r="E237" s="131">
        <v>0.99</v>
      </c>
      <c r="F237" s="132">
        <v>5.4</v>
      </c>
      <c r="G237" s="131">
        <v>8.44</v>
      </c>
      <c r="H237" s="130">
        <v>13</v>
      </c>
      <c r="I237" s="132">
        <v>35.299999999999997</v>
      </c>
      <c r="J237" s="131">
        <v>1.32</v>
      </c>
      <c r="K237" s="132">
        <v>410</v>
      </c>
      <c r="L237" s="131">
        <v>368.2</v>
      </c>
    </row>
    <row r="238" spans="1:12" ht="12" customHeight="1" x14ac:dyDescent="0.2">
      <c r="A238" s="129" t="s">
        <v>296</v>
      </c>
      <c r="B238" s="130">
        <v>2800</v>
      </c>
      <c r="C238" s="130">
        <v>2734</v>
      </c>
      <c r="D238" s="130">
        <v>173</v>
      </c>
      <c r="E238" s="131">
        <v>1.1100000000000001</v>
      </c>
      <c r="F238" s="132">
        <v>6.1</v>
      </c>
      <c r="G238" s="131">
        <v>9.42</v>
      </c>
      <c r="H238" s="130">
        <v>13</v>
      </c>
      <c r="I238" s="132">
        <v>39.4</v>
      </c>
      <c r="J238" s="131">
        <v>1.32</v>
      </c>
      <c r="K238" s="132">
        <v>458</v>
      </c>
      <c r="L238" s="131">
        <v>394.35</v>
      </c>
    </row>
    <row r="239" spans="1:12" ht="13.35" customHeight="1" x14ac:dyDescent="0.2">
      <c r="A239" s="133" t="s">
        <v>297</v>
      </c>
      <c r="B239" s="134">
        <v>3000</v>
      </c>
      <c r="C239" s="134">
        <v>2934</v>
      </c>
      <c r="D239" s="134">
        <v>173</v>
      </c>
      <c r="E239" s="135">
        <v>1.19</v>
      </c>
      <c r="F239" s="136">
        <v>6.6</v>
      </c>
      <c r="G239" s="135">
        <v>10.08</v>
      </c>
      <c r="H239" s="134">
        <v>13</v>
      </c>
      <c r="I239" s="136">
        <v>42.1</v>
      </c>
      <c r="J239" s="135">
        <v>1.32</v>
      </c>
      <c r="K239" s="136">
        <v>490</v>
      </c>
      <c r="L239" s="135">
        <v>423.55</v>
      </c>
    </row>
    <row r="240" spans="1:12" ht="14.1" customHeight="1" x14ac:dyDescent="0.2">
      <c r="A240" s="305" t="s">
        <v>298</v>
      </c>
      <c r="B240" s="305"/>
      <c r="C240" s="305"/>
      <c r="D240" s="305"/>
      <c r="E240" s="305"/>
      <c r="F240" s="305"/>
      <c r="G240" s="305"/>
      <c r="H240" s="305"/>
      <c r="I240" s="305"/>
      <c r="J240" s="305"/>
      <c r="K240" s="305"/>
      <c r="L240" s="305"/>
    </row>
    <row r="241" spans="1:12" ht="214.35" customHeight="1" x14ac:dyDescent="0.2">
      <c r="A241" s="306" t="s">
        <v>195</v>
      </c>
      <c r="B241" s="306"/>
      <c r="C241" s="306"/>
      <c r="D241" s="306"/>
      <c r="E241" s="306"/>
      <c r="F241" s="306"/>
      <c r="G241" s="306"/>
      <c r="H241" s="306"/>
      <c r="I241" s="306"/>
      <c r="J241" s="306"/>
      <c r="K241" s="306"/>
    </row>
    <row r="242" spans="1:12" x14ac:dyDescent="0.2">
      <c r="A242" s="307" t="s">
        <v>196</v>
      </c>
      <c r="B242" s="307"/>
      <c r="C242" s="307"/>
      <c r="D242" s="307"/>
      <c r="E242" s="307"/>
      <c r="F242" s="307"/>
      <c r="G242" s="307"/>
      <c r="H242" s="307"/>
      <c r="I242" s="307"/>
      <c r="J242" s="307"/>
      <c r="K242" s="307"/>
    </row>
    <row r="243" spans="1:12" ht="14.1" customHeight="1" x14ac:dyDescent="0.2">
      <c r="A243" s="305" t="s">
        <v>197</v>
      </c>
      <c r="B243" s="305"/>
      <c r="C243" s="305"/>
      <c r="D243" s="305"/>
      <c r="E243" s="305"/>
      <c r="F243" s="305"/>
      <c r="G243" s="305"/>
      <c r="H243" s="305"/>
      <c r="I243" s="305"/>
      <c r="J243" s="305"/>
      <c r="K243" s="305"/>
      <c r="L243" s="305"/>
    </row>
    <row r="244" spans="1:12" ht="29.1" customHeight="1" x14ac:dyDescent="0.2">
      <c r="A244" s="120" t="s">
        <v>198</v>
      </c>
      <c r="B244" s="121" t="s">
        <v>199</v>
      </c>
      <c r="C244" s="122" t="s">
        <v>200</v>
      </c>
      <c r="D244" s="122" t="s">
        <v>201</v>
      </c>
      <c r="E244" s="122" t="s">
        <v>202</v>
      </c>
      <c r="F244" s="122" t="s">
        <v>203</v>
      </c>
      <c r="G244" s="122" t="s">
        <v>204</v>
      </c>
      <c r="H244" s="122" t="s">
        <v>205</v>
      </c>
      <c r="I244" s="123" t="s">
        <v>206</v>
      </c>
      <c r="J244" s="124" t="s">
        <v>207</v>
      </c>
      <c r="K244" s="122" t="s">
        <v>208</v>
      </c>
      <c r="L244" s="151" t="s">
        <v>348</v>
      </c>
    </row>
    <row r="245" spans="1:12" ht="11.1" customHeight="1" x14ac:dyDescent="0.2">
      <c r="A245" s="125" t="s">
        <v>299</v>
      </c>
      <c r="B245" s="126">
        <v>260</v>
      </c>
      <c r="C245" s="126">
        <v>194</v>
      </c>
      <c r="D245" s="126">
        <v>210</v>
      </c>
      <c r="E245" s="127">
        <v>0.13</v>
      </c>
      <c r="F245" s="128">
        <v>1</v>
      </c>
      <c r="G245" s="127">
        <v>1.33</v>
      </c>
      <c r="H245" s="126">
        <v>18</v>
      </c>
      <c r="I245" s="128">
        <v>5</v>
      </c>
      <c r="J245" s="127">
        <v>1.27</v>
      </c>
      <c r="K245" s="128">
        <v>58.1</v>
      </c>
      <c r="L245" s="127">
        <v>102.85</v>
      </c>
    </row>
    <row r="246" spans="1:12" ht="11.1" customHeight="1" x14ac:dyDescent="0.2">
      <c r="A246" s="129" t="s">
        <v>300</v>
      </c>
      <c r="B246" s="130">
        <v>300</v>
      </c>
      <c r="C246" s="130">
        <v>234</v>
      </c>
      <c r="D246" s="130">
        <v>210</v>
      </c>
      <c r="E246" s="131">
        <v>0.15</v>
      </c>
      <c r="F246" s="132">
        <v>1.1000000000000001</v>
      </c>
      <c r="G246" s="131">
        <v>1.49</v>
      </c>
      <c r="H246" s="130">
        <v>15</v>
      </c>
      <c r="I246" s="132">
        <v>5.7</v>
      </c>
      <c r="J246" s="131">
        <v>1.27</v>
      </c>
      <c r="K246" s="132">
        <v>65.900000000000006</v>
      </c>
      <c r="L246" s="131">
        <v>103.85</v>
      </c>
    </row>
    <row r="247" spans="1:12" ht="11.1" customHeight="1" x14ac:dyDescent="0.2">
      <c r="A247" s="129" t="s">
        <v>301</v>
      </c>
      <c r="B247" s="130">
        <v>350</v>
      </c>
      <c r="C247" s="130">
        <v>284</v>
      </c>
      <c r="D247" s="130">
        <v>210</v>
      </c>
      <c r="E247" s="131">
        <v>0.17</v>
      </c>
      <c r="F247" s="132">
        <v>1.3</v>
      </c>
      <c r="G247" s="131">
        <v>1.69</v>
      </c>
      <c r="H247" s="130">
        <v>14</v>
      </c>
      <c r="I247" s="132">
        <v>6.5</v>
      </c>
      <c r="J247" s="131">
        <v>1.28</v>
      </c>
      <c r="K247" s="132">
        <v>75.5</v>
      </c>
      <c r="L247" s="131">
        <v>105.4</v>
      </c>
    </row>
    <row r="248" spans="1:12" ht="12" customHeight="1" x14ac:dyDescent="0.2">
      <c r="A248" s="129" t="s">
        <v>302</v>
      </c>
      <c r="B248" s="130">
        <v>400</v>
      </c>
      <c r="C248" s="130">
        <v>334</v>
      </c>
      <c r="D248" s="130">
        <v>210</v>
      </c>
      <c r="E248" s="131">
        <v>0.19</v>
      </c>
      <c r="F248" s="132">
        <v>1.4</v>
      </c>
      <c r="G248" s="131">
        <v>1.87</v>
      </c>
      <c r="H248" s="130">
        <v>14</v>
      </c>
      <c r="I248" s="132">
        <v>7.3</v>
      </c>
      <c r="J248" s="131">
        <v>1.28</v>
      </c>
      <c r="K248" s="132">
        <v>85.1</v>
      </c>
      <c r="L248" s="131">
        <v>107.05</v>
      </c>
    </row>
    <row r="249" spans="1:12" ht="12.95" customHeight="1" x14ac:dyDescent="0.2">
      <c r="A249" s="129" t="s">
        <v>303</v>
      </c>
      <c r="B249" s="130">
        <v>450</v>
      </c>
      <c r="C249" s="130">
        <v>384</v>
      </c>
      <c r="D249" s="130">
        <v>210</v>
      </c>
      <c r="E249" s="131">
        <v>0.22</v>
      </c>
      <c r="F249" s="132">
        <v>1.5</v>
      </c>
      <c r="G249" s="131">
        <v>2.06</v>
      </c>
      <c r="H249" s="130">
        <v>13</v>
      </c>
      <c r="I249" s="132">
        <v>8.1</v>
      </c>
      <c r="J249" s="131">
        <v>1.28</v>
      </c>
      <c r="K249" s="132">
        <v>94.6</v>
      </c>
      <c r="L249" s="131">
        <v>108.7</v>
      </c>
    </row>
    <row r="250" spans="1:12" ht="11.1" customHeight="1" x14ac:dyDescent="0.2">
      <c r="A250" s="129" t="s">
        <v>304</v>
      </c>
      <c r="B250" s="130">
        <v>500</v>
      </c>
      <c r="C250" s="130">
        <v>434</v>
      </c>
      <c r="D250" s="130">
        <v>210</v>
      </c>
      <c r="E250" s="131">
        <v>0.24</v>
      </c>
      <c r="F250" s="132">
        <v>1.6</v>
      </c>
      <c r="G250" s="131">
        <v>2.2599999999999998</v>
      </c>
      <c r="H250" s="130">
        <v>13</v>
      </c>
      <c r="I250" s="132">
        <v>8.9</v>
      </c>
      <c r="J250" s="131">
        <v>1.28</v>
      </c>
      <c r="K250" s="132">
        <v>104</v>
      </c>
      <c r="L250" s="131">
        <v>110.5</v>
      </c>
    </row>
    <row r="251" spans="1:12" ht="11.1" customHeight="1" x14ac:dyDescent="0.2">
      <c r="A251" s="129" t="s">
        <v>305</v>
      </c>
      <c r="B251" s="130">
        <v>550</v>
      </c>
      <c r="C251" s="130">
        <v>484</v>
      </c>
      <c r="D251" s="130">
        <v>210</v>
      </c>
      <c r="E251" s="131">
        <v>0.26</v>
      </c>
      <c r="F251" s="132">
        <v>1.8</v>
      </c>
      <c r="G251" s="131">
        <v>2.46</v>
      </c>
      <c r="H251" s="130">
        <v>12</v>
      </c>
      <c r="I251" s="132">
        <v>9.6999999999999993</v>
      </c>
      <c r="J251" s="131">
        <v>1.28</v>
      </c>
      <c r="K251" s="132">
        <v>113</v>
      </c>
      <c r="L251" s="131">
        <v>113.2</v>
      </c>
    </row>
    <row r="252" spans="1:12" ht="11.1" customHeight="1" x14ac:dyDescent="0.2">
      <c r="A252" s="129" t="s">
        <v>306</v>
      </c>
      <c r="B252" s="130">
        <v>600</v>
      </c>
      <c r="C252" s="130">
        <v>534</v>
      </c>
      <c r="D252" s="130">
        <v>210</v>
      </c>
      <c r="E252" s="131">
        <v>0.28999999999999998</v>
      </c>
      <c r="F252" s="132">
        <v>1.9</v>
      </c>
      <c r="G252" s="131">
        <v>2.65</v>
      </c>
      <c r="H252" s="130">
        <v>12</v>
      </c>
      <c r="I252" s="132">
        <v>10.6</v>
      </c>
      <c r="J252" s="131">
        <v>1.28</v>
      </c>
      <c r="K252" s="132">
        <v>123</v>
      </c>
      <c r="L252" s="131">
        <v>115.9</v>
      </c>
    </row>
    <row r="253" spans="1:12" ht="12" customHeight="1" x14ac:dyDescent="0.2">
      <c r="A253" s="129" t="s">
        <v>307</v>
      </c>
      <c r="B253" s="130">
        <v>750</v>
      </c>
      <c r="C253" s="130">
        <v>684</v>
      </c>
      <c r="D253" s="130">
        <v>210</v>
      </c>
      <c r="E253" s="131">
        <v>0.36</v>
      </c>
      <c r="F253" s="132">
        <v>2.2000000000000002</v>
      </c>
      <c r="G253" s="131">
        <v>3.25</v>
      </c>
      <c r="H253" s="130">
        <v>12</v>
      </c>
      <c r="I253" s="132">
        <v>13</v>
      </c>
      <c r="J253" s="131">
        <v>1.29</v>
      </c>
      <c r="K253" s="132">
        <v>151</v>
      </c>
      <c r="L253" s="131">
        <v>125.6</v>
      </c>
    </row>
    <row r="254" spans="1:12" ht="12" customHeight="1" x14ac:dyDescent="0.2">
      <c r="A254" s="129" t="s">
        <v>308</v>
      </c>
      <c r="B254" s="130">
        <v>900</v>
      </c>
      <c r="C254" s="130">
        <v>834</v>
      </c>
      <c r="D254" s="130">
        <v>210</v>
      </c>
      <c r="E254" s="131">
        <v>0.43</v>
      </c>
      <c r="F254" s="132">
        <v>2.6</v>
      </c>
      <c r="G254" s="131">
        <v>3.84</v>
      </c>
      <c r="H254" s="130">
        <v>12</v>
      </c>
      <c r="I254" s="132">
        <v>15.4</v>
      </c>
      <c r="J254" s="131">
        <v>1.29</v>
      </c>
      <c r="K254" s="132">
        <v>179</v>
      </c>
      <c r="L254" s="131">
        <v>136.19999999999999</v>
      </c>
    </row>
    <row r="255" spans="1:12" ht="11.1" customHeight="1" x14ac:dyDescent="0.2">
      <c r="A255" s="129" t="s">
        <v>309</v>
      </c>
      <c r="B255" s="130">
        <v>1000</v>
      </c>
      <c r="C255" s="130">
        <v>934</v>
      </c>
      <c r="D255" s="130">
        <v>210</v>
      </c>
      <c r="E255" s="131">
        <v>0.48</v>
      </c>
      <c r="F255" s="132">
        <v>2.8</v>
      </c>
      <c r="G255" s="131">
        <v>4.2300000000000004</v>
      </c>
      <c r="H255" s="130">
        <v>12</v>
      </c>
      <c r="I255" s="132">
        <v>17</v>
      </c>
      <c r="J255" s="131">
        <v>1.29</v>
      </c>
      <c r="K255" s="132">
        <v>198</v>
      </c>
      <c r="L255" s="131">
        <v>174.65</v>
      </c>
    </row>
    <row r="256" spans="1:12" ht="11.1" customHeight="1" x14ac:dyDescent="0.2">
      <c r="A256" s="129" t="s">
        <v>310</v>
      </c>
      <c r="B256" s="130">
        <v>1100</v>
      </c>
      <c r="C256" s="130">
        <v>1034</v>
      </c>
      <c r="D256" s="130">
        <v>210</v>
      </c>
      <c r="E256" s="131">
        <v>0.52</v>
      </c>
      <c r="F256" s="132">
        <v>3.1</v>
      </c>
      <c r="G256" s="131">
        <v>4.62</v>
      </c>
      <c r="H256" s="130">
        <v>12</v>
      </c>
      <c r="I256" s="132">
        <v>18.7</v>
      </c>
      <c r="J256" s="131">
        <v>1.3</v>
      </c>
      <c r="K256" s="132">
        <v>217</v>
      </c>
      <c r="L256" s="131">
        <v>198.7</v>
      </c>
    </row>
    <row r="257" spans="1:13" ht="11.1" customHeight="1" x14ac:dyDescent="0.2">
      <c r="A257" s="129" t="s">
        <v>311</v>
      </c>
      <c r="B257" s="130">
        <v>1200</v>
      </c>
      <c r="C257" s="130">
        <v>1134</v>
      </c>
      <c r="D257" s="130">
        <v>210</v>
      </c>
      <c r="E257" s="131">
        <v>0.56999999999999995</v>
      </c>
      <c r="F257" s="132">
        <v>3.3</v>
      </c>
      <c r="G257" s="131">
        <v>5.0199999999999996</v>
      </c>
      <c r="H257" s="130">
        <v>12</v>
      </c>
      <c r="I257" s="132">
        <v>20.3</v>
      </c>
      <c r="J257" s="131">
        <v>1.31</v>
      </c>
      <c r="K257" s="132">
        <v>236</v>
      </c>
      <c r="L257" s="131">
        <v>224.9</v>
      </c>
    </row>
    <row r="258" spans="1:13" ht="12.95" customHeight="1" x14ac:dyDescent="0.2">
      <c r="A258" s="129" t="s">
        <v>312</v>
      </c>
      <c r="B258" s="130">
        <v>1500</v>
      </c>
      <c r="C258" s="130">
        <v>1434</v>
      </c>
      <c r="D258" s="130">
        <v>210</v>
      </c>
      <c r="E258" s="131">
        <v>0.71</v>
      </c>
      <c r="F258" s="132">
        <v>4</v>
      </c>
      <c r="G258" s="131">
        <v>6.2</v>
      </c>
      <c r="H258" s="130">
        <v>12</v>
      </c>
      <c r="I258" s="132">
        <v>25.2</v>
      </c>
      <c r="J258" s="131">
        <v>1.31</v>
      </c>
      <c r="K258" s="132">
        <v>293</v>
      </c>
      <c r="L258" s="131">
        <v>260.39999999999998</v>
      </c>
    </row>
    <row r="259" spans="1:13" ht="12" customHeight="1" x14ac:dyDescent="0.2">
      <c r="A259" s="129" t="s">
        <v>313</v>
      </c>
      <c r="B259" s="130">
        <v>1800</v>
      </c>
      <c r="C259" s="130">
        <v>1734</v>
      </c>
      <c r="D259" s="130">
        <v>210</v>
      </c>
      <c r="E259" s="131">
        <v>0.85</v>
      </c>
      <c r="F259" s="132">
        <v>4.8</v>
      </c>
      <c r="G259" s="131">
        <v>7.38</v>
      </c>
      <c r="H259" s="130">
        <v>12</v>
      </c>
      <c r="I259" s="132">
        <v>30</v>
      </c>
      <c r="J259" s="131">
        <v>1.31</v>
      </c>
      <c r="K259" s="132">
        <v>349</v>
      </c>
      <c r="L259" s="131">
        <v>304.75</v>
      </c>
    </row>
    <row r="260" spans="1:13" ht="11.1" customHeight="1" x14ac:dyDescent="0.2">
      <c r="A260" s="129" t="s">
        <v>314</v>
      </c>
      <c r="B260" s="130">
        <v>2000</v>
      </c>
      <c r="C260" s="130">
        <v>1934</v>
      </c>
      <c r="D260" s="130">
        <v>210</v>
      </c>
      <c r="E260" s="131">
        <v>0.95</v>
      </c>
      <c r="F260" s="132">
        <v>5.2</v>
      </c>
      <c r="G260" s="131">
        <v>8.17</v>
      </c>
      <c r="H260" s="130">
        <v>12</v>
      </c>
      <c r="I260" s="132">
        <v>33.299999999999997</v>
      </c>
      <c r="J260" s="131">
        <v>1.31</v>
      </c>
      <c r="K260" s="132">
        <v>387</v>
      </c>
      <c r="L260" s="131">
        <v>331.95</v>
      </c>
    </row>
    <row r="261" spans="1:13" ht="11.1" customHeight="1" x14ac:dyDescent="0.2">
      <c r="A261" s="129" t="s">
        <v>315</v>
      </c>
      <c r="B261" s="130">
        <v>2200</v>
      </c>
      <c r="C261" s="130">
        <v>2134</v>
      </c>
      <c r="D261" s="130">
        <v>210</v>
      </c>
      <c r="E261" s="131">
        <v>1.04</v>
      </c>
      <c r="F261" s="132">
        <v>5.7</v>
      </c>
      <c r="G261" s="131">
        <v>8.9600000000000009</v>
      </c>
      <c r="H261" s="130">
        <v>12</v>
      </c>
      <c r="I261" s="132">
        <v>36.5</v>
      </c>
      <c r="J261" s="131">
        <v>1.31</v>
      </c>
      <c r="K261" s="132">
        <v>425</v>
      </c>
      <c r="L261" s="131">
        <v>363.2</v>
      </c>
    </row>
    <row r="262" spans="1:13" ht="11.1" customHeight="1" x14ac:dyDescent="0.2">
      <c r="A262" s="129" t="s">
        <v>316</v>
      </c>
      <c r="B262" s="130">
        <v>2500</v>
      </c>
      <c r="C262" s="130">
        <v>2434</v>
      </c>
      <c r="D262" s="130">
        <v>210</v>
      </c>
      <c r="E262" s="131">
        <v>1.19</v>
      </c>
      <c r="F262" s="132">
        <v>6.4</v>
      </c>
      <c r="G262" s="131">
        <v>10.14</v>
      </c>
      <c r="H262" s="130">
        <v>12</v>
      </c>
      <c r="I262" s="132">
        <v>41.4</v>
      </c>
      <c r="J262" s="131">
        <v>1.32</v>
      </c>
      <c r="K262" s="132">
        <v>481</v>
      </c>
      <c r="L262" s="131">
        <v>396.75</v>
      </c>
    </row>
    <row r="263" spans="1:13" ht="12" customHeight="1" x14ac:dyDescent="0.2">
      <c r="A263" s="129" t="s">
        <v>317</v>
      </c>
      <c r="B263" s="130">
        <v>2800</v>
      </c>
      <c r="C263" s="130">
        <v>2734</v>
      </c>
      <c r="D263" s="130">
        <v>210</v>
      </c>
      <c r="E263" s="131">
        <v>1.34</v>
      </c>
      <c r="F263" s="132">
        <v>7.1</v>
      </c>
      <c r="G263" s="131">
        <v>11.32</v>
      </c>
      <c r="H263" s="130">
        <v>12</v>
      </c>
      <c r="I263" s="132">
        <v>46.2</v>
      </c>
      <c r="J263" s="131">
        <v>1.32</v>
      </c>
      <c r="K263" s="132">
        <v>537</v>
      </c>
      <c r="L263" s="131">
        <v>430.15</v>
      </c>
    </row>
    <row r="264" spans="1:13" ht="13.35" customHeight="1" x14ac:dyDescent="0.2">
      <c r="A264" s="133" t="s">
        <v>318</v>
      </c>
      <c r="B264" s="134">
        <v>3000</v>
      </c>
      <c r="C264" s="134">
        <v>2934</v>
      </c>
      <c r="D264" s="134">
        <v>210</v>
      </c>
      <c r="E264" s="135">
        <v>1.42</v>
      </c>
      <c r="F264" s="136">
        <v>7.6</v>
      </c>
      <c r="G264" s="135">
        <v>12.11</v>
      </c>
      <c r="H264" s="134">
        <v>12</v>
      </c>
      <c r="I264" s="136">
        <v>49.4</v>
      </c>
      <c r="J264" s="135">
        <v>1.32</v>
      </c>
      <c r="K264" s="136">
        <v>575</v>
      </c>
      <c r="L264" s="135">
        <v>452.8</v>
      </c>
    </row>
    <row r="265" spans="1:13" ht="20.25" x14ac:dyDescent="0.2">
      <c r="A265" s="313" t="s">
        <v>319</v>
      </c>
      <c r="B265" s="313"/>
      <c r="C265" s="313"/>
      <c r="D265" s="313"/>
      <c r="E265" s="313"/>
      <c r="F265" s="313"/>
      <c r="G265" s="313"/>
      <c r="H265" s="313"/>
      <c r="I265" s="313"/>
      <c r="J265" s="313"/>
      <c r="K265" s="313"/>
    </row>
    <row r="266" spans="1:13" ht="14.1" customHeight="1" x14ac:dyDescent="0.2">
      <c r="A266" s="305" t="s">
        <v>320</v>
      </c>
      <c r="B266" s="305"/>
      <c r="C266" s="305"/>
      <c r="D266" s="305"/>
      <c r="E266" s="305"/>
      <c r="F266" s="305"/>
      <c r="G266" s="305"/>
      <c r="H266" s="305"/>
      <c r="I266" s="305"/>
      <c r="J266" s="305"/>
      <c r="K266" s="305"/>
      <c r="L266" s="305"/>
      <c r="M266" s="305"/>
    </row>
    <row r="267" spans="1:13" ht="66.75" customHeight="1" x14ac:dyDescent="0.2">
      <c r="A267" s="314" t="s">
        <v>321</v>
      </c>
      <c r="B267" s="314"/>
      <c r="C267" s="314"/>
      <c r="D267" s="314"/>
      <c r="E267" s="314"/>
      <c r="F267" s="314"/>
      <c r="G267" s="314"/>
      <c r="H267" s="314"/>
      <c r="I267" s="314"/>
      <c r="J267" s="314"/>
      <c r="K267" s="314"/>
    </row>
    <row r="268" spans="1:13" ht="5.25" customHeight="1" x14ac:dyDescent="0.2">
      <c r="A268" s="117"/>
      <c r="B268" s="117"/>
      <c r="C268" s="117"/>
      <c r="D268" s="117"/>
      <c r="E268" s="117"/>
      <c r="F268" s="117"/>
      <c r="G268" s="117"/>
      <c r="H268" s="137"/>
      <c r="I268" s="315"/>
      <c r="J268" s="315"/>
      <c r="K268" s="315"/>
    </row>
    <row r="269" spans="1:13" ht="11.1" customHeight="1" x14ac:dyDescent="0.2">
      <c r="A269" s="117"/>
      <c r="B269" s="117"/>
      <c r="C269" s="117"/>
      <c r="D269" s="117"/>
      <c r="E269" s="117"/>
      <c r="F269" s="117"/>
      <c r="G269" s="117"/>
      <c r="H269" s="138"/>
      <c r="I269" s="315"/>
      <c r="J269" s="315"/>
      <c r="K269" s="315"/>
    </row>
    <row r="270" spans="1:13" ht="9.9499999999999993" customHeight="1" x14ac:dyDescent="0.2">
      <c r="A270" s="117"/>
      <c r="B270" s="117"/>
      <c r="C270" s="117"/>
      <c r="D270" s="117"/>
      <c r="E270" s="117"/>
      <c r="F270" s="117"/>
      <c r="G270" s="117"/>
      <c r="H270" s="138"/>
      <c r="I270" s="315"/>
      <c r="J270" s="315"/>
      <c r="K270" s="315"/>
    </row>
    <row r="271" spans="1:13" ht="9.75" customHeight="1" x14ac:dyDescent="0.2">
      <c r="A271" s="117"/>
      <c r="B271" s="117"/>
      <c r="C271" s="117"/>
      <c r="D271" s="117"/>
      <c r="E271" s="117"/>
      <c r="F271" s="117"/>
      <c r="G271" s="117"/>
      <c r="H271" s="139"/>
      <c r="I271" s="140"/>
      <c r="J271" s="316"/>
      <c r="K271" s="316"/>
    </row>
    <row r="272" spans="1:13" ht="9.9499999999999993" customHeight="1" x14ac:dyDescent="0.2">
      <c r="A272" s="117"/>
      <c r="B272" s="117"/>
      <c r="C272" s="117"/>
      <c r="D272" s="117"/>
      <c r="E272" s="117"/>
      <c r="F272" s="117"/>
      <c r="G272" s="117"/>
      <c r="H272" s="117"/>
      <c r="I272" s="140"/>
      <c r="J272" s="316"/>
      <c r="K272" s="316"/>
    </row>
    <row r="273" spans="1:13" ht="29.25" customHeight="1" x14ac:dyDescent="0.2">
      <c r="A273" s="118"/>
      <c r="B273" s="118"/>
      <c r="C273" s="118"/>
      <c r="D273" s="118"/>
      <c r="E273" s="118"/>
      <c r="F273" s="118"/>
      <c r="G273" s="118"/>
      <c r="H273" s="118"/>
      <c r="I273" s="118"/>
      <c r="J273" s="308"/>
      <c r="K273" s="308"/>
    </row>
    <row r="274" spans="1:13" ht="9.9499999999999993" customHeight="1" x14ac:dyDescent="0.2">
      <c r="A274" s="117"/>
      <c r="B274" s="117"/>
      <c r="C274" s="117"/>
      <c r="D274" s="117"/>
      <c r="E274" s="117"/>
      <c r="F274" s="117"/>
      <c r="G274" s="117"/>
      <c r="H274" s="117"/>
      <c r="I274" s="140"/>
      <c r="J274" s="316"/>
      <c r="K274" s="316"/>
    </row>
    <row r="275" spans="1:13" ht="9.75" customHeight="1" x14ac:dyDescent="0.2">
      <c r="A275" s="117"/>
      <c r="B275" s="117"/>
      <c r="C275" s="117"/>
      <c r="D275" s="117"/>
      <c r="E275" s="117"/>
      <c r="F275" s="117"/>
      <c r="G275" s="117"/>
      <c r="H275" s="117"/>
      <c r="I275" s="140"/>
      <c r="J275" s="316"/>
      <c r="K275" s="316"/>
    </row>
    <row r="276" spans="1:13" ht="9.9499999999999993" customHeight="1" x14ac:dyDescent="0.2">
      <c r="A276" s="117"/>
      <c r="B276" s="117"/>
      <c r="C276" s="117"/>
      <c r="D276" s="117"/>
      <c r="E276" s="117"/>
      <c r="F276" s="117"/>
      <c r="G276" s="117"/>
      <c r="H276" s="117"/>
      <c r="I276" s="140"/>
      <c r="J276" s="316"/>
      <c r="K276" s="316"/>
    </row>
    <row r="277" spans="1:13" x14ac:dyDescent="0.2">
      <c r="A277" s="307" t="s">
        <v>196</v>
      </c>
      <c r="B277" s="307"/>
      <c r="C277" s="307"/>
      <c r="D277" s="307"/>
      <c r="E277" s="307"/>
      <c r="F277" s="307"/>
      <c r="G277" s="307"/>
      <c r="H277" s="307"/>
      <c r="I277" s="307"/>
      <c r="J277" s="307"/>
      <c r="K277" s="307"/>
    </row>
    <row r="278" spans="1:13" ht="14.1" customHeight="1" x14ac:dyDescent="0.2">
      <c r="A278" s="305" t="s">
        <v>322</v>
      </c>
      <c r="B278" s="305"/>
      <c r="C278" s="305"/>
      <c r="D278" s="305"/>
      <c r="E278" s="305"/>
      <c r="F278" s="305"/>
      <c r="G278" s="305"/>
      <c r="H278" s="305"/>
      <c r="I278" s="305"/>
      <c r="J278" s="305"/>
      <c r="K278" s="305"/>
      <c r="L278" s="305"/>
      <c r="M278" s="305"/>
    </row>
    <row r="279" spans="1:13" ht="29.1" customHeight="1" x14ac:dyDescent="0.2">
      <c r="A279" s="147" t="s">
        <v>198</v>
      </c>
      <c r="B279" s="148" t="s">
        <v>199</v>
      </c>
      <c r="C279" s="149" t="s">
        <v>323</v>
      </c>
      <c r="D279" s="149" t="s">
        <v>324</v>
      </c>
      <c r="E279" s="149" t="s">
        <v>325</v>
      </c>
      <c r="F279" s="149" t="s">
        <v>201</v>
      </c>
      <c r="G279" s="149" t="s">
        <v>202</v>
      </c>
      <c r="H279" s="149" t="s">
        <v>203</v>
      </c>
      <c r="I279" s="150" t="s">
        <v>204</v>
      </c>
      <c r="J279" s="151" t="s">
        <v>206</v>
      </c>
      <c r="K279" s="149" t="s">
        <v>207</v>
      </c>
      <c r="L279" s="152" t="s">
        <v>208</v>
      </c>
      <c r="M279" s="151" t="s">
        <v>348</v>
      </c>
    </row>
    <row r="280" spans="1:13" ht="11.1" customHeight="1" x14ac:dyDescent="0.2">
      <c r="A280" s="125" t="s">
        <v>326</v>
      </c>
      <c r="B280" s="126">
        <v>302</v>
      </c>
      <c r="C280" s="126">
        <v>1492</v>
      </c>
      <c r="D280" s="126">
        <v>1434</v>
      </c>
      <c r="E280" s="126">
        <v>234</v>
      </c>
      <c r="F280" s="127">
        <v>62</v>
      </c>
      <c r="G280" s="128">
        <v>1.42</v>
      </c>
      <c r="H280" s="127">
        <v>7.8</v>
      </c>
      <c r="I280" s="126">
        <v>12.73</v>
      </c>
      <c r="J280" s="128">
        <v>65.3</v>
      </c>
      <c r="K280" s="127">
        <v>1.23</v>
      </c>
      <c r="L280" s="128">
        <v>759</v>
      </c>
    </row>
    <row r="281" spans="1:13" ht="11.1" customHeight="1" x14ac:dyDescent="0.2">
      <c r="A281" s="129" t="s">
        <v>327</v>
      </c>
      <c r="B281" s="130">
        <v>394</v>
      </c>
      <c r="C281" s="130">
        <v>1492</v>
      </c>
      <c r="D281" s="130">
        <v>1434</v>
      </c>
      <c r="E281" s="130">
        <v>326</v>
      </c>
      <c r="F281" s="131">
        <v>62</v>
      </c>
      <c r="G281" s="132">
        <v>1.89</v>
      </c>
      <c r="H281" s="131">
        <v>10.4</v>
      </c>
      <c r="I281" s="130">
        <v>16.97</v>
      </c>
      <c r="J281" s="132">
        <v>83.9</v>
      </c>
      <c r="K281" s="131">
        <v>1.25</v>
      </c>
      <c r="L281" s="132">
        <v>975</v>
      </c>
    </row>
    <row r="282" spans="1:13" ht="11.1" customHeight="1" x14ac:dyDescent="0.2">
      <c r="A282" s="129" t="s">
        <v>328</v>
      </c>
      <c r="B282" s="130">
        <v>486</v>
      </c>
      <c r="C282" s="130">
        <v>1492</v>
      </c>
      <c r="D282" s="130">
        <v>1434</v>
      </c>
      <c r="E282" s="130">
        <v>418</v>
      </c>
      <c r="F282" s="131">
        <v>62</v>
      </c>
      <c r="G282" s="132">
        <v>2.36</v>
      </c>
      <c r="H282" s="131">
        <v>13</v>
      </c>
      <c r="I282" s="130">
        <v>21.21</v>
      </c>
      <c r="J282" s="132">
        <v>102.8</v>
      </c>
      <c r="K282" s="131">
        <v>1.26</v>
      </c>
      <c r="L282" s="132">
        <v>1195</v>
      </c>
    </row>
    <row r="283" spans="1:13" ht="12" customHeight="1" x14ac:dyDescent="0.2">
      <c r="A283" s="129" t="s">
        <v>329</v>
      </c>
      <c r="B283" s="130">
        <v>578</v>
      </c>
      <c r="C283" s="130">
        <v>1492</v>
      </c>
      <c r="D283" s="130">
        <v>1434</v>
      </c>
      <c r="E283" s="130">
        <v>510</v>
      </c>
      <c r="F283" s="131">
        <v>62</v>
      </c>
      <c r="G283" s="132">
        <v>2.83</v>
      </c>
      <c r="H283" s="131">
        <v>15.6</v>
      </c>
      <c r="I283" s="130">
        <v>25.45</v>
      </c>
      <c r="J283" s="132">
        <v>122.2</v>
      </c>
      <c r="K283" s="131">
        <v>1.23</v>
      </c>
      <c r="L283" s="132">
        <v>1420</v>
      </c>
    </row>
    <row r="284" spans="1:13" ht="12.95" customHeight="1" x14ac:dyDescent="0.2">
      <c r="A284" s="129" t="s">
        <v>330</v>
      </c>
      <c r="B284" s="130">
        <v>302</v>
      </c>
      <c r="C284" s="130">
        <v>1792</v>
      </c>
      <c r="D284" s="130">
        <v>1734</v>
      </c>
      <c r="E284" s="130">
        <v>234</v>
      </c>
      <c r="F284" s="131">
        <v>62</v>
      </c>
      <c r="G284" s="132">
        <v>1.7</v>
      </c>
      <c r="H284" s="131">
        <v>9</v>
      </c>
      <c r="I284" s="130">
        <v>15.16</v>
      </c>
      <c r="J284" s="132">
        <v>79.5</v>
      </c>
      <c r="K284" s="131">
        <v>1.22</v>
      </c>
      <c r="L284" s="132">
        <v>924</v>
      </c>
    </row>
    <row r="285" spans="1:13" ht="11.1" customHeight="1" x14ac:dyDescent="0.2">
      <c r="A285" s="129" t="s">
        <v>331</v>
      </c>
      <c r="B285" s="130">
        <v>394</v>
      </c>
      <c r="C285" s="130">
        <v>1792</v>
      </c>
      <c r="D285" s="130">
        <v>1734</v>
      </c>
      <c r="E285" s="130">
        <v>326</v>
      </c>
      <c r="F285" s="131">
        <v>62</v>
      </c>
      <c r="G285" s="132">
        <v>2.2599999999999998</v>
      </c>
      <c r="H285" s="131">
        <v>12</v>
      </c>
      <c r="I285" s="130">
        <v>20.22</v>
      </c>
      <c r="J285" s="132">
        <v>102.2</v>
      </c>
      <c r="K285" s="131">
        <v>1.24</v>
      </c>
      <c r="L285" s="132">
        <v>1187</v>
      </c>
    </row>
    <row r="286" spans="1:13" ht="11.1" customHeight="1" x14ac:dyDescent="0.2">
      <c r="A286" s="129" t="s">
        <v>332</v>
      </c>
      <c r="B286" s="130">
        <v>486</v>
      </c>
      <c r="C286" s="130">
        <v>1792</v>
      </c>
      <c r="D286" s="130">
        <v>1734</v>
      </c>
      <c r="E286" s="130">
        <v>418</v>
      </c>
      <c r="F286" s="131">
        <v>62</v>
      </c>
      <c r="G286" s="132">
        <v>2.83</v>
      </c>
      <c r="H286" s="131">
        <v>15</v>
      </c>
      <c r="I286" s="130">
        <v>25.27</v>
      </c>
      <c r="J286" s="132">
        <v>125.1</v>
      </c>
      <c r="K286" s="131">
        <v>1.25</v>
      </c>
      <c r="L286" s="132">
        <v>1454</v>
      </c>
    </row>
    <row r="287" spans="1:13" ht="12" customHeight="1" x14ac:dyDescent="0.2">
      <c r="A287" s="129" t="s">
        <v>333</v>
      </c>
      <c r="B287" s="130">
        <v>578</v>
      </c>
      <c r="C287" s="130">
        <v>1792</v>
      </c>
      <c r="D287" s="130">
        <v>1734</v>
      </c>
      <c r="E287" s="130">
        <v>510</v>
      </c>
      <c r="F287" s="131">
        <v>62</v>
      </c>
      <c r="G287" s="132">
        <v>3.4</v>
      </c>
      <c r="H287" s="131">
        <v>18</v>
      </c>
      <c r="I287" s="130">
        <v>30.32</v>
      </c>
      <c r="J287" s="132">
        <v>148.80000000000001</v>
      </c>
      <c r="K287" s="131">
        <v>1.26</v>
      </c>
      <c r="L287" s="132">
        <v>1729</v>
      </c>
    </row>
    <row r="288" spans="1:13" ht="12" customHeight="1" x14ac:dyDescent="0.2">
      <c r="A288" s="129" t="s">
        <v>334</v>
      </c>
      <c r="B288" s="130">
        <v>302</v>
      </c>
      <c r="C288" s="130">
        <v>1500</v>
      </c>
      <c r="D288" s="130">
        <v>1434</v>
      </c>
      <c r="E288" s="130">
        <v>234</v>
      </c>
      <c r="F288" s="131">
        <v>100</v>
      </c>
      <c r="G288" s="132">
        <v>2.11</v>
      </c>
      <c r="H288" s="131">
        <v>12</v>
      </c>
      <c r="I288" s="130">
        <v>19.66</v>
      </c>
      <c r="J288" s="132">
        <v>88.8</v>
      </c>
      <c r="K288" s="131">
        <v>1.23</v>
      </c>
      <c r="L288" s="132">
        <v>1032</v>
      </c>
    </row>
    <row r="289" spans="1:27" ht="11.1" customHeight="1" x14ac:dyDescent="0.2">
      <c r="A289" s="129" t="s">
        <v>335</v>
      </c>
      <c r="B289" s="130">
        <v>394</v>
      </c>
      <c r="C289" s="130">
        <v>1500</v>
      </c>
      <c r="D289" s="130">
        <v>1434</v>
      </c>
      <c r="E289" s="130">
        <v>326</v>
      </c>
      <c r="F289" s="131">
        <v>100</v>
      </c>
      <c r="G289" s="132">
        <v>2.82</v>
      </c>
      <c r="H289" s="131">
        <v>16</v>
      </c>
      <c r="I289" s="130">
        <v>26.22</v>
      </c>
      <c r="J289" s="132">
        <v>114.4</v>
      </c>
      <c r="K289" s="131">
        <v>1.25</v>
      </c>
      <c r="L289" s="132">
        <v>1318</v>
      </c>
    </row>
    <row r="290" spans="1:27" ht="11.1" customHeight="1" x14ac:dyDescent="0.2">
      <c r="A290" s="129" t="s">
        <v>336</v>
      </c>
      <c r="B290" s="130">
        <v>486</v>
      </c>
      <c r="C290" s="130">
        <v>1500</v>
      </c>
      <c r="D290" s="130">
        <v>1434</v>
      </c>
      <c r="E290" s="130">
        <v>418</v>
      </c>
      <c r="F290" s="131">
        <v>100</v>
      </c>
      <c r="G290" s="132">
        <v>3.52</v>
      </c>
      <c r="H290" s="131">
        <v>20</v>
      </c>
      <c r="I290" s="130">
        <v>32.770000000000003</v>
      </c>
      <c r="J290" s="132">
        <v>137.5</v>
      </c>
      <c r="K290" s="131">
        <v>1.26</v>
      </c>
      <c r="L290" s="132">
        <v>1598</v>
      </c>
    </row>
    <row r="291" spans="1:27" ht="12.95" customHeight="1" x14ac:dyDescent="0.2">
      <c r="A291" s="129" t="s">
        <v>337</v>
      </c>
      <c r="B291" s="130">
        <v>578</v>
      </c>
      <c r="C291" s="130">
        <v>1500</v>
      </c>
      <c r="D291" s="130">
        <v>1434</v>
      </c>
      <c r="E291" s="130">
        <v>510</v>
      </c>
      <c r="F291" s="131">
        <v>100</v>
      </c>
      <c r="G291" s="132">
        <v>4.22</v>
      </c>
      <c r="H291" s="131">
        <v>24</v>
      </c>
      <c r="I291" s="130">
        <v>39.32</v>
      </c>
      <c r="J291" s="132">
        <v>161</v>
      </c>
      <c r="K291" s="131">
        <v>1.26</v>
      </c>
      <c r="L291" s="132">
        <v>1871</v>
      </c>
    </row>
    <row r="292" spans="1:27" ht="12" customHeight="1" x14ac:dyDescent="0.2">
      <c r="A292" s="129" t="s">
        <v>338</v>
      </c>
      <c r="B292" s="130">
        <v>302</v>
      </c>
      <c r="C292" s="130">
        <v>1800</v>
      </c>
      <c r="D292" s="130">
        <v>1734</v>
      </c>
      <c r="E292" s="130">
        <v>234</v>
      </c>
      <c r="F292" s="131">
        <v>100</v>
      </c>
      <c r="G292" s="132">
        <v>2.5299999999999998</v>
      </c>
      <c r="H292" s="131">
        <v>14.4</v>
      </c>
      <c r="I292" s="130">
        <v>23.45</v>
      </c>
      <c r="J292" s="132">
        <v>108</v>
      </c>
      <c r="K292" s="131">
        <v>1.25</v>
      </c>
      <c r="L292" s="132">
        <v>1255</v>
      </c>
    </row>
    <row r="293" spans="1:27" ht="11.1" customHeight="1" x14ac:dyDescent="0.2">
      <c r="A293" s="129" t="s">
        <v>339</v>
      </c>
      <c r="B293" s="130">
        <v>394</v>
      </c>
      <c r="C293" s="130">
        <v>1800</v>
      </c>
      <c r="D293" s="130">
        <v>1734</v>
      </c>
      <c r="E293" s="130">
        <v>326</v>
      </c>
      <c r="F293" s="131">
        <v>100</v>
      </c>
      <c r="G293" s="132">
        <v>3.38</v>
      </c>
      <c r="H293" s="131">
        <v>19.2</v>
      </c>
      <c r="I293" s="130">
        <v>31.27</v>
      </c>
      <c r="J293" s="132">
        <v>138</v>
      </c>
      <c r="K293" s="131">
        <v>1.27</v>
      </c>
      <c r="L293" s="132">
        <v>1604</v>
      </c>
      <c r="Q293" s="141"/>
      <c r="R293" s="141"/>
      <c r="S293" s="142"/>
      <c r="T293" s="142"/>
      <c r="U293" s="142"/>
      <c r="V293" s="142"/>
      <c r="W293" s="142"/>
      <c r="X293" s="142"/>
      <c r="Y293" s="143"/>
      <c r="Z293" s="140"/>
      <c r="AA293" s="142"/>
    </row>
    <row r="294" spans="1:27" ht="11.1" customHeight="1" x14ac:dyDescent="0.2">
      <c r="A294" s="129" t="s">
        <v>340</v>
      </c>
      <c r="B294" s="130">
        <v>486</v>
      </c>
      <c r="C294" s="130">
        <v>1800</v>
      </c>
      <c r="D294" s="130">
        <v>1734</v>
      </c>
      <c r="E294" s="130">
        <v>418</v>
      </c>
      <c r="F294" s="131">
        <v>100</v>
      </c>
      <c r="G294" s="132">
        <v>4.22</v>
      </c>
      <c r="H294" s="131">
        <v>24</v>
      </c>
      <c r="I294" s="130">
        <v>39.090000000000003</v>
      </c>
      <c r="J294" s="132">
        <v>167.3</v>
      </c>
      <c r="K294" s="131">
        <v>1.29</v>
      </c>
      <c r="L294" s="132">
        <v>1944</v>
      </c>
      <c r="Q294" s="129"/>
      <c r="R294" s="129"/>
      <c r="S294" s="129"/>
      <c r="T294" s="129"/>
      <c r="U294" s="144"/>
      <c r="V294" s="145"/>
      <c r="W294" s="144"/>
      <c r="X294" s="129"/>
      <c r="Y294" s="145"/>
      <c r="Z294" s="144"/>
      <c r="AA294" s="145"/>
    </row>
    <row r="295" spans="1:27" ht="11.45" customHeight="1" x14ac:dyDescent="0.2">
      <c r="A295" s="129" t="s">
        <v>341</v>
      </c>
      <c r="B295" s="130">
        <v>578</v>
      </c>
      <c r="C295" s="130">
        <v>1800</v>
      </c>
      <c r="D295" s="130">
        <v>1734</v>
      </c>
      <c r="E295" s="130">
        <v>510</v>
      </c>
      <c r="F295" s="131">
        <v>100</v>
      </c>
      <c r="G295" s="132">
        <v>5.0599999999999996</v>
      </c>
      <c r="H295" s="131">
        <v>28.8</v>
      </c>
      <c r="I295" s="130">
        <v>46.91</v>
      </c>
      <c r="J295" s="132">
        <v>195.9</v>
      </c>
      <c r="K295" s="131">
        <v>1.26</v>
      </c>
      <c r="L295" s="132">
        <v>2276</v>
      </c>
      <c r="Q295" s="129"/>
      <c r="R295" s="129"/>
      <c r="S295" s="129"/>
      <c r="T295" s="129"/>
      <c r="U295" s="144"/>
      <c r="V295" s="145"/>
      <c r="W295" s="144"/>
      <c r="X295" s="129"/>
      <c r="Y295" s="145"/>
      <c r="Z295" s="144"/>
      <c r="AA295" s="145"/>
    </row>
    <row r="296" spans="1:27" ht="11.45" customHeight="1" x14ac:dyDescent="0.2">
      <c r="A296" s="129"/>
      <c r="B296" s="130"/>
      <c r="C296" s="130"/>
      <c r="D296" s="130"/>
      <c r="E296" s="131"/>
      <c r="F296" s="132"/>
      <c r="G296" s="131"/>
      <c r="H296" s="130"/>
      <c r="I296" s="132"/>
      <c r="J296" s="131"/>
      <c r="K296" s="132"/>
      <c r="Q296" s="129"/>
      <c r="R296" s="129"/>
      <c r="S296" s="129"/>
      <c r="T296" s="129"/>
      <c r="U296" s="144"/>
      <c r="V296" s="145"/>
      <c r="W296" s="144"/>
      <c r="X296" s="129"/>
      <c r="Y296" s="145"/>
      <c r="Z296" s="144"/>
      <c r="AA296" s="145"/>
    </row>
    <row r="297" spans="1:27" x14ac:dyDescent="0.2">
      <c r="Q297" s="129"/>
      <c r="R297" s="129"/>
      <c r="S297" s="129"/>
      <c r="T297" s="129"/>
      <c r="U297" s="144"/>
      <c r="V297" s="145"/>
      <c r="W297" s="144"/>
      <c r="X297" s="129"/>
      <c r="Y297" s="145"/>
      <c r="Z297" s="144"/>
      <c r="AA297" s="145"/>
    </row>
    <row r="298" spans="1:27" x14ac:dyDescent="0.2">
      <c r="Q298" s="129"/>
      <c r="R298" s="129"/>
      <c r="S298" s="129"/>
      <c r="T298" s="129"/>
      <c r="U298" s="144"/>
      <c r="V298" s="145"/>
      <c r="W298" s="144"/>
      <c r="X298" s="129"/>
      <c r="Y298" s="145"/>
      <c r="Z298" s="144"/>
      <c r="AA298" s="145"/>
    </row>
    <row r="299" spans="1:27" x14ac:dyDescent="0.2">
      <c r="Q299" s="129"/>
      <c r="R299" s="129"/>
      <c r="S299" s="129"/>
      <c r="T299" s="129"/>
      <c r="U299" s="144"/>
      <c r="V299" s="145"/>
      <c r="W299" s="144"/>
      <c r="X299" s="129"/>
      <c r="Y299" s="145"/>
      <c r="Z299" s="144"/>
      <c r="AA299" s="145"/>
    </row>
    <row r="300" spans="1:27" x14ac:dyDescent="0.2">
      <c r="Q300" s="129"/>
      <c r="R300" s="129"/>
      <c r="S300" s="129"/>
      <c r="T300" s="129"/>
      <c r="U300" s="144"/>
      <c r="V300" s="145"/>
      <c r="W300" s="144"/>
      <c r="X300" s="129"/>
      <c r="Y300" s="145"/>
      <c r="Z300" s="144"/>
      <c r="AA300" s="145"/>
    </row>
    <row r="301" spans="1:27" x14ac:dyDescent="0.2">
      <c r="Q301" s="129"/>
      <c r="R301" s="129"/>
      <c r="S301" s="129"/>
      <c r="T301" s="129"/>
      <c r="U301" s="144"/>
      <c r="V301" s="145"/>
      <c r="W301" s="144"/>
      <c r="X301" s="129"/>
      <c r="Y301" s="145"/>
      <c r="Z301" s="144"/>
      <c r="AA301" s="145"/>
    </row>
    <row r="302" spans="1:27" x14ac:dyDescent="0.2">
      <c r="Q302" s="129"/>
      <c r="R302" s="129"/>
      <c r="S302" s="129"/>
      <c r="T302" s="129"/>
      <c r="U302" s="144"/>
      <c r="V302" s="145"/>
      <c r="W302" s="144"/>
      <c r="X302" s="129"/>
      <c r="Y302" s="145"/>
      <c r="Z302" s="144"/>
      <c r="AA302" s="145"/>
    </row>
    <row r="303" spans="1:27" x14ac:dyDescent="0.2">
      <c r="Q303" s="129"/>
      <c r="R303" s="129"/>
      <c r="S303" s="129"/>
      <c r="T303" s="129"/>
      <c r="U303" s="144"/>
      <c r="V303" s="145"/>
      <c r="W303" s="144"/>
      <c r="X303" s="129"/>
      <c r="Y303" s="145"/>
      <c r="Z303" s="144"/>
      <c r="AA303" s="145"/>
    </row>
    <row r="304" spans="1:27" x14ac:dyDescent="0.2">
      <c r="Q304" s="129"/>
      <c r="R304" s="129"/>
      <c r="S304" s="129"/>
      <c r="T304" s="129"/>
      <c r="U304" s="144"/>
      <c r="V304" s="145"/>
      <c r="W304" s="144"/>
      <c r="X304" s="129"/>
      <c r="Y304" s="145"/>
      <c r="Z304" s="144"/>
      <c r="AA304" s="145"/>
    </row>
    <row r="305" spans="17:27" x14ac:dyDescent="0.2">
      <c r="Q305" s="129"/>
      <c r="R305" s="129"/>
      <c r="S305" s="129"/>
      <c r="T305" s="129"/>
      <c r="U305" s="144"/>
      <c r="V305" s="145"/>
      <c r="W305" s="144"/>
      <c r="X305" s="129"/>
      <c r="Y305" s="145"/>
      <c r="Z305" s="144"/>
      <c r="AA305" s="145"/>
    </row>
    <row r="306" spans="17:27" x14ac:dyDescent="0.2">
      <c r="Q306" s="129"/>
      <c r="R306" s="129"/>
      <c r="S306" s="129"/>
      <c r="T306" s="129"/>
      <c r="U306" s="144"/>
      <c r="V306" s="145"/>
      <c r="W306" s="144"/>
      <c r="X306" s="129"/>
      <c r="Y306" s="145"/>
      <c r="Z306" s="144"/>
      <c r="AA306" s="145"/>
    </row>
    <row r="307" spans="17:27" x14ac:dyDescent="0.2">
      <c r="Q307" s="129"/>
      <c r="R307" s="129"/>
      <c r="S307" s="129"/>
      <c r="T307" s="129"/>
      <c r="U307" s="144"/>
      <c r="V307" s="145"/>
      <c r="W307" s="144"/>
      <c r="X307" s="129"/>
      <c r="Y307" s="145"/>
      <c r="Z307" s="144"/>
      <c r="AA307" s="145"/>
    </row>
    <row r="308" spans="17:27" x14ac:dyDescent="0.2">
      <c r="Q308" s="129"/>
      <c r="R308" s="129"/>
      <c r="S308" s="129"/>
      <c r="T308" s="129"/>
      <c r="U308" s="144"/>
      <c r="V308" s="145"/>
      <c r="W308" s="144"/>
      <c r="X308" s="129"/>
      <c r="Y308" s="145"/>
      <c r="Z308" s="144"/>
      <c r="AA308" s="145"/>
    </row>
    <row r="309" spans="17:27" x14ac:dyDescent="0.2">
      <c r="Q309" s="129"/>
      <c r="R309" s="129"/>
      <c r="S309" s="129"/>
      <c r="T309" s="129"/>
      <c r="U309" s="144"/>
      <c r="V309" s="145"/>
      <c r="W309" s="144"/>
      <c r="X309" s="129"/>
      <c r="Y309" s="145"/>
      <c r="Z309" s="144"/>
      <c r="AA309" s="145"/>
    </row>
    <row r="310" spans="17:27" x14ac:dyDescent="0.2">
      <c r="Q310" s="129"/>
      <c r="R310" s="129"/>
      <c r="S310" s="129"/>
      <c r="T310" s="129"/>
      <c r="U310" s="144"/>
      <c r="V310" s="145"/>
      <c r="W310" s="144"/>
      <c r="X310" s="129"/>
      <c r="Y310" s="145"/>
      <c r="Z310" s="144"/>
      <c r="AA310" s="145"/>
    </row>
  </sheetData>
  <mergeCells count="54">
    <mergeCell ref="A278:M278"/>
    <mergeCell ref="A266:M266"/>
    <mergeCell ref="A191:K191"/>
    <mergeCell ref="A192:K192"/>
    <mergeCell ref="A216:K216"/>
    <mergeCell ref="A217:K217"/>
    <mergeCell ref="A241:K241"/>
    <mergeCell ref="A242:K242"/>
    <mergeCell ref="A215:L215"/>
    <mergeCell ref="A218:L218"/>
    <mergeCell ref="A240:L240"/>
    <mergeCell ref="A243:L243"/>
    <mergeCell ref="J273:K273"/>
    <mergeCell ref="J274:K274"/>
    <mergeCell ref="J275:K275"/>
    <mergeCell ref="J276:K276"/>
    <mergeCell ref="A277:K277"/>
    <mergeCell ref="A265:K265"/>
    <mergeCell ref="A267:K267"/>
    <mergeCell ref="I268:K270"/>
    <mergeCell ref="J271:K271"/>
    <mergeCell ref="J272:K272"/>
    <mergeCell ref="A190:L190"/>
    <mergeCell ref="A193:L193"/>
    <mergeCell ref="A36:L36"/>
    <mergeCell ref="A58:L58"/>
    <mergeCell ref="A61:L61"/>
    <mergeCell ref="A83:L83"/>
    <mergeCell ref="A86:L86"/>
    <mergeCell ref="A109:L109"/>
    <mergeCell ref="A110:L110"/>
    <mergeCell ref="I138:K141"/>
    <mergeCell ref="A142:K142"/>
    <mergeCell ref="A166:K166"/>
    <mergeCell ref="A167:K167"/>
    <mergeCell ref="A108:L108"/>
    <mergeCell ref="A111:L111"/>
    <mergeCell ref="A134:L134"/>
    <mergeCell ref="A133:L133"/>
    <mergeCell ref="A1:L1"/>
    <mergeCell ref="A143:L143"/>
    <mergeCell ref="A165:L165"/>
    <mergeCell ref="A168:L168"/>
    <mergeCell ref="A84:K84"/>
    <mergeCell ref="A85:K85"/>
    <mergeCell ref="A60:K60"/>
    <mergeCell ref="I6:K9"/>
    <mergeCell ref="A10:K10"/>
    <mergeCell ref="A34:K34"/>
    <mergeCell ref="A35:K35"/>
    <mergeCell ref="A59:K59"/>
    <mergeCell ref="A2:L2"/>
    <mergeCell ref="A11:L11"/>
    <mergeCell ref="A33:L33"/>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136D-238C-4A73-8D2B-0C76EE4D99B3}">
  <dimension ref="A1:H31"/>
  <sheetViews>
    <sheetView topLeftCell="A2" workbookViewId="0">
      <selection activeCell="A11" sqref="A11:XFD11"/>
    </sheetView>
  </sheetViews>
  <sheetFormatPr baseColWidth="10" defaultColWidth="8" defaultRowHeight="12.75" x14ac:dyDescent="0.2"/>
  <cols>
    <col min="1" max="1" width="50" style="115" customWidth="1"/>
    <col min="2" max="2" width="13.42578125" style="115" customWidth="1"/>
    <col min="3" max="3" width="5.85546875" style="115" customWidth="1"/>
    <col min="4" max="4" width="34.140625" style="115" customWidth="1"/>
    <col min="5" max="5" width="5.5703125" style="115" customWidth="1"/>
    <col min="6" max="6" width="17.42578125" style="115" customWidth="1"/>
    <col min="7" max="7" width="4" style="115" customWidth="1"/>
    <col min="8" max="8" width="9.140625" style="115" customWidth="1"/>
    <col min="9" max="16384" width="8" style="115"/>
  </cols>
  <sheetData>
    <row r="1" spans="1:8" ht="20.25" customHeight="1" x14ac:dyDescent="0.2">
      <c r="A1" s="323" t="s">
        <v>346</v>
      </c>
      <c r="B1" s="323"/>
      <c r="C1" s="323"/>
      <c r="D1" s="323"/>
      <c r="E1" s="323"/>
      <c r="F1" s="323"/>
      <c r="G1" s="323"/>
    </row>
    <row r="2" spans="1:8" ht="17.100000000000001" customHeight="1" x14ac:dyDescent="0.2">
      <c r="A2" s="317" t="s">
        <v>350</v>
      </c>
      <c r="B2" s="317"/>
      <c r="C2" s="317"/>
      <c r="D2" s="317"/>
      <c r="E2" s="317"/>
      <c r="F2" s="317"/>
      <c r="G2" s="317"/>
    </row>
    <row r="3" spans="1:8" ht="24.6" customHeight="1" x14ac:dyDescent="0.2">
      <c r="A3" s="330" t="s">
        <v>351</v>
      </c>
      <c r="B3" s="330"/>
      <c r="C3" s="330"/>
      <c r="D3" s="330"/>
      <c r="E3" s="330"/>
      <c r="F3" s="330"/>
      <c r="G3" s="330"/>
    </row>
    <row r="4" spans="1:8" ht="17.45" customHeight="1" x14ac:dyDescent="0.2">
      <c r="A4" s="317" t="s">
        <v>352</v>
      </c>
      <c r="B4" s="317"/>
      <c r="C4" s="317"/>
      <c r="D4" s="317"/>
      <c r="E4" s="317"/>
      <c r="F4" s="317"/>
      <c r="G4" s="317"/>
      <c r="H4" s="119"/>
    </row>
    <row r="5" spans="1:8" ht="24.6" customHeight="1" x14ac:dyDescent="0.2">
      <c r="A5" s="330" t="s">
        <v>353</v>
      </c>
      <c r="B5" s="330"/>
      <c r="C5" s="330"/>
      <c r="D5" s="330"/>
      <c r="E5" s="330"/>
      <c r="F5" s="330"/>
      <c r="G5" s="330"/>
      <c r="H5" s="153"/>
    </row>
    <row r="6" spans="1:8" ht="17.45" customHeight="1" x14ac:dyDescent="0.2">
      <c r="A6" s="317" t="s">
        <v>354</v>
      </c>
      <c r="B6" s="317"/>
      <c r="C6" s="317"/>
      <c r="D6" s="317"/>
      <c r="E6" s="317"/>
      <c r="F6" s="317"/>
      <c r="G6" s="317"/>
      <c r="H6" s="119"/>
    </row>
    <row r="7" spans="1:8" ht="28.5" customHeight="1" x14ac:dyDescent="0.2">
      <c r="A7" s="308" t="s">
        <v>355</v>
      </c>
      <c r="B7" s="308"/>
      <c r="C7" s="118"/>
      <c r="D7" s="118" t="s">
        <v>356</v>
      </c>
      <c r="E7" s="155" t="s">
        <v>357</v>
      </c>
      <c r="F7" s="156">
        <v>53.35</v>
      </c>
      <c r="G7" s="118"/>
      <c r="H7" s="118"/>
    </row>
    <row r="8" spans="1:8" ht="12.95" customHeight="1" x14ac:dyDescent="0.2">
      <c r="A8" s="308"/>
      <c r="B8" s="308"/>
      <c r="C8" s="117"/>
      <c r="D8" s="308" t="s">
        <v>358</v>
      </c>
      <c r="E8" s="328" t="s">
        <v>357</v>
      </c>
      <c r="F8" s="329">
        <v>105.4</v>
      </c>
      <c r="G8" s="117"/>
      <c r="H8" s="117"/>
    </row>
    <row r="9" spans="1:8" ht="29.1" customHeight="1" x14ac:dyDescent="0.2">
      <c r="A9" s="118"/>
      <c r="B9" s="118"/>
      <c r="C9" s="118"/>
      <c r="D9" s="308"/>
      <c r="E9" s="328"/>
      <c r="F9" s="329"/>
      <c r="G9" s="118"/>
      <c r="H9" s="118"/>
    </row>
    <row r="10" spans="1:8" ht="48.75" x14ac:dyDescent="0.2">
      <c r="A10" s="119"/>
      <c r="B10" s="119"/>
      <c r="C10" s="119"/>
      <c r="D10" s="161" t="s">
        <v>386</v>
      </c>
      <c r="E10" s="155" t="s">
        <v>357</v>
      </c>
      <c r="F10" s="156">
        <v>148.9</v>
      </c>
      <c r="G10" s="119"/>
      <c r="H10" s="119"/>
    </row>
    <row r="11" spans="1:8" ht="17.45" customHeight="1" x14ac:dyDescent="0.2">
      <c r="A11" s="317" t="s">
        <v>359</v>
      </c>
      <c r="B11" s="317"/>
      <c r="C11" s="317"/>
      <c r="D11" s="317"/>
      <c r="E11" s="317"/>
      <c r="F11" s="317"/>
      <c r="G11" s="317"/>
      <c r="H11" s="119"/>
    </row>
    <row r="12" spans="1:8" ht="24.6" customHeight="1" x14ac:dyDescent="0.2">
      <c r="A12" s="330" t="s">
        <v>360</v>
      </c>
      <c r="B12" s="330"/>
      <c r="C12" s="330"/>
      <c r="D12" s="330"/>
      <c r="E12" s="330"/>
      <c r="F12" s="330"/>
      <c r="G12" s="330"/>
      <c r="H12" s="153"/>
    </row>
    <row r="13" spans="1:8" ht="17.45" customHeight="1" x14ac:dyDescent="0.2">
      <c r="A13" s="317" t="s">
        <v>361</v>
      </c>
      <c r="B13" s="317"/>
      <c r="C13" s="317"/>
      <c r="D13" s="317"/>
      <c r="E13" s="317"/>
      <c r="F13" s="317"/>
      <c r="G13" s="317"/>
      <c r="H13" s="119"/>
    </row>
    <row r="14" spans="1:8" ht="42.6" customHeight="1" x14ac:dyDescent="0.2">
      <c r="A14" s="330" t="s">
        <v>362</v>
      </c>
      <c r="B14" s="330"/>
      <c r="C14" s="330"/>
      <c r="D14" s="330"/>
      <c r="E14" s="330"/>
      <c r="F14" s="330"/>
      <c r="G14" s="330"/>
      <c r="H14" s="153"/>
    </row>
    <row r="15" spans="1:8" ht="17.850000000000001" customHeight="1" x14ac:dyDescent="0.2">
      <c r="A15" s="317" t="s">
        <v>363</v>
      </c>
      <c r="B15" s="317"/>
      <c r="C15" s="317"/>
      <c r="D15" s="317"/>
      <c r="E15" s="317"/>
      <c r="F15" s="317"/>
      <c r="G15" s="317"/>
      <c r="H15" s="119"/>
    </row>
    <row r="16" spans="1:8" ht="139.5" customHeight="1" x14ac:dyDescent="0.2">
      <c r="A16" s="316" t="s">
        <v>385</v>
      </c>
      <c r="B16" s="118"/>
      <c r="C16" s="118"/>
      <c r="D16" s="331" t="s">
        <v>382</v>
      </c>
      <c r="E16" s="332"/>
      <c r="F16" s="332"/>
      <c r="G16" s="332"/>
      <c r="H16" s="153"/>
    </row>
    <row r="17" spans="1:8" x14ac:dyDescent="0.2">
      <c r="A17" s="308"/>
      <c r="B17" s="118"/>
      <c r="C17" s="118"/>
      <c r="D17" s="118"/>
      <c r="E17" s="118"/>
      <c r="F17" s="118"/>
      <c r="G17" s="118"/>
      <c r="H17" s="118"/>
    </row>
    <row r="18" spans="1:8" ht="17.45" customHeight="1" x14ac:dyDescent="0.2">
      <c r="A18" s="317" t="s">
        <v>364</v>
      </c>
      <c r="B18" s="317"/>
      <c r="C18" s="317"/>
      <c r="D18" s="317"/>
      <c r="E18" s="317"/>
      <c r="F18" s="317"/>
      <c r="G18" s="317"/>
      <c r="H18" s="119"/>
    </row>
    <row r="19" spans="1:8" ht="24.2" customHeight="1" x14ac:dyDescent="0.2">
      <c r="A19" s="333" t="s">
        <v>365</v>
      </c>
      <c r="B19" s="333"/>
      <c r="C19" s="333"/>
      <c r="D19" s="333"/>
      <c r="E19" s="333"/>
      <c r="F19" s="333"/>
      <c r="G19" s="333"/>
      <c r="H19" s="155"/>
    </row>
    <row r="20" spans="1:8" ht="17.45" customHeight="1" x14ac:dyDescent="0.2">
      <c r="A20" s="317" t="s">
        <v>366</v>
      </c>
      <c r="B20" s="317"/>
      <c r="C20" s="317"/>
      <c r="D20" s="317"/>
      <c r="E20" s="317"/>
      <c r="F20" s="317"/>
      <c r="G20" s="317"/>
      <c r="H20" s="119"/>
    </row>
    <row r="21" spans="1:8" ht="41.45" customHeight="1" x14ac:dyDescent="0.2">
      <c r="A21" s="332" t="s">
        <v>367</v>
      </c>
      <c r="B21" s="332"/>
      <c r="C21" s="332"/>
      <c r="D21" s="332"/>
      <c r="E21" s="332"/>
      <c r="F21" s="332"/>
      <c r="G21" s="332"/>
      <c r="H21" s="153"/>
    </row>
    <row r="22" spans="1:8" ht="20.25" customHeight="1" x14ac:dyDescent="0.2">
      <c r="A22" s="323" t="s">
        <v>381</v>
      </c>
      <c r="B22" s="323"/>
      <c r="C22" s="323"/>
      <c r="D22" s="323"/>
      <c r="E22" s="323"/>
      <c r="F22" s="323"/>
      <c r="G22" s="323"/>
    </row>
    <row r="23" spans="1:8" x14ac:dyDescent="0.2">
      <c r="A23" s="154" t="s">
        <v>354</v>
      </c>
      <c r="B23" s="320"/>
      <c r="C23" s="320"/>
      <c r="D23" s="320"/>
      <c r="E23" s="320"/>
      <c r="F23" s="320"/>
    </row>
    <row r="24" spans="1:8" ht="19.5" x14ac:dyDescent="0.2">
      <c r="A24" s="116" t="s">
        <v>369</v>
      </c>
      <c r="B24" s="324" t="s">
        <v>370</v>
      </c>
      <c r="C24" s="324"/>
      <c r="D24" s="325" t="s">
        <v>371</v>
      </c>
      <c r="E24" s="325"/>
      <c r="F24" s="158" t="s">
        <v>372</v>
      </c>
    </row>
    <row r="25" spans="1:8" x14ac:dyDescent="0.2">
      <c r="A25" s="159" t="s">
        <v>373</v>
      </c>
      <c r="B25" s="326" t="s">
        <v>370</v>
      </c>
      <c r="C25" s="326"/>
      <c r="D25" s="327" t="s">
        <v>374</v>
      </c>
      <c r="E25" s="327"/>
      <c r="F25" s="160" t="s">
        <v>375</v>
      </c>
    </row>
    <row r="26" spans="1:8" x14ac:dyDescent="0.2">
      <c r="A26" s="154" t="s">
        <v>363</v>
      </c>
      <c r="B26" s="320"/>
      <c r="C26" s="320"/>
      <c r="D26" s="321"/>
      <c r="E26" s="321"/>
      <c r="F26" s="157"/>
    </row>
    <row r="27" spans="1:8" ht="29.25" x14ac:dyDescent="0.2">
      <c r="A27" s="318" t="s">
        <v>376</v>
      </c>
      <c r="B27" s="318"/>
      <c r="C27" s="318"/>
      <c r="D27" s="322" t="s">
        <v>377</v>
      </c>
      <c r="E27" s="322"/>
      <c r="F27" s="158" t="s">
        <v>378</v>
      </c>
    </row>
    <row r="28" spans="1:8" ht="87.95" customHeight="1" x14ac:dyDescent="0.2">
      <c r="A28" s="316" t="s">
        <v>383</v>
      </c>
      <c r="B28" s="308"/>
      <c r="C28" s="118"/>
      <c r="D28" s="319" t="s">
        <v>384</v>
      </c>
      <c r="E28" s="319"/>
      <c r="F28" s="319"/>
    </row>
    <row r="29" spans="1:8" ht="69.75" customHeight="1" x14ac:dyDescent="0.2">
      <c r="A29" s="308"/>
      <c r="B29" s="308"/>
      <c r="C29" s="118"/>
      <c r="D29" s="118"/>
      <c r="E29" s="118"/>
      <c r="F29" s="118"/>
    </row>
    <row r="30" spans="1:8" x14ac:dyDescent="0.2">
      <c r="A30" s="317" t="s">
        <v>379</v>
      </c>
      <c r="B30" s="317"/>
      <c r="C30" s="317"/>
      <c r="D30" s="317"/>
      <c r="E30" s="317"/>
      <c r="F30" s="317"/>
    </row>
    <row r="31" spans="1:8" x14ac:dyDescent="0.2">
      <c r="A31" s="318" t="s">
        <v>380</v>
      </c>
      <c r="B31" s="318"/>
      <c r="C31" s="318"/>
      <c r="D31" s="318"/>
      <c r="E31" s="318"/>
      <c r="F31" s="318"/>
    </row>
  </sheetData>
  <mergeCells count="35">
    <mergeCell ref="D16:G16"/>
    <mergeCell ref="A21:G21"/>
    <mergeCell ref="A14:G14"/>
    <mergeCell ref="A12:G12"/>
    <mergeCell ref="A19:G19"/>
    <mergeCell ref="A16:A17"/>
    <mergeCell ref="A18:G18"/>
    <mergeCell ref="A20:G20"/>
    <mergeCell ref="A1:G1"/>
    <mergeCell ref="A11:G11"/>
    <mergeCell ref="A13:G13"/>
    <mergeCell ref="A15:G15"/>
    <mergeCell ref="A7:B8"/>
    <mergeCell ref="D8:D9"/>
    <mergeCell ref="E8:E9"/>
    <mergeCell ref="F8:F9"/>
    <mergeCell ref="A2:G2"/>
    <mergeCell ref="A4:G4"/>
    <mergeCell ref="A6:G6"/>
    <mergeCell ref="A3:G3"/>
    <mergeCell ref="A5:G5"/>
    <mergeCell ref="A22:G22"/>
    <mergeCell ref="B23:F23"/>
    <mergeCell ref="B24:C24"/>
    <mergeCell ref="D24:E24"/>
    <mergeCell ref="B25:C25"/>
    <mergeCell ref="D25:E25"/>
    <mergeCell ref="A30:F30"/>
    <mergeCell ref="A31:F31"/>
    <mergeCell ref="A27:C27"/>
    <mergeCell ref="D28:F28"/>
    <mergeCell ref="B26:C26"/>
    <mergeCell ref="D26:E26"/>
    <mergeCell ref="D27:E27"/>
    <mergeCell ref="A28:B2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7310A-E9DF-4AC8-8479-98A79130B389}">
  <dimension ref="A1:N33"/>
  <sheetViews>
    <sheetView zoomScale="85" zoomScaleNormal="85" workbookViewId="0">
      <selection activeCell="N5" sqref="N5"/>
    </sheetView>
  </sheetViews>
  <sheetFormatPr baseColWidth="10" defaultRowHeight="12.75" x14ac:dyDescent="0.2"/>
  <cols>
    <col min="14" max="14" width="10.85546875" customWidth="1"/>
  </cols>
  <sheetData>
    <row r="1" spans="1:14" x14ac:dyDescent="0.2">
      <c r="A1" s="1" t="s">
        <v>428</v>
      </c>
      <c r="N1" s="1" t="s">
        <v>428</v>
      </c>
    </row>
    <row r="2" spans="1:14" x14ac:dyDescent="0.2">
      <c r="A2" s="1" t="s">
        <v>430</v>
      </c>
      <c r="N2" s="1" t="s">
        <v>441</v>
      </c>
    </row>
    <row r="3" spans="1:14" x14ac:dyDescent="0.2">
      <c r="A3" s="43" t="s">
        <v>429</v>
      </c>
    </row>
    <row r="23" spans="1:7" x14ac:dyDescent="0.2">
      <c r="B23" s="334" t="s">
        <v>410</v>
      </c>
      <c r="C23" s="334"/>
      <c r="D23" s="334" t="s">
        <v>412</v>
      </c>
      <c r="E23" s="334"/>
      <c r="F23" s="334"/>
      <c r="G23" s="334"/>
    </row>
    <row r="24" spans="1:7" x14ac:dyDescent="0.2">
      <c r="B24" s="1" t="s">
        <v>433</v>
      </c>
      <c r="C24" s="1" t="s">
        <v>434</v>
      </c>
      <c r="D24" s="1" t="s">
        <v>435</v>
      </c>
      <c r="E24" s="1" t="s">
        <v>436</v>
      </c>
      <c r="F24" s="1" t="s">
        <v>437</v>
      </c>
      <c r="G24" s="1" t="s">
        <v>438</v>
      </c>
    </row>
    <row r="25" spans="1:7" x14ac:dyDescent="0.2">
      <c r="A25" t="s">
        <v>2</v>
      </c>
      <c r="B25">
        <v>600</v>
      </c>
      <c r="C25">
        <v>750</v>
      </c>
      <c r="D25">
        <v>450</v>
      </c>
      <c r="E25">
        <v>600</v>
      </c>
      <c r="F25">
        <v>750</v>
      </c>
      <c r="G25">
        <v>900</v>
      </c>
    </row>
    <row r="26" spans="1:7" x14ac:dyDescent="0.2">
      <c r="A26" t="s">
        <v>3</v>
      </c>
      <c r="B26">
        <v>100</v>
      </c>
      <c r="C26">
        <v>100</v>
      </c>
      <c r="D26">
        <v>160</v>
      </c>
      <c r="E26">
        <v>160</v>
      </c>
      <c r="F26">
        <v>160</v>
      </c>
      <c r="G26">
        <v>160</v>
      </c>
    </row>
    <row r="27" spans="1:7" x14ac:dyDescent="0.2">
      <c r="A27" t="s">
        <v>431</v>
      </c>
      <c r="B27">
        <v>50</v>
      </c>
      <c r="C27">
        <v>50</v>
      </c>
      <c r="D27">
        <v>50</v>
      </c>
      <c r="E27">
        <v>50</v>
      </c>
      <c r="F27">
        <v>50</v>
      </c>
      <c r="G27">
        <v>50</v>
      </c>
    </row>
    <row r="28" spans="1:7" ht="13.5" x14ac:dyDescent="0.25">
      <c r="A28" s="2" t="s">
        <v>432</v>
      </c>
      <c r="B28">
        <v>52.8</v>
      </c>
      <c r="C28">
        <v>65.099999999999994</v>
      </c>
      <c r="D28">
        <v>57.1</v>
      </c>
      <c r="E28">
        <v>74</v>
      </c>
      <c r="F28">
        <v>91.4</v>
      </c>
      <c r="G28">
        <v>109.9</v>
      </c>
    </row>
    <row r="30" spans="1:7" x14ac:dyDescent="0.2">
      <c r="A30" s="2" t="s">
        <v>399</v>
      </c>
      <c r="B30">
        <f>'Arbonia Tabelle'!L4</f>
        <v>63</v>
      </c>
      <c r="C30">
        <f>'Arbonia Tabelle'!M4</f>
        <v>78</v>
      </c>
      <c r="D30">
        <f>'Arbonia Tabelle'!I5</f>
        <v>62</v>
      </c>
      <c r="E30">
        <f>'Arbonia Tabelle'!L5</f>
        <v>81</v>
      </c>
      <c r="F30">
        <f>'Arbonia Tabelle'!M5</f>
        <v>100</v>
      </c>
      <c r="G30">
        <f>'Arbonia Tabelle'!N5</f>
        <v>117</v>
      </c>
    </row>
    <row r="31" spans="1:7" x14ac:dyDescent="0.2">
      <c r="A31" s="2" t="s">
        <v>343</v>
      </c>
      <c r="B31">
        <f>'Zehnder Charl. Tabelle'!J5</f>
        <v>60.9</v>
      </c>
      <c r="C31">
        <f>'Zehnder Charl. Tabelle'!K5</f>
        <v>74.3</v>
      </c>
      <c r="D31">
        <f>('Zehnder Charl. Tabelle'!G6+'Zehnder Charl. Tabelle'!G7)/2</f>
        <v>68.55</v>
      </c>
      <c r="E31">
        <f>('Zehnder Charl. Tabelle'!J6+'Zehnder Charl. Tabelle'!J7)/2</f>
        <v>89.199999999999989</v>
      </c>
      <c r="F31">
        <f>('Zehnder Charl. Tabelle'!K6+'Zehnder Charl. Tabelle'!K7)/2</f>
        <v>108.7</v>
      </c>
      <c r="G31">
        <f>('Zehnder Charl. Tabelle'!L6+'Zehnder Charl. Tabelle'!L7)/2</f>
        <v>127.5</v>
      </c>
    </row>
    <row r="32" spans="1:7" x14ac:dyDescent="0.2">
      <c r="A32" s="2" t="s">
        <v>439</v>
      </c>
      <c r="B32" s="173">
        <f>B28/B30-1</f>
        <v>-0.161904761904762</v>
      </c>
      <c r="C32" s="173">
        <f t="shared" ref="C32:G32" si="0">C28/C30-1</f>
        <v>-0.16538461538461546</v>
      </c>
      <c r="D32" s="173">
        <f t="shared" si="0"/>
        <v>-7.9032258064516081E-2</v>
      </c>
      <c r="E32" s="173">
        <f t="shared" si="0"/>
        <v>-8.6419753086419804E-2</v>
      </c>
      <c r="F32" s="173">
        <f t="shared" si="0"/>
        <v>-8.5999999999999965E-2</v>
      </c>
      <c r="G32" s="173">
        <f t="shared" si="0"/>
        <v>-6.068376068376069E-2</v>
      </c>
    </row>
    <row r="33" spans="1:7" x14ac:dyDescent="0.2">
      <c r="A33" s="2" t="s">
        <v>440</v>
      </c>
      <c r="B33" s="173">
        <f t="shared" ref="B33:G33" si="1">B28/B31-1</f>
        <v>-0.13300492610837444</v>
      </c>
      <c r="C33" s="173">
        <f t="shared" si="1"/>
        <v>-0.12382234185733521</v>
      </c>
      <c r="D33" s="173">
        <f t="shared" si="1"/>
        <v>-0.16703136396790663</v>
      </c>
      <c r="E33" s="173">
        <f t="shared" si="1"/>
        <v>-0.17040358744394613</v>
      </c>
      <c r="F33" s="173">
        <f t="shared" si="1"/>
        <v>-0.15915363385464576</v>
      </c>
      <c r="G33" s="173">
        <f t="shared" si="1"/>
        <v>-0.13803921568627442</v>
      </c>
    </row>
  </sheetData>
  <mergeCells count="2">
    <mergeCell ref="B23:C23"/>
    <mergeCell ref="D23:G23"/>
  </mergeCells>
  <hyperlinks>
    <hyperlink ref="A3" r:id="rId1" display="https://edge.sitecorecloud.io/bdrthermea1-platform-production-864a/media/Project/BaxiES/BaxiES/Documentation/Professional-products/Radiadores/Acero/2-y-3-columnas/A00B07C36F28BROCH2es02pdf.pdf" xr:uid="{2D5FE533-F3DE-48D8-9569-56C8F56423FD}"/>
  </hyperlinks>
  <pageMargins left="0.7" right="0.7" top="0.78740157499999996" bottom="0.78740157499999996" header="0.3" footer="0.3"/>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211E-A08E-4692-88E1-CD7FED0DF531}">
  <dimension ref="A1:AP199"/>
  <sheetViews>
    <sheetView topLeftCell="A3" zoomScale="70" zoomScaleNormal="70" workbookViewId="0">
      <selection activeCell="A49" sqref="A49"/>
    </sheetView>
  </sheetViews>
  <sheetFormatPr baseColWidth="10" defaultRowHeight="12.75" x14ac:dyDescent="0.2"/>
  <cols>
    <col min="1" max="1" width="13.85546875" style="2" customWidth="1"/>
    <col min="2" max="17" width="10.85546875" style="2"/>
  </cols>
  <sheetData>
    <row r="1" spans="1:42" ht="13.5" x14ac:dyDescent="0.25">
      <c r="A1" s="1" t="s">
        <v>4</v>
      </c>
      <c r="B1" s="1"/>
      <c r="C1" s="4" t="s">
        <v>2</v>
      </c>
    </row>
    <row r="2" spans="1:42" x14ac:dyDescent="0.2">
      <c r="A2" s="1" t="s">
        <v>149</v>
      </c>
      <c r="C2" s="5">
        <v>200</v>
      </c>
      <c r="D2" s="5">
        <v>300</v>
      </c>
      <c r="E2" s="5">
        <v>350</v>
      </c>
      <c r="F2" s="5">
        <v>365</v>
      </c>
      <c r="G2" s="5">
        <v>400</v>
      </c>
      <c r="H2" s="5">
        <v>450</v>
      </c>
      <c r="I2" s="5">
        <v>500</v>
      </c>
      <c r="J2" s="5">
        <v>535</v>
      </c>
      <c r="K2" s="5">
        <v>550</v>
      </c>
      <c r="L2" s="5">
        <v>565</v>
      </c>
      <c r="M2" s="5">
        <v>600</v>
      </c>
      <c r="N2" s="5">
        <v>650</v>
      </c>
      <c r="O2" s="5">
        <v>665</v>
      </c>
      <c r="P2" s="5">
        <v>685</v>
      </c>
      <c r="Q2" s="5">
        <v>750</v>
      </c>
      <c r="R2" s="5">
        <v>765</v>
      </c>
      <c r="S2" s="5">
        <v>815</v>
      </c>
      <c r="T2" s="5">
        <v>865</v>
      </c>
      <c r="U2" s="5">
        <v>885</v>
      </c>
      <c r="V2" s="5">
        <v>900</v>
      </c>
      <c r="W2" s="5">
        <v>1000</v>
      </c>
      <c r="X2" s="5">
        <v>1200</v>
      </c>
      <c r="Y2" s="5">
        <v>1500</v>
      </c>
      <c r="Z2" s="5">
        <v>1800</v>
      </c>
      <c r="AA2" s="5">
        <v>2000</v>
      </c>
      <c r="AB2" s="5">
        <v>2200</v>
      </c>
      <c r="AC2" s="5">
        <v>2500</v>
      </c>
      <c r="AD2" s="5"/>
      <c r="AE2" s="5"/>
      <c r="AF2" s="5"/>
      <c r="AG2" s="5"/>
      <c r="AH2" s="5"/>
      <c r="AI2" s="5"/>
      <c r="AJ2" s="5"/>
      <c r="AK2" s="5"/>
      <c r="AL2" s="5"/>
      <c r="AM2" s="5"/>
      <c r="AN2" s="5"/>
      <c r="AO2" s="5"/>
      <c r="AP2" s="5"/>
    </row>
    <row r="3" spans="1:42" ht="13.5" x14ac:dyDescent="0.25">
      <c r="A3" s="4" t="s">
        <v>3</v>
      </c>
      <c r="B3" s="2">
        <v>65</v>
      </c>
      <c r="C3" s="2" cm="1">
        <f t="array" ref="C3">_xlfn.XLOOKUP(1,('IRSAP Original'!$A$6:$A$163=C$2)*('IRSAP Original'!$C$6:$C$163=$B3),'IRSAP Original'!$I$6:$I$163,"")</f>
        <v>14.9</v>
      </c>
      <c r="D3" s="2" cm="1">
        <f t="array" ref="D3">_xlfn.XLOOKUP(1,('IRSAP Original'!$A$6:$A$163=D$2)*('IRSAP Original'!$C$6:$C$163=$B3),'IRSAP Original'!$I$6:$I$163,"")</f>
        <v>23.4</v>
      </c>
      <c r="E3" s="2" cm="1">
        <f t="array" ref="E3">_xlfn.XLOOKUP(1,('IRSAP Original'!$A$6:$A$163=E$2)*('IRSAP Original'!$C$6:$C$163=$B3),'IRSAP Original'!$I$6:$I$163,"")</f>
        <v>26.8</v>
      </c>
      <c r="F3" s="2" cm="1">
        <f t="array" ref="F3">_xlfn.XLOOKUP(1,('IRSAP Original'!$A$6:$A$163=F$2)*('IRSAP Original'!$C$6:$C$163=$B3),'IRSAP Original'!$I$6:$I$163,"")</f>
        <v>27.8</v>
      </c>
      <c r="G3" s="2" cm="1">
        <f t="array" ref="G3">_xlfn.XLOOKUP(1,('IRSAP Original'!$A$6:$A$163=G$2)*('IRSAP Original'!$C$6:$C$163=$B3),'IRSAP Original'!$I$6:$I$163,"")</f>
        <v>30.1</v>
      </c>
      <c r="H3" s="2" cm="1">
        <f t="array" ref="H3">_xlfn.XLOOKUP(1,('IRSAP Original'!$A$6:$A$163=H$2)*('IRSAP Original'!$C$6:$C$163=$B3),'IRSAP Original'!$I$6:$I$163,"")</f>
        <v>33.4</v>
      </c>
      <c r="I3" s="2" cm="1">
        <f t="array" ref="I3">_xlfn.XLOOKUP(1,('IRSAP Original'!$A$6:$A$163=I$2)*('IRSAP Original'!$C$6:$C$163=$B3),'IRSAP Original'!$I$6:$I$163,"")</f>
        <v>36.700000000000003</v>
      </c>
      <c r="J3" s="2" cm="1">
        <f t="array" ref="J3">_xlfn.XLOOKUP(1,('IRSAP Original'!$A$6:$A$163=J$2)*('IRSAP Original'!$C$6:$C$163=$B3),'IRSAP Original'!$I$6:$I$163,"")</f>
        <v>38.9</v>
      </c>
      <c r="K3" s="2" cm="1">
        <f t="array" ref="K3">_xlfn.XLOOKUP(1,('IRSAP Original'!$A$6:$A$163=K$2)*('IRSAP Original'!$C$6:$C$163=$B3),'IRSAP Original'!$I$6:$I$163,"")</f>
        <v>39.9</v>
      </c>
      <c r="L3" s="2" cm="1">
        <f t="array" ref="L3">_xlfn.XLOOKUP(1,('IRSAP Original'!$A$6:$A$163=L$2)*('IRSAP Original'!$C$6:$C$163=$B3),'IRSAP Original'!$I$6:$I$163,"")</f>
        <v>40.9</v>
      </c>
      <c r="M3" s="2" cm="1">
        <f t="array" ref="M3">_xlfn.XLOOKUP(1,('IRSAP Original'!$A$6:$A$163=M$2)*('IRSAP Original'!$C$6:$C$163=$B3),'IRSAP Original'!$I$6:$I$163,"")</f>
        <v>43.2</v>
      </c>
      <c r="N3" s="2" cm="1">
        <f t="array" ref="N3">_xlfn.XLOOKUP(1,('IRSAP Original'!$A$6:$A$163=N$2)*('IRSAP Original'!$C$6:$C$163=$B3),'IRSAP Original'!$I$6:$I$163,"")</f>
        <v>46.4</v>
      </c>
      <c r="O3" s="2" cm="1">
        <f t="array" ref="O3">_xlfn.XLOOKUP(1,('IRSAP Original'!$A$6:$A$163=O$2)*('IRSAP Original'!$C$6:$C$163=$B3),'IRSAP Original'!$I$6:$I$163,"")</f>
        <v>47.4</v>
      </c>
      <c r="P3" s="2" cm="1">
        <f t="array" ref="P3">_xlfn.XLOOKUP(1,('IRSAP Original'!$A$6:$A$163=P$2)*('IRSAP Original'!$C$6:$C$163=$B3),'IRSAP Original'!$I$6:$I$163,"")</f>
        <v>48.7</v>
      </c>
      <c r="Q3" s="2" cm="1">
        <f t="array" ref="Q3">_xlfn.XLOOKUP(1,('IRSAP Original'!$A$6:$A$163=Q$2)*('IRSAP Original'!$C$6:$C$163=$B3),'IRSAP Original'!$I$6:$I$163,"")</f>
        <v>52.9</v>
      </c>
      <c r="R3" s="2" cm="1">
        <f t="array" ref="R3">_xlfn.XLOOKUP(1,('IRSAP Original'!$A$6:$A$163=R$2)*('IRSAP Original'!$C$6:$C$163=$B3),'IRSAP Original'!$I$6:$I$163,"")</f>
        <v>53.9</v>
      </c>
      <c r="S3" s="2" cm="1">
        <f t="array" ref="S3">_xlfn.XLOOKUP(1,('IRSAP Original'!$A$6:$A$163=S$2)*('IRSAP Original'!$C$6:$C$163=$B3),'IRSAP Original'!$I$6:$I$163,"")</f>
        <v>57.1</v>
      </c>
      <c r="T3" s="2" cm="1">
        <f t="array" ref="T3">_xlfn.XLOOKUP(1,('IRSAP Original'!$A$6:$A$163=T$2)*('IRSAP Original'!$C$6:$C$163=$B3),'IRSAP Original'!$I$6:$I$163,"")</f>
        <v>60.4</v>
      </c>
      <c r="U3" s="2" cm="1">
        <f t="array" ref="U3">_xlfn.XLOOKUP(1,('IRSAP Original'!$A$6:$A$163=U$2)*('IRSAP Original'!$C$6:$C$163=$B3),'IRSAP Original'!$I$6:$I$163,"")</f>
        <v>61.7</v>
      </c>
      <c r="V3" s="2" cm="1">
        <f t="array" ref="V3">_xlfn.XLOOKUP(1,('IRSAP Original'!$A$6:$A$163=V$2)*('IRSAP Original'!$C$6:$C$163=$B3),'IRSAP Original'!$I$6:$I$163,"")</f>
        <v>62.7</v>
      </c>
      <c r="W3" s="2" cm="1">
        <f t="array" ref="W3">_xlfn.XLOOKUP(1,('IRSAP Original'!$A$6:$A$163=W$2)*('IRSAP Original'!$C$6:$C$163=$B3),'IRSAP Original'!$I$6:$I$163,"")</f>
        <v>69.2</v>
      </c>
      <c r="X3" s="2" cm="1">
        <f t="array" ref="X3">_xlfn.XLOOKUP(1,('IRSAP Original'!$A$6:$A$163=X$2)*('IRSAP Original'!$C$6:$C$163=$B3),'IRSAP Original'!$I$6:$I$163,"")</f>
        <v>82.5</v>
      </c>
      <c r="Y3" s="2" cm="1">
        <f t="array" ref="Y3">_xlfn.XLOOKUP(1,('IRSAP Original'!$A$6:$A$163=Y$2)*('IRSAP Original'!$C$6:$C$163=$B3),'IRSAP Original'!$I$6:$I$163,"")</f>
        <v>103</v>
      </c>
      <c r="Z3" s="2" cm="1">
        <f t="array" ref="Z3">_xlfn.XLOOKUP(1,('IRSAP Original'!$A$6:$A$163=Z$2)*('IRSAP Original'!$C$6:$C$163=$B3),'IRSAP Original'!$I$6:$I$163,"")</f>
        <v>124.3</v>
      </c>
      <c r="AA3" s="2" cm="1">
        <f t="array" ref="AA3">_xlfn.XLOOKUP(1,('IRSAP Original'!$A$6:$A$163=AA$2)*('IRSAP Original'!$C$6:$C$163=$B3),'IRSAP Original'!$I$6:$I$163,"")</f>
        <v>139</v>
      </c>
      <c r="AB3" s="2" cm="1">
        <f t="array" ref="AB3">_xlfn.XLOOKUP(1,('IRSAP Original'!$A$6:$A$163=AB$2)*('IRSAP Original'!$C$6:$C$163=$B3),'IRSAP Original'!$I$6:$I$163,"")</f>
        <v>154.19999999999999</v>
      </c>
      <c r="AC3" s="2" cm="1">
        <f t="array" ref="AC3">_xlfn.XLOOKUP(1,('IRSAP Original'!$A$6:$A$163=AC$2)*('IRSAP Original'!$C$6:$C$163=$B3),'IRSAP Original'!$I$6:$I$163,"")</f>
        <v>177.8</v>
      </c>
      <c r="AD3" s="2" t="s">
        <v>598</v>
      </c>
    </row>
    <row r="4" spans="1:42" x14ac:dyDescent="0.2">
      <c r="B4" s="2">
        <v>101</v>
      </c>
      <c r="C4" s="2" cm="1">
        <f t="array" ref="C4">_xlfn.XLOOKUP(1,('IRSAP Original'!$A$6:$A$163=C$2)*('IRSAP Original'!$C$6:$C$163=$B4),'IRSAP Original'!$I$6:$I$163,"")</f>
        <v>20.3</v>
      </c>
      <c r="D4" s="2" cm="1">
        <f t="array" ref="D4">_xlfn.XLOOKUP(1,('IRSAP Original'!$A$6:$A$163=D$2)*('IRSAP Original'!$C$6:$C$163=$B4),'IRSAP Original'!$I$6:$I$163,"")</f>
        <v>32.5</v>
      </c>
      <c r="E4" s="2" cm="1">
        <f t="array" ref="E4">_xlfn.XLOOKUP(1,('IRSAP Original'!$A$6:$A$163=E$2)*('IRSAP Original'!$C$6:$C$163=$B4),'IRSAP Original'!$I$6:$I$163,"")</f>
        <v>37.299999999999997</v>
      </c>
      <c r="F4" s="2" cm="1">
        <f t="array" ref="F4">_xlfn.XLOOKUP(1,('IRSAP Original'!$A$6:$A$163=F$2)*('IRSAP Original'!$C$6:$C$163=$B4),'IRSAP Original'!$I$6:$I$163,"")</f>
        <v>38.700000000000003</v>
      </c>
      <c r="G4" s="2" cm="1">
        <f t="array" ref="G4">_xlfn.XLOOKUP(1,('IRSAP Original'!$A$6:$A$163=G$2)*('IRSAP Original'!$C$6:$C$163=$B4),'IRSAP Original'!$I$6:$I$163,"")</f>
        <v>42</v>
      </c>
      <c r="H4" s="2" cm="1">
        <f t="array" ref="H4">_xlfn.XLOOKUP(1,('IRSAP Original'!$A$6:$A$163=H$2)*('IRSAP Original'!$C$6:$C$163=$B4),'IRSAP Original'!$I$6:$I$163,"")</f>
        <v>46.7</v>
      </c>
      <c r="I4" s="2" cm="1">
        <f t="array" ref="I4">_xlfn.XLOOKUP(1,('IRSAP Original'!$A$6:$A$163=I$2)*('IRSAP Original'!$C$6:$C$163=$B4),'IRSAP Original'!$I$6:$I$163,"")</f>
        <v>51.4</v>
      </c>
      <c r="J4" s="2" cm="1">
        <f t="array" ref="J4">_xlfn.XLOOKUP(1,('IRSAP Original'!$A$6:$A$163=J$2)*('IRSAP Original'!$C$6:$C$163=$B4),'IRSAP Original'!$I$6:$I$163,"")</f>
        <v>54.6</v>
      </c>
      <c r="K4" s="2" cm="1">
        <f t="array" ref="K4">_xlfn.XLOOKUP(1,('IRSAP Original'!$A$6:$A$163=K$2)*('IRSAP Original'!$C$6:$C$163=$B4),'IRSAP Original'!$I$6:$I$163,"")</f>
        <v>55.9</v>
      </c>
      <c r="L4" s="2" cm="1">
        <f t="array" ref="L4">_xlfn.XLOOKUP(1,('IRSAP Original'!$A$6:$A$163=L$2)*('IRSAP Original'!$C$6:$C$163=$B4),'IRSAP Original'!$I$6:$I$163,"")</f>
        <v>57.4</v>
      </c>
      <c r="M4" s="2" cm="1">
        <f t="array" ref="M4">_xlfn.XLOOKUP(1,('IRSAP Original'!$A$6:$A$163=M$2)*('IRSAP Original'!$C$6:$C$163=$B4),'IRSAP Original'!$I$6:$I$163,"")</f>
        <v>60.6</v>
      </c>
      <c r="N4" s="2" cm="1">
        <f t="array" ref="N4">_xlfn.XLOOKUP(1,('IRSAP Original'!$A$6:$A$163=N$2)*('IRSAP Original'!$C$6:$C$163=$B4),'IRSAP Original'!$I$6:$I$163,"")</f>
        <v>65.2</v>
      </c>
      <c r="O4" s="2" cm="1">
        <f t="array" ref="O4">_xlfn.XLOOKUP(1,('IRSAP Original'!$A$6:$A$163=O$2)*('IRSAP Original'!$C$6:$C$163=$B4),'IRSAP Original'!$I$6:$I$163,"")</f>
        <v>66.5</v>
      </c>
      <c r="P4" s="2" cm="1">
        <f t="array" ref="P4">_xlfn.XLOOKUP(1,('IRSAP Original'!$A$6:$A$163=P$2)*('IRSAP Original'!$C$6:$C$163=$B4),'IRSAP Original'!$I$6:$I$163,"")</f>
        <v>68.3</v>
      </c>
      <c r="Q4" s="2" cm="1">
        <f t="array" ref="Q4">_xlfn.XLOOKUP(1,('IRSAP Original'!$A$6:$A$163=Q$2)*('IRSAP Original'!$C$6:$C$163=$B4),'IRSAP Original'!$I$6:$I$163,"")</f>
        <v>74.400000000000006</v>
      </c>
      <c r="R4" s="2" cm="1">
        <f t="array" ref="R4">_xlfn.XLOOKUP(1,('IRSAP Original'!$A$6:$A$163=R$2)*('IRSAP Original'!$C$6:$C$163=$B4),'IRSAP Original'!$I$6:$I$163,"")</f>
        <v>75.599999999999994</v>
      </c>
      <c r="S4" s="2" cm="1">
        <f t="array" ref="S4">_xlfn.XLOOKUP(1,('IRSAP Original'!$A$6:$A$163=S$2)*('IRSAP Original'!$C$6:$C$163=$B4),'IRSAP Original'!$I$6:$I$163,"")</f>
        <v>80.099999999999994</v>
      </c>
      <c r="T4" s="2" cm="1">
        <f t="array" ref="T4">_xlfn.XLOOKUP(1,('IRSAP Original'!$A$6:$A$163=T$2)*('IRSAP Original'!$C$6:$C$163=$B4),'IRSAP Original'!$I$6:$I$163,"")</f>
        <v>84.6</v>
      </c>
      <c r="U4" s="2" cm="1">
        <f t="array" ref="U4">_xlfn.XLOOKUP(1,('IRSAP Original'!$A$6:$A$163=U$2)*('IRSAP Original'!$C$6:$C$163=$B4),'IRSAP Original'!$I$6:$I$163,"")</f>
        <v>86.4</v>
      </c>
      <c r="V4" s="2" cm="1">
        <f t="array" ref="V4">_xlfn.XLOOKUP(1,('IRSAP Original'!$A$6:$A$163=V$2)*('IRSAP Original'!$C$6:$C$163=$B4),'IRSAP Original'!$I$6:$I$163,"")</f>
        <v>87.8</v>
      </c>
      <c r="W4" s="2" cm="1">
        <f t="array" ref="W4">_xlfn.XLOOKUP(1,('IRSAP Original'!$A$6:$A$163=W$2)*('IRSAP Original'!$C$6:$C$163=$B4),'IRSAP Original'!$I$6:$I$163,"")</f>
        <v>96.8</v>
      </c>
      <c r="X4" s="2" cm="1">
        <f t="array" ref="X4">_xlfn.XLOOKUP(1,('IRSAP Original'!$A$6:$A$163=X$2)*('IRSAP Original'!$C$6:$C$163=$B4),'IRSAP Original'!$I$6:$I$163,"")</f>
        <v>114.8</v>
      </c>
      <c r="Y4" s="2" cm="1">
        <f t="array" ref="Y4">_xlfn.XLOOKUP(1,('IRSAP Original'!$A$6:$A$163=Y$2)*('IRSAP Original'!$C$6:$C$163=$B4),'IRSAP Original'!$I$6:$I$163,"")</f>
        <v>141.69999999999999</v>
      </c>
      <c r="Z4" s="2" cm="1">
        <f t="array" ref="Z4">_xlfn.XLOOKUP(1,('IRSAP Original'!$A$6:$A$163=Z$2)*('IRSAP Original'!$C$6:$C$163=$B4),'IRSAP Original'!$I$6:$I$163,"")</f>
        <v>168.9</v>
      </c>
      <c r="AA4" s="2" cm="1">
        <f t="array" ref="AA4">_xlfn.XLOOKUP(1,('IRSAP Original'!$A$6:$A$163=AA$2)*('IRSAP Original'!$C$6:$C$163=$B4),'IRSAP Original'!$I$6:$I$163,"")</f>
        <v>187.2</v>
      </c>
      <c r="AB4" s="2" cm="1">
        <f t="array" ref="AB4">_xlfn.XLOOKUP(1,('IRSAP Original'!$A$6:$A$163=AB$2)*('IRSAP Original'!$C$6:$C$163=$B4),'IRSAP Original'!$I$6:$I$163,"")</f>
        <v>205.7</v>
      </c>
      <c r="AC4" s="2" cm="1">
        <f t="array" ref="AC4">_xlfn.XLOOKUP(1,('IRSAP Original'!$A$6:$A$163=AC$2)*('IRSAP Original'!$C$6:$C$163=$B4),'IRSAP Original'!$I$6:$I$163,"")</f>
        <v>233.7</v>
      </c>
      <c r="AD4" s="2" t="s">
        <v>599</v>
      </c>
    </row>
    <row r="5" spans="1:42" ht="12.75" customHeight="1" x14ac:dyDescent="0.2">
      <c r="B5" s="2">
        <v>139</v>
      </c>
      <c r="C5" s="2" cm="1">
        <f t="array" ref="C5">_xlfn.XLOOKUP(1,('IRSAP Original'!$A$6:$A$163=C$2)*('IRSAP Original'!$C$6:$C$163=$B5),'IRSAP Original'!$I$6:$I$163,"")</f>
        <v>26</v>
      </c>
      <c r="D5" s="2" cm="1">
        <f t="array" ref="D5">_xlfn.XLOOKUP(1,('IRSAP Original'!$A$6:$A$163=D$2)*('IRSAP Original'!$C$6:$C$163=$B5),'IRSAP Original'!$I$6:$I$163,"")</f>
        <v>42.1</v>
      </c>
      <c r="E5" s="2" cm="1">
        <f t="array" ref="E5">_xlfn.XLOOKUP(1,('IRSAP Original'!$A$6:$A$163=E$2)*('IRSAP Original'!$C$6:$C$163=$B5),'IRSAP Original'!$I$6:$I$163,"")</f>
        <v>48.4</v>
      </c>
      <c r="F5" s="2" cm="1">
        <f t="array" ref="F5">_xlfn.XLOOKUP(1,('IRSAP Original'!$A$6:$A$163=F$2)*('IRSAP Original'!$C$6:$C$163=$B5),'IRSAP Original'!$I$6:$I$163,"")</f>
        <v>50.3</v>
      </c>
      <c r="G5" s="2" cm="1">
        <f t="array" ref="G5">_xlfn.XLOOKUP(1,('IRSAP Original'!$A$6:$A$163=G$2)*('IRSAP Original'!$C$6:$C$163=$B5),'IRSAP Original'!$I$6:$I$163,"")</f>
        <v>54.6</v>
      </c>
      <c r="H5" s="2" cm="1">
        <f t="array" ref="H5">_xlfn.XLOOKUP(1,('IRSAP Original'!$A$6:$A$163=H$2)*('IRSAP Original'!$C$6:$C$163=$B5),'IRSAP Original'!$I$6:$I$163,"")</f>
        <v>60.8</v>
      </c>
      <c r="I5" s="2" cm="1">
        <f t="array" ref="I5">_xlfn.XLOOKUP(1,('IRSAP Original'!$A$6:$A$163=I$2)*('IRSAP Original'!$C$6:$C$163=$B5),'IRSAP Original'!$I$6:$I$163,"")</f>
        <v>66.900000000000006</v>
      </c>
      <c r="J5" s="2" cm="1">
        <f t="array" ref="J5">_xlfn.XLOOKUP(1,('IRSAP Original'!$A$6:$A$163=J$2)*('IRSAP Original'!$C$6:$C$163=$B5),'IRSAP Original'!$I$6:$I$163,"")</f>
        <v>71.2</v>
      </c>
      <c r="K5" s="2" cm="1">
        <f t="array" ref="K5">_xlfn.XLOOKUP(1,('IRSAP Original'!$A$6:$A$163=K$2)*('IRSAP Original'!$C$6:$C$163=$B5),'IRSAP Original'!$I$6:$I$163,"")</f>
        <v>73</v>
      </c>
      <c r="L5" s="2" cm="1">
        <f t="array" ref="L5">_xlfn.XLOOKUP(1,('IRSAP Original'!$A$6:$A$163=L$2)*('IRSAP Original'!$C$6:$C$163=$B5),'IRSAP Original'!$I$6:$I$163,"")</f>
        <v>74.8</v>
      </c>
      <c r="M5" s="2" cm="1">
        <f t="array" ref="M5">_xlfn.XLOOKUP(1,('IRSAP Original'!$A$6:$A$163=M$2)*('IRSAP Original'!$C$6:$C$163=$B5),'IRSAP Original'!$I$6:$I$163,"")</f>
        <v>79</v>
      </c>
      <c r="N5" s="2" cm="1">
        <f t="array" ref="N5">_xlfn.XLOOKUP(1,('IRSAP Original'!$A$6:$A$163=N$2)*('IRSAP Original'!$C$6:$C$163=$B5),'IRSAP Original'!$I$6:$I$163,"")</f>
        <v>85</v>
      </c>
      <c r="O5" s="2" cm="1">
        <f t="array" ref="O5">_xlfn.XLOOKUP(1,('IRSAP Original'!$A$6:$A$163=O$2)*('IRSAP Original'!$C$6:$C$163=$B5),'IRSAP Original'!$I$6:$I$163,"")</f>
        <v>86.7</v>
      </c>
      <c r="P5" s="2" cm="1">
        <f t="array" ref="P5">_xlfn.XLOOKUP(1,('IRSAP Original'!$A$6:$A$163=P$2)*('IRSAP Original'!$C$6:$C$163=$B5),'IRSAP Original'!$I$6:$I$163,"")</f>
        <v>89.1</v>
      </c>
      <c r="Q5" s="2" cm="1">
        <f t="array" ref="Q5">_xlfn.XLOOKUP(1,('IRSAP Original'!$A$6:$A$163=Q$2)*('IRSAP Original'!$C$6:$C$163=$B5),'IRSAP Original'!$I$6:$I$163,"")</f>
        <v>96.8</v>
      </c>
      <c r="R5" s="2" cm="1">
        <f t="array" ref="R5">_xlfn.XLOOKUP(1,('IRSAP Original'!$A$6:$A$163=R$2)*('IRSAP Original'!$C$6:$C$163=$B5),'IRSAP Original'!$I$6:$I$163,"")</f>
        <v>98.6</v>
      </c>
      <c r="S5" s="2" cm="1">
        <f t="array" ref="S5">_xlfn.XLOOKUP(1,('IRSAP Original'!$A$6:$A$163=S$2)*('IRSAP Original'!$C$6:$C$163=$B5),'IRSAP Original'!$I$6:$I$163,"")</f>
        <v>104.4</v>
      </c>
      <c r="T5" s="2" cm="1">
        <f t="array" ref="T5">_xlfn.XLOOKUP(1,('IRSAP Original'!$A$6:$A$163=T$2)*('IRSAP Original'!$C$6:$C$163=$B5),'IRSAP Original'!$I$6:$I$163,"")</f>
        <v>110.3</v>
      </c>
      <c r="U5" s="2" cm="1">
        <f t="array" ref="U5">_xlfn.XLOOKUP(1,('IRSAP Original'!$A$6:$A$163=U$2)*('IRSAP Original'!$C$6:$C$163=$B5),'IRSAP Original'!$I$6:$I$163,"")</f>
        <v>112.6</v>
      </c>
      <c r="V5" s="2" cm="1">
        <f t="array" ref="V5">_xlfn.XLOOKUP(1,('IRSAP Original'!$A$6:$A$163=V$2)*('IRSAP Original'!$C$6:$C$163=$B5),'IRSAP Original'!$I$6:$I$163,"")</f>
        <v>114.3</v>
      </c>
      <c r="W5" s="2" cm="1">
        <f t="array" ref="W5">_xlfn.XLOOKUP(1,('IRSAP Original'!$A$6:$A$163=W$2)*('IRSAP Original'!$C$6:$C$163=$B5),'IRSAP Original'!$I$6:$I$163,"")</f>
        <v>125.9</v>
      </c>
      <c r="X5" s="2" cm="1">
        <f t="array" ref="X5">_xlfn.XLOOKUP(1,('IRSAP Original'!$A$6:$A$163=X$2)*('IRSAP Original'!$C$6:$C$163=$B5),'IRSAP Original'!$I$6:$I$163,"")</f>
        <v>148.80000000000001</v>
      </c>
      <c r="Y5" s="2" cm="1">
        <f t="array" ref="Y5">_xlfn.XLOOKUP(1,('IRSAP Original'!$A$6:$A$163=Y$2)*('IRSAP Original'!$C$6:$C$163=$B5),'IRSAP Original'!$I$6:$I$163,"")</f>
        <v>182.6</v>
      </c>
      <c r="Z5" s="2" cm="1">
        <f t="array" ref="Z5">_xlfn.XLOOKUP(1,('IRSAP Original'!$A$6:$A$163=Z$2)*('IRSAP Original'!$C$6:$C$163=$B5),'IRSAP Original'!$I$6:$I$163,"")</f>
        <v>216</v>
      </c>
      <c r="AA5" s="2" cm="1">
        <f t="array" ref="AA5">_xlfn.XLOOKUP(1,('IRSAP Original'!$A$6:$A$163=AA$2)*('IRSAP Original'!$C$6:$C$163=$B5),'IRSAP Original'!$I$6:$I$163,"")</f>
        <v>238.1</v>
      </c>
      <c r="AB5" s="2" cm="1">
        <f t="array" ref="AB5">_xlfn.XLOOKUP(1,('IRSAP Original'!$A$6:$A$163=AB$2)*('IRSAP Original'!$C$6:$C$163=$B5),'IRSAP Original'!$I$6:$I$163,"")</f>
        <v>260</v>
      </c>
      <c r="AC5" s="2" cm="1">
        <f t="array" ref="AC5">_xlfn.XLOOKUP(1,('IRSAP Original'!$A$6:$A$163=AC$2)*('IRSAP Original'!$C$6:$C$163=$B5),'IRSAP Original'!$I$6:$I$163,"")</f>
        <v>292.8</v>
      </c>
      <c r="AD5" s="2" t="s">
        <v>600</v>
      </c>
    </row>
    <row r="6" spans="1:42" ht="12.75" customHeight="1" x14ac:dyDescent="0.2">
      <c r="B6" s="2">
        <v>177</v>
      </c>
      <c r="C6" s="2" cm="1">
        <f t="array" ref="C6">_xlfn.XLOOKUP(1,('IRSAP Original'!$A$6:$A$163=C$2)*('IRSAP Original'!$C$6:$C$163=$B6),'IRSAP Original'!$I$6:$I$163,"")</f>
        <v>31.7</v>
      </c>
      <c r="D6" s="2" cm="1">
        <f t="array" ref="D6">_xlfn.XLOOKUP(1,('IRSAP Original'!$A$6:$A$163=D$2)*('IRSAP Original'!$C$6:$C$163=$B6),'IRSAP Original'!$I$6:$I$163,"")</f>
        <v>51.4</v>
      </c>
      <c r="E6" s="2" cm="1">
        <f t="array" ref="E6">_xlfn.XLOOKUP(1,('IRSAP Original'!$A$6:$A$163=E$2)*('IRSAP Original'!$C$6:$C$163=$B6),'IRSAP Original'!$I$6:$I$163,"")</f>
        <v>59</v>
      </c>
      <c r="F6" s="2" cm="1">
        <f t="array" ref="F6">_xlfn.XLOOKUP(1,('IRSAP Original'!$A$6:$A$163=F$2)*('IRSAP Original'!$C$6:$C$163=$B6),'IRSAP Original'!$I$6:$I$163,"")</f>
        <v>61.3</v>
      </c>
      <c r="G6" s="2" cm="1">
        <f t="array" ref="G6">_xlfn.XLOOKUP(1,('IRSAP Original'!$A$6:$A$163=G$2)*('IRSAP Original'!$C$6:$C$163=$B6),'IRSAP Original'!$I$6:$I$163,"")</f>
        <v>66.5</v>
      </c>
      <c r="H6" s="2" cm="1">
        <f t="array" ref="H6">_xlfn.XLOOKUP(1,('IRSAP Original'!$A$6:$A$163=H$2)*('IRSAP Original'!$C$6:$C$163=$B6),'IRSAP Original'!$I$6:$I$163,"")</f>
        <v>74</v>
      </c>
      <c r="I6" s="2" cm="1">
        <f t="array" ref="I6">_xlfn.XLOOKUP(1,('IRSAP Original'!$A$6:$A$163=I$2)*('IRSAP Original'!$C$6:$C$163=$B6),'IRSAP Original'!$I$6:$I$163,"")</f>
        <v>81.3</v>
      </c>
      <c r="J6" s="2" cm="1">
        <f t="array" ref="J6">_xlfn.XLOOKUP(1,('IRSAP Original'!$A$6:$A$163=J$2)*('IRSAP Original'!$C$6:$C$163=$B6),'IRSAP Original'!$I$6:$I$163,"")</f>
        <v>86.5</v>
      </c>
      <c r="K6" s="2" cm="1">
        <f t="array" ref="K6">_xlfn.XLOOKUP(1,('IRSAP Original'!$A$6:$A$163=K$2)*('IRSAP Original'!$C$6:$C$163=$B6),'IRSAP Original'!$I$6:$I$163,"")</f>
        <v>88.7</v>
      </c>
      <c r="L6" s="2" cm="1">
        <f t="array" ref="L6">_xlfn.XLOOKUP(1,('IRSAP Original'!$A$6:$A$163=L$2)*('IRSAP Original'!$C$6:$C$163=$B6),'IRSAP Original'!$I$6:$I$163,"")</f>
        <v>90.8</v>
      </c>
      <c r="M6" s="2" cm="1">
        <f t="array" ref="M6">_xlfn.XLOOKUP(1,('IRSAP Original'!$A$6:$A$163=M$2)*('IRSAP Original'!$C$6:$C$163=$B6),'IRSAP Original'!$I$6:$I$163,"")</f>
        <v>95.9</v>
      </c>
      <c r="N6" s="2" cm="1">
        <f t="array" ref="N6">_xlfn.XLOOKUP(1,('IRSAP Original'!$A$6:$A$163=N$2)*('IRSAP Original'!$C$6:$C$163=$B6),'IRSAP Original'!$I$6:$I$163,"")</f>
        <v>103.1</v>
      </c>
      <c r="O6" s="2" cm="1">
        <f t="array" ref="O6">_xlfn.XLOOKUP(1,('IRSAP Original'!$A$6:$A$163=O$2)*('IRSAP Original'!$C$6:$C$163=$B6),'IRSAP Original'!$I$6:$I$163,"")</f>
        <v>105.2</v>
      </c>
      <c r="P6" s="2" cm="1">
        <f t="array" ref="P6">_xlfn.XLOOKUP(1,('IRSAP Original'!$A$6:$A$163=P$2)*('IRSAP Original'!$C$6:$C$163=$B6),'IRSAP Original'!$I$6:$I$163,"")</f>
        <v>108.1</v>
      </c>
      <c r="Q6" s="2" cm="1">
        <f t="array" ref="Q6">_xlfn.XLOOKUP(1,('IRSAP Original'!$A$6:$A$163=Q$2)*('IRSAP Original'!$C$6:$C$163=$B6),'IRSAP Original'!$I$6:$I$163,"")</f>
        <v>117.4</v>
      </c>
      <c r="R6" s="2" cm="1">
        <f t="array" ref="R6">_xlfn.XLOOKUP(1,('IRSAP Original'!$A$6:$A$163=R$2)*('IRSAP Original'!$C$6:$C$163=$B6),'IRSAP Original'!$I$6:$I$163,"")</f>
        <v>119.5</v>
      </c>
      <c r="S6" s="2" cm="1">
        <f t="array" ref="S6">_xlfn.XLOOKUP(1,('IRSAP Original'!$A$6:$A$163=S$2)*('IRSAP Original'!$C$6:$C$163=$B6),'IRSAP Original'!$I$6:$I$163,"")</f>
        <v>126.5</v>
      </c>
      <c r="T6" s="2" cm="1">
        <f t="array" ref="T6">_xlfn.XLOOKUP(1,('IRSAP Original'!$A$6:$A$163=T$2)*('IRSAP Original'!$C$6:$C$163=$B6),'IRSAP Original'!$I$6:$I$163,"")</f>
        <v>133.6</v>
      </c>
      <c r="U6" s="2" cm="1">
        <f t="array" ref="U6">_xlfn.XLOOKUP(1,('IRSAP Original'!$A$6:$A$163=U$2)*('IRSAP Original'!$C$6:$C$163=$B6),'IRSAP Original'!$I$6:$I$163,"")</f>
        <v>136.4</v>
      </c>
      <c r="V6" s="2" cm="1">
        <f t="array" ref="V6">_xlfn.XLOOKUP(1,('IRSAP Original'!$A$6:$A$163=V$2)*('IRSAP Original'!$C$6:$C$163=$B6),'IRSAP Original'!$I$6:$I$163,"")</f>
        <v>138.5</v>
      </c>
      <c r="W6" s="2" cm="1">
        <f t="array" ref="W6">_xlfn.XLOOKUP(1,('IRSAP Original'!$A$6:$A$163=W$2)*('IRSAP Original'!$C$6:$C$163=$B6),'IRSAP Original'!$I$6:$I$163,"")</f>
        <v>152.4</v>
      </c>
      <c r="X6" s="2" cm="1">
        <f t="array" ref="X6">_xlfn.XLOOKUP(1,('IRSAP Original'!$A$6:$A$163=X$2)*('IRSAP Original'!$C$6:$C$163=$B6),'IRSAP Original'!$I$6:$I$163,"")</f>
        <v>180</v>
      </c>
      <c r="Y6" s="2" cm="1">
        <f t="array" ref="Y6">_xlfn.XLOOKUP(1,('IRSAP Original'!$A$6:$A$163=Y$2)*('IRSAP Original'!$C$6:$C$163=$B6),'IRSAP Original'!$I$6:$I$163,"")</f>
        <v>220.9</v>
      </c>
      <c r="Z6" s="2" cm="1">
        <f t="array" ref="Z6">_xlfn.XLOOKUP(1,('IRSAP Original'!$A$6:$A$163=Z$2)*('IRSAP Original'!$C$6:$C$163=$B6),'IRSAP Original'!$I$6:$I$163,"")</f>
        <v>261.3</v>
      </c>
      <c r="AA6" s="2" cm="1">
        <f t="array" ref="AA6">_xlfn.XLOOKUP(1,('IRSAP Original'!$A$6:$A$163=AA$2)*('IRSAP Original'!$C$6:$C$163=$B6),'IRSAP Original'!$I$6:$I$163,"")</f>
        <v>288</v>
      </c>
      <c r="AB6" s="2" cm="1">
        <f t="array" ref="AB6">_xlfn.XLOOKUP(1,('IRSAP Original'!$A$6:$A$163=AB$2)*('IRSAP Original'!$C$6:$C$163=$B6),'IRSAP Original'!$I$6:$I$163,"")</f>
        <v>314.7</v>
      </c>
      <c r="AC6" s="2" cm="1">
        <f t="array" ref="AC6">_xlfn.XLOOKUP(1,('IRSAP Original'!$A$6:$A$163=AC$2)*('IRSAP Original'!$C$6:$C$163=$B6),'IRSAP Original'!$I$6:$I$163,"")</f>
        <v>354.5</v>
      </c>
      <c r="AD6" s="2" t="s">
        <v>601</v>
      </c>
    </row>
    <row r="7" spans="1:42" x14ac:dyDescent="0.2">
      <c r="B7" s="2">
        <v>215</v>
      </c>
      <c r="C7" s="2" cm="1">
        <f t="array" ref="C7">_xlfn.XLOOKUP(1,('IRSAP Original'!$A$6:$A$163=C$2)*('IRSAP Original'!$C$6:$C$163=$B7),'IRSAP Original'!$I$6:$I$163,"")</f>
        <v>37.4</v>
      </c>
      <c r="D7" s="2" cm="1">
        <f t="array" ref="D7">_xlfn.XLOOKUP(1,('IRSAP Original'!$A$6:$A$163=D$2)*('IRSAP Original'!$C$6:$C$163=$B7),'IRSAP Original'!$I$6:$I$163,"")</f>
        <v>60.7</v>
      </c>
      <c r="E7" s="2" cm="1">
        <f t="array" ref="E7">_xlfn.XLOOKUP(1,('IRSAP Original'!$A$6:$A$163=E$2)*('IRSAP Original'!$C$6:$C$163=$B7),'IRSAP Original'!$I$6:$I$163,"")</f>
        <v>69.599999999999994</v>
      </c>
      <c r="F7" s="2" cm="1">
        <f t="array" ref="F7">_xlfn.XLOOKUP(1,('IRSAP Original'!$A$6:$A$163=F$2)*('IRSAP Original'!$C$6:$C$163=$B7),'IRSAP Original'!$I$6:$I$163,"")</f>
        <v>72.3</v>
      </c>
      <c r="G7" s="2" cm="1">
        <f t="array" ref="G7">_xlfn.XLOOKUP(1,('IRSAP Original'!$A$6:$A$163=G$2)*('IRSAP Original'!$C$6:$C$163=$B7),'IRSAP Original'!$I$6:$I$163,"")</f>
        <v>78.5</v>
      </c>
      <c r="H7" s="2" cm="1">
        <f t="array" ref="H7">_xlfn.XLOOKUP(1,('IRSAP Original'!$A$6:$A$163=H$2)*('IRSAP Original'!$C$6:$C$163=$B7),'IRSAP Original'!$I$6:$I$163,"")</f>
        <v>87.2</v>
      </c>
      <c r="I7" s="2" cm="1">
        <f t="array" ref="I7">_xlfn.XLOOKUP(1,('IRSAP Original'!$A$6:$A$163=I$2)*('IRSAP Original'!$C$6:$C$163=$B7),'IRSAP Original'!$I$6:$I$163,"")</f>
        <v>95.8</v>
      </c>
      <c r="J7" s="2" cm="1">
        <f t="array" ref="J7">_xlfn.XLOOKUP(1,('IRSAP Original'!$A$6:$A$163=J$2)*('IRSAP Original'!$C$6:$C$163=$B7),'IRSAP Original'!$I$6:$I$163,"")</f>
        <v>101.8</v>
      </c>
      <c r="K7" s="2" cm="1">
        <f t="array" ref="K7">_xlfn.XLOOKUP(1,('IRSAP Original'!$A$6:$A$163=K$2)*('IRSAP Original'!$C$6:$C$163=$B7),'IRSAP Original'!$I$6:$I$163,"")</f>
        <v>104.3</v>
      </c>
      <c r="L7" s="2" cm="1">
        <f t="array" ref="L7">_xlfn.XLOOKUP(1,('IRSAP Original'!$A$6:$A$163=L$2)*('IRSAP Original'!$C$6:$C$163=$B7),'IRSAP Original'!$I$6:$I$163,"")</f>
        <v>106.9</v>
      </c>
      <c r="M7" s="2" cm="1">
        <f t="array" ref="M7">_xlfn.XLOOKUP(1,('IRSAP Original'!$A$6:$A$163=M$2)*('IRSAP Original'!$C$6:$C$163=$B7),'IRSAP Original'!$I$6:$I$163,"")</f>
        <v>112.8</v>
      </c>
      <c r="N7" s="2" cm="1">
        <f t="array" ref="N7">_xlfn.XLOOKUP(1,('IRSAP Original'!$A$6:$A$163=N$2)*('IRSAP Original'!$C$6:$C$163=$B7),'IRSAP Original'!$I$6:$I$163,"")</f>
        <v>121.2</v>
      </c>
      <c r="O7" s="2" cm="1">
        <f t="array" ref="O7">_xlfn.XLOOKUP(1,('IRSAP Original'!$A$6:$A$163=O$2)*('IRSAP Original'!$C$6:$C$163=$B7),'IRSAP Original'!$I$6:$I$163,"")</f>
        <v>123.7</v>
      </c>
      <c r="P7" s="2" cm="1">
        <f t="array" ref="P7">_xlfn.XLOOKUP(1,('IRSAP Original'!$A$6:$A$163=P$2)*('IRSAP Original'!$C$6:$C$163=$B7),'IRSAP Original'!$I$6:$I$163,"")</f>
        <v>127.1</v>
      </c>
      <c r="Q7" s="2" cm="1">
        <f t="array" ref="Q7">_xlfn.XLOOKUP(1,('IRSAP Original'!$A$6:$A$163=Q$2)*('IRSAP Original'!$C$6:$C$163=$B7),'IRSAP Original'!$I$6:$I$163,"")</f>
        <v>137.9</v>
      </c>
      <c r="R7" s="2" cm="1">
        <f t="array" ref="R7">_xlfn.XLOOKUP(1,('IRSAP Original'!$A$6:$A$163=R$2)*('IRSAP Original'!$C$6:$C$163=$B7),'IRSAP Original'!$I$6:$I$163,"")</f>
        <v>140.4</v>
      </c>
      <c r="S7" s="2" cm="1">
        <f t="array" ref="S7">_xlfn.XLOOKUP(1,('IRSAP Original'!$A$6:$A$163=S$2)*('IRSAP Original'!$C$6:$C$163=$B7),'IRSAP Original'!$I$6:$I$163,"")</f>
        <v>148.69999999999999</v>
      </c>
      <c r="T7" s="2" cm="1">
        <f t="array" ref="T7">_xlfn.XLOOKUP(1,('IRSAP Original'!$A$6:$A$163=T$2)*('IRSAP Original'!$C$6:$C$163=$B7),'IRSAP Original'!$I$6:$I$163,"")</f>
        <v>156.9</v>
      </c>
      <c r="U7" s="2" cm="1">
        <f t="array" ref="U7">_xlfn.XLOOKUP(1,('IRSAP Original'!$A$6:$A$163=U$2)*('IRSAP Original'!$C$6:$C$163=$B7),'IRSAP Original'!$I$6:$I$163,"")</f>
        <v>160.19999999999999</v>
      </c>
      <c r="V7" s="2" cm="1">
        <f t="array" ref="V7">_xlfn.XLOOKUP(1,('IRSAP Original'!$A$6:$A$163=V$2)*('IRSAP Original'!$C$6:$C$163=$B7),'IRSAP Original'!$I$6:$I$163,"")</f>
        <v>162.6</v>
      </c>
      <c r="W7" s="2" cm="1">
        <f t="array" ref="W7">_xlfn.XLOOKUP(1,('IRSAP Original'!$A$6:$A$163=W$2)*('IRSAP Original'!$C$6:$C$163=$B7),'IRSAP Original'!$I$6:$I$163,"")</f>
        <v>178.9</v>
      </c>
      <c r="X7" s="2" cm="1">
        <f t="array" ref="X7">_xlfn.XLOOKUP(1,('IRSAP Original'!$A$6:$A$163=X$2)*('IRSAP Original'!$C$6:$C$163=$B7),'IRSAP Original'!$I$6:$I$163,"")</f>
        <v>211.2</v>
      </c>
      <c r="Y7" s="2" cm="1">
        <f t="array" ref="Y7">_xlfn.XLOOKUP(1,('IRSAP Original'!$A$6:$A$163=Y$2)*('IRSAP Original'!$C$6:$C$163=$B7),'IRSAP Original'!$I$6:$I$163,"")</f>
        <v>259.10000000000002</v>
      </c>
      <c r="Z7" s="2" cm="1">
        <f t="array" ref="Z7">_xlfn.XLOOKUP(1,('IRSAP Original'!$A$6:$A$163=Z$2)*('IRSAP Original'!$C$6:$C$163=$B7),'IRSAP Original'!$I$6:$I$163,"")</f>
        <v>306.5</v>
      </c>
      <c r="AA7" s="2" cm="1">
        <f t="array" ref="AA7">_xlfn.XLOOKUP(1,('IRSAP Original'!$A$6:$A$163=AA$2)*('IRSAP Original'!$C$6:$C$163=$B7),'IRSAP Original'!$I$6:$I$163,"")</f>
        <v>337.9</v>
      </c>
      <c r="AB7" s="2" cm="1">
        <f t="array" ref="AB7">_xlfn.XLOOKUP(1,('IRSAP Original'!$A$6:$A$163=AB$2)*('IRSAP Original'!$C$6:$C$163=$B7),'IRSAP Original'!$I$6:$I$163,"")</f>
        <v>369.3</v>
      </c>
      <c r="AC7" s="2" cm="1">
        <f t="array" ref="AC7">_xlfn.XLOOKUP(1,('IRSAP Original'!$A$6:$A$163=AC$2)*('IRSAP Original'!$C$6:$C$163=$B7),'IRSAP Original'!$I$6:$I$163,"")</f>
        <v>416.2</v>
      </c>
      <c r="AD7" s="2" t="s">
        <v>602</v>
      </c>
    </row>
    <row r="8" spans="1:42" x14ac:dyDescent="0.2">
      <c r="M8"/>
      <c r="N8"/>
      <c r="O8"/>
      <c r="P8"/>
      <c r="Q8"/>
    </row>
    <row r="9" spans="1:42" ht="13.5" x14ac:dyDescent="0.25">
      <c r="A9" s="1" t="s">
        <v>150</v>
      </c>
      <c r="C9" s="4" t="s">
        <v>2</v>
      </c>
      <c r="M9"/>
      <c r="N9"/>
      <c r="O9"/>
      <c r="P9"/>
      <c r="Q9"/>
    </row>
    <row r="10" spans="1:42" x14ac:dyDescent="0.2">
      <c r="A10" s="1" t="s">
        <v>0</v>
      </c>
      <c r="C10" s="5">
        <f t="shared" ref="C10:AC10" si="0">C$2</f>
        <v>200</v>
      </c>
      <c r="D10" s="5">
        <f t="shared" si="0"/>
        <v>300</v>
      </c>
      <c r="E10" s="5">
        <f t="shared" si="0"/>
        <v>350</v>
      </c>
      <c r="F10" s="5">
        <f t="shared" si="0"/>
        <v>365</v>
      </c>
      <c r="G10" s="5">
        <f t="shared" si="0"/>
        <v>400</v>
      </c>
      <c r="H10" s="5">
        <f t="shared" si="0"/>
        <v>450</v>
      </c>
      <c r="I10" s="5">
        <f t="shared" si="0"/>
        <v>500</v>
      </c>
      <c r="J10" s="5">
        <f t="shared" si="0"/>
        <v>535</v>
      </c>
      <c r="K10" s="5">
        <f t="shared" si="0"/>
        <v>550</v>
      </c>
      <c r="L10" s="5">
        <f t="shared" si="0"/>
        <v>565</v>
      </c>
      <c r="M10" s="5">
        <f t="shared" si="0"/>
        <v>600</v>
      </c>
      <c r="N10" s="5">
        <f t="shared" si="0"/>
        <v>650</v>
      </c>
      <c r="O10" s="5">
        <f t="shared" si="0"/>
        <v>665</v>
      </c>
      <c r="P10" s="5">
        <f t="shared" si="0"/>
        <v>685</v>
      </c>
      <c r="Q10" s="5">
        <f t="shared" si="0"/>
        <v>750</v>
      </c>
      <c r="R10" s="5">
        <f t="shared" si="0"/>
        <v>765</v>
      </c>
      <c r="S10" s="5">
        <f t="shared" si="0"/>
        <v>815</v>
      </c>
      <c r="T10" s="5">
        <f t="shared" si="0"/>
        <v>865</v>
      </c>
      <c r="U10" s="5">
        <f t="shared" si="0"/>
        <v>885</v>
      </c>
      <c r="V10" s="5">
        <f t="shared" si="0"/>
        <v>900</v>
      </c>
      <c r="W10" s="5">
        <f t="shared" si="0"/>
        <v>1000</v>
      </c>
      <c r="X10" s="5">
        <f t="shared" si="0"/>
        <v>1200</v>
      </c>
      <c r="Y10" s="5">
        <f t="shared" si="0"/>
        <v>1500</v>
      </c>
      <c r="Z10" s="5">
        <f t="shared" si="0"/>
        <v>1800</v>
      </c>
      <c r="AA10" s="5">
        <f t="shared" si="0"/>
        <v>2000</v>
      </c>
      <c r="AB10" s="5">
        <f t="shared" si="0"/>
        <v>2200</v>
      </c>
      <c r="AC10" s="5">
        <f t="shared" si="0"/>
        <v>2500</v>
      </c>
      <c r="AD10" s="5"/>
      <c r="AE10" s="5"/>
      <c r="AF10" s="5"/>
      <c r="AG10" s="5"/>
      <c r="AH10" s="5"/>
    </row>
    <row r="11" spans="1:42" ht="13.5" x14ac:dyDescent="0.25">
      <c r="A11" s="4" t="s">
        <v>3</v>
      </c>
      <c r="B11" s="2">
        <f>B3</f>
        <v>65</v>
      </c>
      <c r="C11" s="2" cm="1">
        <f t="array" ref="C11">_xlfn.XLOOKUP(1,('IRSAP Original'!$A$6:$A$163=C$2)*('IRSAP Original'!$C$6:$C$163=$B3),'IRSAP Original'!$M$6:$M$163,"")</f>
        <v>1.25</v>
      </c>
      <c r="D11" s="2" cm="1">
        <f t="array" ref="D11">_xlfn.XLOOKUP(1,('IRSAP Original'!$A$6:$A$163=D$2)*('IRSAP Original'!$C$6:$C$163=$B3),'IRSAP Original'!$M$6:$M$163,"")</f>
        <v>1.24</v>
      </c>
      <c r="E11" s="2" cm="1">
        <f t="array" ref="E11">_xlfn.XLOOKUP(1,('IRSAP Original'!$A$6:$A$163=E$2)*('IRSAP Original'!$C$6:$C$163=$B3),'IRSAP Original'!$M$6:$M$163,"")</f>
        <v>1.24</v>
      </c>
      <c r="F11" s="2" cm="1">
        <f t="array" ref="F11">_xlfn.XLOOKUP(1,('IRSAP Original'!$A$6:$A$163=F$2)*('IRSAP Original'!$C$6:$C$163=$B3),'IRSAP Original'!$M$6:$M$163,"")</f>
        <v>1.24</v>
      </c>
      <c r="G11" s="2" cm="1">
        <f t="array" ref="G11">_xlfn.XLOOKUP(1,('IRSAP Original'!$A$6:$A$163=G$2)*('IRSAP Original'!$C$6:$C$163=$B3),'IRSAP Original'!$M$6:$M$163,"")</f>
        <v>1.25</v>
      </c>
      <c r="H11" s="2" cm="1">
        <f t="array" ref="H11">_xlfn.XLOOKUP(1,('IRSAP Original'!$A$6:$A$163=H$2)*('IRSAP Original'!$C$6:$C$163=$B3),'IRSAP Original'!$M$6:$M$163,"")</f>
        <v>1.25</v>
      </c>
      <c r="I11" s="2" cm="1">
        <f t="array" ref="I11">_xlfn.XLOOKUP(1,('IRSAP Original'!$A$6:$A$163=I$2)*('IRSAP Original'!$C$6:$C$163=$B3),'IRSAP Original'!$M$6:$M$163,"")</f>
        <v>1.25</v>
      </c>
      <c r="J11" s="2" cm="1">
        <f t="array" ref="J11">_xlfn.XLOOKUP(1,('IRSAP Original'!$A$6:$A$163=J$2)*('IRSAP Original'!$C$6:$C$163=$B3),'IRSAP Original'!$M$6:$M$163,"")</f>
        <v>1.26</v>
      </c>
      <c r="K11" s="2" cm="1">
        <f t="array" ref="K11">_xlfn.XLOOKUP(1,('IRSAP Original'!$A$6:$A$163=K$2)*('IRSAP Original'!$C$6:$C$163=$B3),'IRSAP Original'!$M$6:$M$163,"")</f>
        <v>1.26</v>
      </c>
      <c r="L11" s="2" cm="1">
        <f t="array" ref="L11">_xlfn.XLOOKUP(1,('IRSAP Original'!$A$6:$A$163=L$2)*('IRSAP Original'!$C$6:$C$163=$B3),'IRSAP Original'!$M$6:$M$163,"")</f>
        <v>1.26</v>
      </c>
      <c r="M11" s="2" cm="1">
        <f t="array" ref="M11">_xlfn.XLOOKUP(1,('IRSAP Original'!$A$6:$A$163=M$2)*('IRSAP Original'!$C$6:$C$163=$B3),'IRSAP Original'!$M$6:$M$163,"")</f>
        <v>1.26</v>
      </c>
      <c r="N11" s="2" cm="1">
        <f t="array" ref="N11">_xlfn.XLOOKUP(1,('IRSAP Original'!$A$6:$A$163=N$2)*('IRSAP Original'!$C$6:$C$163=$B3),'IRSAP Original'!$M$6:$M$163,"")</f>
        <v>1.27</v>
      </c>
      <c r="O11" s="2" cm="1">
        <f t="array" ref="O11">_xlfn.XLOOKUP(1,('IRSAP Original'!$A$6:$A$163=O$2)*('IRSAP Original'!$C$6:$C$163=$B3),'IRSAP Original'!$M$6:$M$163,"")</f>
        <v>1.27</v>
      </c>
      <c r="P11" s="2" cm="1">
        <f t="array" ref="P11">_xlfn.XLOOKUP(1,('IRSAP Original'!$A$6:$A$163=P$2)*('IRSAP Original'!$C$6:$C$163=$B3),'IRSAP Original'!$M$6:$M$163,"")</f>
        <v>1.27</v>
      </c>
      <c r="Q11" s="2" cm="1">
        <f t="array" ref="Q11">_xlfn.XLOOKUP(1,('IRSAP Original'!$A$6:$A$163=Q$2)*('IRSAP Original'!$C$6:$C$163=$B3),'IRSAP Original'!$M$6:$M$163,"")</f>
        <v>1.27</v>
      </c>
      <c r="R11" s="2" cm="1">
        <f t="array" ref="R11">_xlfn.XLOOKUP(1,('IRSAP Original'!$A$6:$A$163=R$2)*('IRSAP Original'!$C$6:$C$163=$B3),'IRSAP Original'!$M$6:$M$163,"")</f>
        <v>1.28</v>
      </c>
      <c r="S11" s="2" cm="1">
        <f t="array" ref="S11">_xlfn.XLOOKUP(1,('IRSAP Original'!$A$6:$A$163=S$2)*('IRSAP Original'!$C$6:$C$163=$B3),'IRSAP Original'!$M$6:$M$163,"")</f>
        <v>1.28</v>
      </c>
      <c r="T11" s="2" cm="1">
        <f t="array" ref="T11">_xlfn.XLOOKUP(1,('IRSAP Original'!$A$6:$A$163=T$2)*('IRSAP Original'!$C$6:$C$163=$B3),'IRSAP Original'!$M$6:$M$163,"")</f>
        <v>1.28</v>
      </c>
      <c r="U11" s="2" cm="1">
        <f t="array" ref="U11">_xlfn.XLOOKUP(1,('IRSAP Original'!$A$6:$A$163=U$2)*('IRSAP Original'!$C$6:$C$163=$B3),'IRSAP Original'!$M$6:$M$163,"")</f>
        <v>1.29</v>
      </c>
      <c r="V11" s="2" cm="1">
        <f t="array" ref="V11">_xlfn.XLOOKUP(1,('IRSAP Original'!$A$6:$A$163=V$2)*('IRSAP Original'!$C$6:$C$163=$B3),'IRSAP Original'!$M$6:$M$163,"")</f>
        <v>1.29</v>
      </c>
      <c r="W11" s="2" cm="1">
        <f t="array" ref="W11">_xlfn.XLOOKUP(1,('IRSAP Original'!$A$6:$A$163=W$2)*('IRSAP Original'!$C$6:$C$163=$B3),'IRSAP Original'!$M$6:$M$163,"")</f>
        <v>1.29</v>
      </c>
      <c r="X11" s="2" cm="1">
        <f t="array" ref="X11">_xlfn.XLOOKUP(1,('IRSAP Original'!$A$6:$A$163=X$2)*('IRSAP Original'!$C$6:$C$163=$B3),'IRSAP Original'!$M$6:$M$163,"")</f>
        <v>1.31</v>
      </c>
      <c r="Y11" s="2" cm="1">
        <f t="array" ref="Y11">_xlfn.XLOOKUP(1,('IRSAP Original'!$A$6:$A$163=Y$2)*('IRSAP Original'!$C$6:$C$163=$B3),'IRSAP Original'!$M$6:$M$163,"")</f>
        <v>1.33</v>
      </c>
      <c r="Z11" s="2" cm="1">
        <f t="array" ref="Z11">_xlfn.XLOOKUP(1,('IRSAP Original'!$A$6:$A$163=Z$2)*('IRSAP Original'!$C$6:$C$163=$B3),'IRSAP Original'!$M$6:$M$163,"")</f>
        <v>1.33</v>
      </c>
      <c r="AA11" s="2" cm="1">
        <f t="array" ref="AA11">_xlfn.XLOOKUP(1,('IRSAP Original'!$A$6:$A$163=AA$2)*('IRSAP Original'!$C$6:$C$163=$B3),'IRSAP Original'!$M$6:$M$163,"")</f>
        <v>1.32</v>
      </c>
      <c r="AB11" s="2" cm="1">
        <f t="array" ref="AB11">_xlfn.XLOOKUP(1,('IRSAP Original'!$A$6:$A$163=AB$2)*('IRSAP Original'!$C$6:$C$163=$B3),'IRSAP Original'!$M$6:$M$163,"")</f>
        <v>1.31</v>
      </c>
      <c r="AC11" s="2" cm="1">
        <f t="array" ref="AC11">_xlfn.XLOOKUP(1,('IRSAP Original'!$A$6:$A$163=AC$2)*('IRSAP Original'!$C$6:$C$163=$B3),'IRSAP Original'!$M$6:$M$163,"")</f>
        <v>1.29</v>
      </c>
      <c r="AD11" s="2"/>
      <c r="AE11" s="2"/>
      <c r="AF11" s="2"/>
      <c r="AG11" s="2"/>
      <c r="AH11" s="2"/>
    </row>
    <row r="12" spans="1:42" x14ac:dyDescent="0.2">
      <c r="B12" s="2">
        <f>B4</f>
        <v>101</v>
      </c>
      <c r="C12" s="2" cm="1">
        <f t="array" ref="C12">_xlfn.XLOOKUP(1,('IRSAP Original'!$A$6:$A$163=C$2)*('IRSAP Original'!$C$6:$C$163=$B4),'IRSAP Original'!$M$6:$M$163,"")</f>
        <v>1.29</v>
      </c>
      <c r="D12" s="2" cm="1">
        <f t="array" ref="D12">_xlfn.XLOOKUP(1,('IRSAP Original'!$A$6:$A$163=D$2)*('IRSAP Original'!$C$6:$C$163=$B4),'IRSAP Original'!$M$6:$M$163,"")</f>
        <v>1.25</v>
      </c>
      <c r="E12" s="2" cm="1">
        <f t="array" ref="E12">_xlfn.XLOOKUP(1,('IRSAP Original'!$A$6:$A$163=E$2)*('IRSAP Original'!$C$6:$C$163=$B4),'IRSAP Original'!$M$6:$M$163,"")</f>
        <v>1.25</v>
      </c>
      <c r="F12" s="2" cm="1">
        <f t="array" ref="F12">_xlfn.XLOOKUP(1,('IRSAP Original'!$A$6:$A$163=F$2)*('IRSAP Original'!$C$6:$C$163=$B4),'IRSAP Original'!$M$6:$M$163,"")</f>
        <v>1.26</v>
      </c>
      <c r="G12" s="2" cm="1">
        <f t="array" ref="G12">_xlfn.XLOOKUP(1,('IRSAP Original'!$A$6:$A$163=G$2)*('IRSAP Original'!$C$6:$C$163=$B4),'IRSAP Original'!$M$6:$M$163,"")</f>
        <v>1.26</v>
      </c>
      <c r="H12" s="2" cm="1">
        <f t="array" ref="H12">_xlfn.XLOOKUP(1,('IRSAP Original'!$A$6:$A$163=H$2)*('IRSAP Original'!$C$6:$C$163=$B4),'IRSAP Original'!$M$6:$M$163,"")</f>
        <v>1.26</v>
      </c>
      <c r="I12" s="2" cm="1">
        <f t="array" ref="I12">_xlfn.XLOOKUP(1,('IRSAP Original'!$A$6:$A$163=I$2)*('IRSAP Original'!$C$6:$C$163=$B4),'IRSAP Original'!$M$6:$M$163,"")</f>
        <v>1.27</v>
      </c>
      <c r="J12" s="2" cm="1">
        <f t="array" ref="J12">_xlfn.XLOOKUP(1,('IRSAP Original'!$A$6:$A$163=J$2)*('IRSAP Original'!$C$6:$C$163=$B4),'IRSAP Original'!$M$6:$M$163,"")</f>
        <v>1.27</v>
      </c>
      <c r="K12" s="2" cm="1">
        <f t="array" ref="K12">_xlfn.XLOOKUP(1,('IRSAP Original'!$A$6:$A$163=K$2)*('IRSAP Original'!$C$6:$C$163=$B4),'IRSAP Original'!$M$6:$M$163,"")</f>
        <v>1.28</v>
      </c>
      <c r="L12" s="2" cm="1">
        <f t="array" ref="L12">_xlfn.XLOOKUP(1,('IRSAP Original'!$A$6:$A$163=L$2)*('IRSAP Original'!$C$6:$C$163=$B4),'IRSAP Original'!$M$6:$M$163,"")</f>
        <v>1.28</v>
      </c>
      <c r="M12" s="2" cm="1">
        <f t="array" ref="M12">_xlfn.XLOOKUP(1,('IRSAP Original'!$A$6:$A$163=M$2)*('IRSAP Original'!$C$6:$C$163=$B4),'IRSAP Original'!$M$6:$M$163,"")</f>
        <v>1.28</v>
      </c>
      <c r="N12" s="2" cm="1">
        <f t="array" ref="N12">_xlfn.XLOOKUP(1,('IRSAP Original'!$A$6:$A$163=N$2)*('IRSAP Original'!$C$6:$C$163=$B4),'IRSAP Original'!$M$6:$M$163,"")</f>
        <v>1.29</v>
      </c>
      <c r="O12" s="2" cm="1">
        <f t="array" ref="O12">_xlfn.XLOOKUP(1,('IRSAP Original'!$A$6:$A$163=O$2)*('IRSAP Original'!$C$6:$C$163=$B4),'IRSAP Original'!$M$6:$M$163,"")</f>
        <v>1.29</v>
      </c>
      <c r="P12" s="2" cm="1">
        <f t="array" ref="P12">_xlfn.XLOOKUP(1,('IRSAP Original'!$A$6:$A$163=P$2)*('IRSAP Original'!$C$6:$C$163=$B4),'IRSAP Original'!$M$6:$M$163,"")</f>
        <v>1.29</v>
      </c>
      <c r="Q12" s="2" cm="1">
        <f t="array" ref="Q12">_xlfn.XLOOKUP(1,('IRSAP Original'!$A$6:$A$163=Q$2)*('IRSAP Original'!$C$6:$C$163=$B4),'IRSAP Original'!$M$6:$M$163,"")</f>
        <v>1.3</v>
      </c>
      <c r="R12" s="2" cm="1">
        <f t="array" ref="R12">_xlfn.XLOOKUP(1,('IRSAP Original'!$A$6:$A$163=R$2)*('IRSAP Original'!$C$6:$C$163=$B4),'IRSAP Original'!$M$6:$M$163,"")</f>
        <v>1.3</v>
      </c>
      <c r="S12" s="2" cm="1">
        <f t="array" ref="S12">_xlfn.XLOOKUP(1,('IRSAP Original'!$A$6:$A$163=S$2)*('IRSAP Original'!$C$6:$C$163=$B4),'IRSAP Original'!$M$6:$M$163,"")</f>
        <v>1.3</v>
      </c>
      <c r="T12" s="2" cm="1">
        <f t="array" ref="T12">_xlfn.XLOOKUP(1,('IRSAP Original'!$A$6:$A$163=T$2)*('IRSAP Original'!$C$6:$C$163=$B4),'IRSAP Original'!$M$6:$M$163,"")</f>
        <v>1.31</v>
      </c>
      <c r="U12" s="2" cm="1">
        <f t="array" ref="U12">_xlfn.XLOOKUP(1,('IRSAP Original'!$A$6:$A$163=U$2)*('IRSAP Original'!$C$6:$C$163=$B4),'IRSAP Original'!$M$6:$M$163,"")</f>
        <v>1.31</v>
      </c>
      <c r="V12" s="2" cm="1">
        <f t="array" ref="V12">_xlfn.XLOOKUP(1,('IRSAP Original'!$A$6:$A$163=V$2)*('IRSAP Original'!$C$6:$C$163=$B4),'IRSAP Original'!$M$6:$M$163,"")</f>
        <v>1.31</v>
      </c>
      <c r="W12" s="2" cm="1">
        <f t="array" ref="W12">_xlfn.XLOOKUP(1,('IRSAP Original'!$A$6:$A$163=W$2)*('IRSAP Original'!$C$6:$C$163=$B4),'IRSAP Original'!$M$6:$M$163,"")</f>
        <v>1.32</v>
      </c>
      <c r="X12" s="2" cm="1">
        <f t="array" ref="X12">_xlfn.XLOOKUP(1,('IRSAP Original'!$A$6:$A$163=X$2)*('IRSAP Original'!$C$6:$C$163=$B4),'IRSAP Original'!$M$6:$M$163,"")</f>
        <v>1.32</v>
      </c>
      <c r="Y12" s="2" cm="1">
        <f t="array" ref="Y12">_xlfn.XLOOKUP(1,('IRSAP Original'!$A$6:$A$163=Y$2)*('IRSAP Original'!$C$6:$C$163=$B4),'IRSAP Original'!$M$6:$M$163,"")</f>
        <v>1.33</v>
      </c>
      <c r="Z12" s="2" cm="1">
        <f t="array" ref="Z12">_xlfn.XLOOKUP(1,('IRSAP Original'!$A$6:$A$163=Z$2)*('IRSAP Original'!$C$6:$C$163=$B4),'IRSAP Original'!$M$6:$M$163,"")</f>
        <v>1.33</v>
      </c>
      <c r="AA12" s="2" cm="1">
        <f t="array" ref="AA12">_xlfn.XLOOKUP(1,('IRSAP Original'!$A$6:$A$163=AA$2)*('IRSAP Original'!$C$6:$C$163=$B4),'IRSAP Original'!$M$6:$M$163,"")</f>
        <v>1.3180000000000001</v>
      </c>
      <c r="AB12" s="2" cm="1">
        <f t="array" ref="AB12">_xlfn.XLOOKUP(1,('IRSAP Original'!$A$6:$A$163=AB$2)*('IRSAP Original'!$C$6:$C$163=$B4),'IRSAP Original'!$M$6:$M$163,"")</f>
        <v>1.31</v>
      </c>
      <c r="AC12" s="2" cm="1">
        <f t="array" ref="AC12">_xlfn.XLOOKUP(1,('IRSAP Original'!$A$6:$A$163=AC$2)*('IRSAP Original'!$C$6:$C$163=$B4),'IRSAP Original'!$M$6:$M$163,"")</f>
        <v>1.2989999999999999</v>
      </c>
      <c r="AD12" s="2"/>
      <c r="AE12" s="2"/>
      <c r="AF12" s="2"/>
      <c r="AG12" s="2"/>
      <c r="AH12" s="2"/>
    </row>
    <row r="13" spans="1:42" x14ac:dyDescent="0.2">
      <c r="B13" s="2">
        <f>B5</f>
        <v>139</v>
      </c>
      <c r="C13" s="2" cm="1">
        <f t="array" ref="C13">_xlfn.XLOOKUP(1,('IRSAP Original'!$A$6:$A$163=C$2)*('IRSAP Original'!$C$6:$C$163=$B5),'IRSAP Original'!$M$6:$M$163,"")</f>
        <v>1.3260000000000001</v>
      </c>
      <c r="D13" s="2" cm="1">
        <f t="array" ref="D13">_xlfn.XLOOKUP(1,('IRSAP Original'!$A$6:$A$163=D$2)*('IRSAP Original'!$C$6:$C$163=$B5),'IRSAP Original'!$M$6:$M$163,"")</f>
        <v>1.258</v>
      </c>
      <c r="E13" s="2" cm="1">
        <f t="array" ref="E13">_xlfn.XLOOKUP(1,('IRSAP Original'!$A$6:$A$163=E$2)*('IRSAP Original'!$C$6:$C$163=$B5),'IRSAP Original'!$M$6:$M$163,"")</f>
        <v>1.2649999999999999</v>
      </c>
      <c r="F13" s="2" cm="1">
        <f t="array" ref="F13">_xlfn.XLOOKUP(1,('IRSAP Original'!$A$6:$A$163=F$2)*('IRSAP Original'!$C$6:$C$163=$B5),'IRSAP Original'!$M$6:$M$163,"")</f>
        <v>1.2669999999999999</v>
      </c>
      <c r="G13" s="2" cm="1">
        <f t="array" ref="G13">_xlfn.XLOOKUP(1,('IRSAP Original'!$A$6:$A$163=G$2)*('IRSAP Original'!$C$6:$C$163=$B5),'IRSAP Original'!$M$6:$M$163,"")</f>
        <v>1.272</v>
      </c>
      <c r="H13" s="2" cm="1">
        <f t="array" ref="H13">_xlfn.XLOOKUP(1,('IRSAP Original'!$A$6:$A$163=H$2)*('IRSAP Original'!$C$6:$C$163=$B5),'IRSAP Original'!$M$6:$M$163,"")</f>
        <v>1.2789999999999999</v>
      </c>
      <c r="I13" s="2" cm="1">
        <f t="array" ref="I13">_xlfn.XLOOKUP(1,('IRSAP Original'!$A$6:$A$163=I$2)*('IRSAP Original'!$C$6:$C$163=$B5),'IRSAP Original'!$M$6:$M$163,"")</f>
        <v>1.286</v>
      </c>
      <c r="J13" s="2" cm="1">
        <f t="array" ref="J13">_xlfn.XLOOKUP(1,('IRSAP Original'!$A$6:$A$163=J$2)*('IRSAP Original'!$C$6:$C$163=$B5),'IRSAP Original'!$M$6:$M$163,"")</f>
        <v>1.2909999999999999</v>
      </c>
      <c r="K13" s="2" cm="1">
        <f t="array" ref="K13">_xlfn.XLOOKUP(1,('IRSAP Original'!$A$6:$A$163=K$2)*('IRSAP Original'!$C$6:$C$163=$B5),'IRSAP Original'!$M$6:$M$163,"")</f>
        <v>1.2929999999999999</v>
      </c>
      <c r="L13" s="2" cm="1">
        <f t="array" ref="L13">_xlfn.XLOOKUP(1,('IRSAP Original'!$A$6:$A$163=L$2)*('IRSAP Original'!$C$6:$C$163=$B5),'IRSAP Original'!$M$6:$M$163,"")</f>
        <v>1.296</v>
      </c>
      <c r="M13" s="2" cm="1">
        <f t="array" ref="M13">_xlfn.XLOOKUP(1,('IRSAP Original'!$A$6:$A$163=M$2)*('IRSAP Original'!$C$6:$C$163=$B5),'IRSAP Original'!$M$6:$M$163,"")</f>
        <v>1.3</v>
      </c>
      <c r="N13" s="2" cm="1">
        <f t="array" ref="N13">_xlfn.XLOOKUP(1,('IRSAP Original'!$A$6:$A$163=N$2)*('IRSAP Original'!$C$6:$C$163=$B5),'IRSAP Original'!$M$6:$M$163,"")</f>
        <v>1.3069999999999999</v>
      </c>
      <c r="O13" s="2" cm="1">
        <f t="array" ref="O13">_xlfn.XLOOKUP(1,('IRSAP Original'!$A$6:$A$163=O$2)*('IRSAP Original'!$C$6:$C$163=$B5),'IRSAP Original'!$M$6:$M$163,"")</f>
        <v>1.31</v>
      </c>
      <c r="P13" s="2" cm="1">
        <f t="array" ref="P13">_xlfn.XLOOKUP(1,('IRSAP Original'!$A$6:$A$163=P$2)*('IRSAP Original'!$C$6:$C$163=$B5),'IRSAP Original'!$M$6:$M$163,"")</f>
        <v>1.3120000000000001</v>
      </c>
      <c r="Q13" s="2" cm="1">
        <f t="array" ref="Q13">_xlfn.XLOOKUP(1,('IRSAP Original'!$A$6:$A$163=Q$2)*('IRSAP Original'!$C$6:$C$163=$B5),'IRSAP Original'!$M$6:$M$163,"")</f>
        <v>1.3220000000000001</v>
      </c>
      <c r="R13" s="2" cm="1">
        <f t="array" ref="R13">_xlfn.XLOOKUP(1,('IRSAP Original'!$A$6:$A$163=R$2)*('IRSAP Original'!$C$6:$C$163=$B5),'IRSAP Original'!$M$6:$M$163,"")</f>
        <v>1.3240000000000001</v>
      </c>
      <c r="S13" s="2" cm="1">
        <f t="array" ref="S13">_xlfn.XLOOKUP(1,('IRSAP Original'!$A$6:$A$163=S$2)*('IRSAP Original'!$C$6:$C$163=$B5),'IRSAP Original'!$M$6:$M$163,"")</f>
        <v>1.331</v>
      </c>
      <c r="T13" s="2" cm="1">
        <f t="array" ref="T13">_xlfn.XLOOKUP(1,('IRSAP Original'!$A$6:$A$163=T$2)*('IRSAP Original'!$C$6:$C$163=$B5),'IRSAP Original'!$M$6:$M$163,"")</f>
        <v>1.3380000000000001</v>
      </c>
      <c r="U13" s="2" cm="1">
        <f t="array" ref="U13">_xlfn.XLOOKUP(1,('IRSAP Original'!$A$6:$A$163=U$2)*('IRSAP Original'!$C$6:$C$163=$B5),'IRSAP Original'!$M$6:$M$163,"")</f>
        <v>1.341</v>
      </c>
      <c r="V13" s="2" cm="1">
        <f t="array" ref="V13">_xlfn.XLOOKUP(1,('IRSAP Original'!$A$6:$A$163=V$2)*('IRSAP Original'!$C$6:$C$163=$B5),'IRSAP Original'!$M$6:$M$163,"")</f>
        <v>1.343</v>
      </c>
      <c r="W13" s="2" cm="1">
        <f t="array" ref="W13">_xlfn.XLOOKUP(1,('IRSAP Original'!$A$6:$A$163=W$2)*('IRSAP Original'!$C$6:$C$163=$B5),'IRSAP Original'!$M$6:$M$163,"")</f>
        <v>1.34</v>
      </c>
      <c r="X13" s="2" cm="1">
        <f t="array" ref="X13">_xlfn.XLOOKUP(1,('IRSAP Original'!$A$6:$A$163=X$2)*('IRSAP Original'!$C$6:$C$163=$B5),'IRSAP Original'!$M$6:$M$163,"")</f>
        <v>1.335</v>
      </c>
      <c r="Y13" s="2" cm="1">
        <f t="array" ref="Y13">_xlfn.XLOOKUP(1,('IRSAP Original'!$A$6:$A$163=Y$2)*('IRSAP Original'!$C$6:$C$163=$B5),'IRSAP Original'!$M$6:$M$163,"")</f>
        <v>1.3280000000000001</v>
      </c>
      <c r="Z13" s="2" cm="1">
        <f t="array" ref="Z13">_xlfn.XLOOKUP(1,('IRSAP Original'!$A$6:$A$163=Z$2)*('IRSAP Original'!$C$6:$C$163=$B5),'IRSAP Original'!$M$6:$M$163,"")</f>
        <v>1.321</v>
      </c>
      <c r="AA13" s="2" cm="1">
        <f t="array" ref="AA13">_xlfn.XLOOKUP(1,('IRSAP Original'!$A$6:$A$163=AA$2)*('IRSAP Original'!$C$6:$C$163=$B5),'IRSAP Original'!$M$6:$M$163,"")</f>
        <v>1.3169999999999999</v>
      </c>
      <c r="AB13" s="2" cm="1">
        <f t="array" ref="AB13">_xlfn.XLOOKUP(1,('IRSAP Original'!$A$6:$A$163=AB$2)*('IRSAP Original'!$C$6:$C$163=$B5),'IRSAP Original'!$M$6:$M$163,"")</f>
        <v>1.3120000000000001</v>
      </c>
      <c r="AC13" s="2" cm="1">
        <f t="array" ref="AC13">_xlfn.XLOOKUP(1,('IRSAP Original'!$A$6:$A$163=AC$2)*('IRSAP Original'!$C$6:$C$163=$B5),'IRSAP Original'!$M$6:$M$163,"")</f>
        <v>1.306</v>
      </c>
      <c r="AD13" s="2"/>
      <c r="AE13" s="2"/>
      <c r="AF13" s="2"/>
      <c r="AG13" s="2"/>
      <c r="AH13" s="2"/>
    </row>
    <row r="14" spans="1:42" x14ac:dyDescent="0.2">
      <c r="B14" s="2">
        <f>B6</f>
        <v>177</v>
      </c>
      <c r="C14" s="2" cm="1">
        <f t="array" ref="C14">_xlfn.XLOOKUP(1,('IRSAP Original'!$A$6:$A$163=C$2)*('IRSAP Original'!$C$6:$C$163=$B6),'IRSAP Original'!$M$6:$M$163,"")</f>
        <v>1.35</v>
      </c>
      <c r="D14" s="2" cm="1">
        <f t="array" ref="D14">_xlfn.XLOOKUP(1,('IRSAP Original'!$A$6:$A$163=D$2)*('IRSAP Original'!$C$6:$C$163=$B6),'IRSAP Original'!$M$6:$M$163,"")</f>
        <v>1.276</v>
      </c>
      <c r="E14" s="2" cm="1">
        <f t="array" ref="E14">_xlfn.XLOOKUP(1,('IRSAP Original'!$A$6:$A$163=E$2)*('IRSAP Original'!$C$6:$C$163=$B6),'IRSAP Original'!$M$6:$M$163,"")</f>
        <v>1.2829999999999999</v>
      </c>
      <c r="F14" s="2" cm="1">
        <f t="array" ref="F14">_xlfn.XLOOKUP(1,('IRSAP Original'!$A$6:$A$163=F$2)*('IRSAP Original'!$C$6:$C$163=$B6),'IRSAP Original'!$M$6:$M$163,"")</f>
        <v>1.286</v>
      </c>
      <c r="G14" s="2" cm="1">
        <f t="array" ref="G14">_xlfn.XLOOKUP(1,('IRSAP Original'!$A$6:$A$163=G$2)*('IRSAP Original'!$C$6:$C$163=$B6),'IRSAP Original'!$M$6:$M$163,"")</f>
        <v>1.2909999999999999</v>
      </c>
      <c r="H14" s="2" cm="1">
        <f t="array" ref="H14">_xlfn.XLOOKUP(1,('IRSAP Original'!$A$6:$A$163=H$2)*('IRSAP Original'!$C$6:$C$163=$B6),'IRSAP Original'!$M$6:$M$163,"")</f>
        <v>1.2989999999999999</v>
      </c>
      <c r="I14" s="2" cm="1">
        <f t="array" ref="I14">_xlfn.XLOOKUP(1,('IRSAP Original'!$A$6:$A$163=I$2)*('IRSAP Original'!$C$6:$C$163=$B6),'IRSAP Original'!$M$6:$M$163,"")</f>
        <v>1.3069999999999999</v>
      </c>
      <c r="J14" s="2" cm="1">
        <f t="array" ref="J14">_xlfn.XLOOKUP(1,('IRSAP Original'!$A$6:$A$163=J$2)*('IRSAP Original'!$C$6:$C$163=$B6),'IRSAP Original'!$M$6:$M$163,"")</f>
        <v>1.3120000000000001</v>
      </c>
      <c r="K14" s="2" cm="1">
        <f t="array" ref="K14">_xlfn.XLOOKUP(1,('IRSAP Original'!$A$6:$A$163=K$2)*('IRSAP Original'!$C$6:$C$163=$B6),'IRSAP Original'!$M$6:$M$163,"")</f>
        <v>1.3149999999999999</v>
      </c>
      <c r="L14" s="2" cm="1">
        <f t="array" ref="L14">_xlfn.XLOOKUP(1,('IRSAP Original'!$A$6:$A$163=L$2)*('IRSAP Original'!$C$6:$C$163=$B6),'IRSAP Original'!$M$6:$M$163,"")</f>
        <v>1.3169999999999999</v>
      </c>
      <c r="M14" s="2" cm="1">
        <f t="array" ref="M14">_xlfn.XLOOKUP(1,('IRSAP Original'!$A$6:$A$163=M$2)*('IRSAP Original'!$C$6:$C$163=$B6),'IRSAP Original'!$M$6:$M$163,"")</f>
        <v>1.3220000000000001</v>
      </c>
      <c r="N14" s="2" cm="1">
        <f t="array" ref="N14">_xlfn.XLOOKUP(1,('IRSAP Original'!$A$6:$A$163=N$2)*('IRSAP Original'!$C$6:$C$163=$B6),'IRSAP Original'!$M$6:$M$163,"")</f>
        <v>1.33</v>
      </c>
      <c r="O14" s="2" cm="1">
        <f t="array" ref="O14">_xlfn.XLOOKUP(1,('IRSAP Original'!$A$6:$A$163=O$2)*('IRSAP Original'!$C$6:$C$163=$B6),'IRSAP Original'!$M$6:$M$163,"")</f>
        <v>1.333</v>
      </c>
      <c r="P14" s="2" cm="1">
        <f t="array" ref="P14">_xlfn.XLOOKUP(1,('IRSAP Original'!$A$6:$A$163=P$2)*('IRSAP Original'!$C$6:$C$163=$B6),'IRSAP Original'!$M$6:$M$163,"")</f>
        <v>1.3360000000000001</v>
      </c>
      <c r="Q14" s="2" cm="1">
        <f t="array" ref="Q14">_xlfn.XLOOKUP(1,('IRSAP Original'!$A$6:$A$163=Q$2)*('IRSAP Original'!$C$6:$C$163=$B6),'IRSAP Original'!$M$6:$M$163,"")</f>
        <v>1.3460000000000001</v>
      </c>
      <c r="R14" s="2" cm="1">
        <f t="array" ref="R14">_xlfn.XLOOKUP(1,('IRSAP Original'!$A$6:$A$163=R$2)*('IRSAP Original'!$C$6:$C$163=$B6),'IRSAP Original'!$M$6:$M$163,"")</f>
        <v>1.3480000000000001</v>
      </c>
      <c r="S14" s="2" cm="1">
        <f t="array" ref="S14">_xlfn.XLOOKUP(1,('IRSAP Original'!$A$6:$A$163=S$2)*('IRSAP Original'!$C$6:$C$163=$B6),'IRSAP Original'!$M$6:$M$163,"")</f>
        <v>1.3560000000000001</v>
      </c>
      <c r="T14" s="2" cm="1">
        <f t="array" ref="T14">_xlfn.XLOOKUP(1,('IRSAP Original'!$A$6:$A$163=T$2)*('IRSAP Original'!$C$6:$C$163=$B6),'IRSAP Original'!$M$6:$M$163,"")</f>
        <v>1.3640000000000001</v>
      </c>
      <c r="U14" s="2" cm="1">
        <f t="array" ref="U14">_xlfn.XLOOKUP(1,('IRSAP Original'!$A$6:$A$163=U$2)*('IRSAP Original'!$C$6:$C$163=$B6),'IRSAP Original'!$M$6:$M$163,"")</f>
        <v>1.367</v>
      </c>
      <c r="V14" s="2" cm="1">
        <f t="array" ref="V14">_xlfn.XLOOKUP(1,('IRSAP Original'!$A$6:$A$163=V$2)*('IRSAP Original'!$C$6:$C$163=$B6),'IRSAP Original'!$M$6:$M$163,"")</f>
        <v>1.369</v>
      </c>
      <c r="W14" s="2" cm="1">
        <f t="array" ref="W14">_xlfn.XLOOKUP(1,('IRSAP Original'!$A$6:$A$163=W$2)*('IRSAP Original'!$C$6:$C$163=$B6),'IRSAP Original'!$M$6:$M$163,"")</f>
        <v>1.3640000000000001</v>
      </c>
      <c r="X14" s="2" cm="1">
        <f t="array" ref="X14">_xlfn.XLOOKUP(1,('IRSAP Original'!$A$6:$A$163=X$2)*('IRSAP Original'!$C$6:$C$163=$B6),'IRSAP Original'!$M$6:$M$163,"")</f>
        <v>1.353</v>
      </c>
      <c r="Y14" s="2" cm="1">
        <f t="array" ref="Y14">_xlfn.XLOOKUP(1,('IRSAP Original'!$A$6:$A$163=Y$2)*('IRSAP Original'!$C$6:$C$163=$B6),'IRSAP Original'!$M$6:$M$163,"")</f>
        <v>1.337</v>
      </c>
      <c r="Z14" s="2" cm="1">
        <f t="array" ref="Z14">_xlfn.XLOOKUP(1,('IRSAP Original'!$A$6:$A$163=Z$2)*('IRSAP Original'!$C$6:$C$163=$B6),'IRSAP Original'!$M$6:$M$163,"")</f>
        <v>1.327</v>
      </c>
      <c r="AA14" s="2" cm="1">
        <f t="array" ref="AA14">_xlfn.XLOOKUP(1,('IRSAP Original'!$A$6:$A$163=AA$2)*('IRSAP Original'!$C$6:$C$163=$B6),'IRSAP Original'!$M$6:$M$163,"")</f>
        <v>1.323</v>
      </c>
      <c r="AB14" s="2" cm="1">
        <f t="array" ref="AB14">_xlfn.XLOOKUP(1,('IRSAP Original'!$A$6:$A$163=AB$2)*('IRSAP Original'!$C$6:$C$163=$B6),'IRSAP Original'!$M$6:$M$163,"")</f>
        <v>1.32</v>
      </c>
      <c r="AC14" s="2" cm="1">
        <f t="array" ref="AC14">_xlfn.XLOOKUP(1,('IRSAP Original'!$A$6:$A$163=AC$2)*('IRSAP Original'!$C$6:$C$163=$B6),'IRSAP Original'!$M$6:$M$163,"")</f>
        <v>1.3140000000000001</v>
      </c>
      <c r="AD14" s="2"/>
      <c r="AE14" s="2"/>
      <c r="AF14" s="2"/>
      <c r="AG14" s="2"/>
      <c r="AH14" s="2"/>
    </row>
    <row r="15" spans="1:42" x14ac:dyDescent="0.2">
      <c r="B15" s="2">
        <f>B7</f>
        <v>215</v>
      </c>
      <c r="C15" s="2" cm="1">
        <f t="array" ref="C15">_xlfn.XLOOKUP(1,('IRSAP Original'!$A$6:$A$163=C$2)*('IRSAP Original'!$C$6:$C$163=$B7),'IRSAP Original'!$M$6:$M$163,"")</f>
        <v>1.3740000000000001</v>
      </c>
      <c r="D15" s="2" cm="1">
        <f t="array" ref="D15">_xlfn.XLOOKUP(1,('IRSAP Original'!$A$6:$A$163=D$2)*('IRSAP Original'!$C$6:$C$163=$B7),'IRSAP Original'!$M$6:$M$163,"")</f>
        <v>1.2929999999999999</v>
      </c>
      <c r="E15" s="2" cm="1">
        <f t="array" ref="E15">_xlfn.XLOOKUP(1,('IRSAP Original'!$A$6:$A$163=E$2)*('IRSAP Original'!$C$6:$C$163=$B7),'IRSAP Original'!$M$6:$M$163,"")</f>
        <v>1.302</v>
      </c>
      <c r="F15" s="2" cm="1">
        <f t="array" ref="F15">_xlfn.XLOOKUP(1,('IRSAP Original'!$A$6:$A$163=F$2)*('IRSAP Original'!$C$6:$C$163=$B7),'IRSAP Original'!$M$6:$M$163,"")</f>
        <v>1.304</v>
      </c>
      <c r="G15" s="2" cm="1">
        <f t="array" ref="G15">_xlfn.XLOOKUP(1,('IRSAP Original'!$A$6:$A$163=G$2)*('IRSAP Original'!$C$6:$C$163=$B7),'IRSAP Original'!$M$6:$M$163,"")</f>
        <v>1.31</v>
      </c>
      <c r="H15" s="2" cm="1">
        <f t="array" ref="H15">_xlfn.XLOOKUP(1,('IRSAP Original'!$A$6:$A$163=H$2)*('IRSAP Original'!$C$6:$C$163=$B7),'IRSAP Original'!$M$6:$M$163,"")</f>
        <v>1.319</v>
      </c>
      <c r="I15" s="2" cm="1">
        <f t="array" ref="I15">_xlfn.XLOOKUP(1,('IRSAP Original'!$A$6:$A$163=I$2)*('IRSAP Original'!$C$6:$C$163=$B7),'IRSAP Original'!$M$6:$M$163,"")</f>
        <v>1.327</v>
      </c>
      <c r="J15" s="2" cm="1">
        <f t="array" ref="J15">_xlfn.XLOOKUP(1,('IRSAP Original'!$A$6:$A$163=J$2)*('IRSAP Original'!$C$6:$C$163=$B7),'IRSAP Original'!$M$6:$M$163,"")</f>
        <v>1.333</v>
      </c>
      <c r="K15" s="2" cm="1">
        <f t="array" ref="K15">_xlfn.XLOOKUP(1,('IRSAP Original'!$A$6:$A$163=K$2)*('IRSAP Original'!$C$6:$C$163=$B7),'IRSAP Original'!$M$6:$M$163,"")</f>
        <v>1.3360000000000001</v>
      </c>
      <c r="L15" s="2" cm="1">
        <f t="array" ref="L15">_xlfn.XLOOKUP(1,('IRSAP Original'!$A$6:$A$163=L$2)*('IRSAP Original'!$C$6:$C$163=$B7),'IRSAP Original'!$M$6:$M$163,"")</f>
        <v>1.339</v>
      </c>
      <c r="M15" s="2" cm="1">
        <f t="array" ref="M15">_xlfn.XLOOKUP(1,('IRSAP Original'!$A$6:$A$163=M$2)*('IRSAP Original'!$C$6:$C$163=$B7),'IRSAP Original'!$M$6:$M$163,"")</f>
        <v>1.345</v>
      </c>
      <c r="N15" s="2" cm="1">
        <f t="array" ref="N15">_xlfn.XLOOKUP(1,('IRSAP Original'!$A$6:$A$163=N$2)*('IRSAP Original'!$C$6:$C$163=$B7),'IRSAP Original'!$M$6:$M$163,"")</f>
        <v>1.353</v>
      </c>
      <c r="O15" s="2" cm="1">
        <f t="array" ref="O15">_xlfn.XLOOKUP(1,('IRSAP Original'!$A$6:$A$163=O$2)*('IRSAP Original'!$C$6:$C$163=$B7),'IRSAP Original'!$M$6:$M$163,"")</f>
        <v>1.3560000000000001</v>
      </c>
      <c r="P15" s="2" cm="1">
        <f t="array" ref="P15">_xlfn.XLOOKUP(1,('IRSAP Original'!$A$6:$A$163=P$2)*('IRSAP Original'!$C$6:$C$163=$B7),'IRSAP Original'!$M$6:$M$163,"")</f>
        <v>1.359</v>
      </c>
      <c r="Q15" s="2" cm="1">
        <f t="array" ref="Q15">_xlfn.XLOOKUP(1,('IRSAP Original'!$A$6:$A$163=Q$2)*('IRSAP Original'!$C$6:$C$163=$B7),'IRSAP Original'!$M$6:$M$163,"")</f>
        <v>1.37</v>
      </c>
      <c r="R15" s="2" cm="1">
        <f t="array" ref="R15">_xlfn.XLOOKUP(1,('IRSAP Original'!$A$6:$A$163=R$2)*('IRSAP Original'!$C$6:$C$163=$B7),'IRSAP Original'!$M$6:$M$163,"")</f>
        <v>1.373</v>
      </c>
      <c r="S15" s="2" cm="1">
        <f t="array" ref="S15">_xlfn.XLOOKUP(1,('IRSAP Original'!$A$6:$A$163=S$2)*('IRSAP Original'!$C$6:$C$163=$B7),'IRSAP Original'!$M$6:$M$163,"")</f>
        <v>1.381</v>
      </c>
      <c r="T15" s="2" cm="1">
        <f t="array" ref="T15">_xlfn.XLOOKUP(1,('IRSAP Original'!$A$6:$A$163=T$2)*('IRSAP Original'!$C$6:$C$163=$B7),'IRSAP Original'!$M$6:$M$163,"")</f>
        <v>1.39</v>
      </c>
      <c r="U15" s="2" cm="1">
        <f t="array" ref="U15">_xlfn.XLOOKUP(1,('IRSAP Original'!$A$6:$A$163=U$2)*('IRSAP Original'!$C$6:$C$163=$B7),'IRSAP Original'!$M$6:$M$163,"")</f>
        <v>1.3939999999999999</v>
      </c>
      <c r="V15" s="2" cm="1">
        <f t="array" ref="V15">_xlfn.XLOOKUP(1,('IRSAP Original'!$A$6:$A$163=V$2)*('IRSAP Original'!$C$6:$C$163=$B7),'IRSAP Original'!$M$6:$M$163,"")</f>
        <v>1.3959999999999999</v>
      </c>
      <c r="W15" s="2" cm="1">
        <f t="array" ref="W15">_xlfn.XLOOKUP(1,('IRSAP Original'!$A$6:$A$163=W$2)*('IRSAP Original'!$C$6:$C$163=$B7),'IRSAP Original'!$M$6:$M$163,"")</f>
        <v>1.3879999999999999</v>
      </c>
      <c r="X15" s="2" cm="1">
        <f t="array" ref="X15">_xlfn.XLOOKUP(1,('IRSAP Original'!$A$6:$A$163=X$2)*('IRSAP Original'!$C$6:$C$163=$B7),'IRSAP Original'!$M$6:$M$163,"")</f>
        <v>1.371</v>
      </c>
      <c r="Y15" s="2" cm="1">
        <f t="array" ref="Y15">_xlfn.XLOOKUP(1,('IRSAP Original'!$A$6:$A$163=Y$2)*('IRSAP Original'!$C$6:$C$163=$B7),'IRSAP Original'!$M$6:$M$163,"")</f>
        <v>1.3460000000000001</v>
      </c>
      <c r="Z15" s="2" cm="1">
        <f t="array" ref="Z15">_xlfn.XLOOKUP(1,('IRSAP Original'!$A$6:$A$163=Z$2)*('IRSAP Original'!$C$6:$C$163=$B7),'IRSAP Original'!$M$6:$M$163,"")</f>
        <v>1.3340000000000001</v>
      </c>
      <c r="AA15" s="2" cm="1">
        <f t="array" ref="AA15">_xlfn.XLOOKUP(1,('IRSAP Original'!$A$6:$A$163=AA$2)*('IRSAP Original'!$C$6:$C$163=$B7),'IRSAP Original'!$M$6:$M$163,"")</f>
        <v>1.33</v>
      </c>
      <c r="AB15" s="2" cm="1">
        <f t="array" ref="AB15">_xlfn.XLOOKUP(1,('IRSAP Original'!$A$6:$A$163=AB$2)*('IRSAP Original'!$C$6:$C$163=$B7),'IRSAP Original'!$M$6:$M$163,"")</f>
        <v>1.327</v>
      </c>
      <c r="AC15" s="2" cm="1">
        <f t="array" ref="AC15">_xlfn.XLOOKUP(1,('IRSAP Original'!$A$6:$A$163=AC$2)*('IRSAP Original'!$C$6:$C$163=$B7),'IRSAP Original'!$M$6:$M$163,"")</f>
        <v>1.3220000000000001</v>
      </c>
      <c r="AD15" s="2"/>
      <c r="AE15" s="2"/>
      <c r="AF15" s="2"/>
      <c r="AG15" s="2"/>
      <c r="AH15" s="2"/>
    </row>
    <row r="16" spans="1:42" x14ac:dyDescent="0.2">
      <c r="M16"/>
      <c r="N16"/>
      <c r="O16"/>
      <c r="P16"/>
      <c r="Q16"/>
    </row>
    <row r="17" spans="1:34" ht="26.25" x14ac:dyDescent="0.25">
      <c r="A17" s="57" t="s">
        <v>151</v>
      </c>
      <c r="C17" s="4" t="s">
        <v>2</v>
      </c>
      <c r="M17"/>
      <c r="N17"/>
      <c r="O17"/>
      <c r="P17"/>
      <c r="Q17"/>
    </row>
    <row r="18" spans="1:34" ht="12.75" customHeight="1" x14ac:dyDescent="0.2">
      <c r="A18" s="1" t="s">
        <v>152</v>
      </c>
      <c r="C18" s="5">
        <f t="shared" ref="C18:AC18" si="1">C$2</f>
        <v>200</v>
      </c>
      <c r="D18" s="5">
        <f t="shared" si="1"/>
        <v>300</v>
      </c>
      <c r="E18" s="5">
        <f t="shared" si="1"/>
        <v>350</v>
      </c>
      <c r="F18" s="5">
        <f t="shared" si="1"/>
        <v>365</v>
      </c>
      <c r="G18" s="5">
        <f t="shared" si="1"/>
        <v>400</v>
      </c>
      <c r="H18" s="5">
        <f t="shared" si="1"/>
        <v>450</v>
      </c>
      <c r="I18" s="5">
        <f t="shared" si="1"/>
        <v>500</v>
      </c>
      <c r="J18" s="5">
        <f t="shared" si="1"/>
        <v>535</v>
      </c>
      <c r="K18" s="5">
        <f t="shared" si="1"/>
        <v>550</v>
      </c>
      <c r="L18" s="5">
        <f t="shared" si="1"/>
        <v>565</v>
      </c>
      <c r="M18" s="5">
        <f t="shared" si="1"/>
        <v>600</v>
      </c>
      <c r="N18" s="5">
        <f t="shared" si="1"/>
        <v>650</v>
      </c>
      <c r="O18" s="5">
        <f t="shared" si="1"/>
        <v>665</v>
      </c>
      <c r="P18" s="5">
        <f t="shared" si="1"/>
        <v>685</v>
      </c>
      <c r="Q18" s="5">
        <f t="shared" si="1"/>
        <v>750</v>
      </c>
      <c r="R18" s="5">
        <f t="shared" si="1"/>
        <v>765</v>
      </c>
      <c r="S18" s="5">
        <f t="shared" si="1"/>
        <v>815</v>
      </c>
      <c r="T18" s="5">
        <f t="shared" si="1"/>
        <v>865</v>
      </c>
      <c r="U18" s="5">
        <f t="shared" si="1"/>
        <v>885</v>
      </c>
      <c r="V18" s="5">
        <f t="shared" si="1"/>
        <v>900</v>
      </c>
      <c r="W18" s="5">
        <f t="shared" si="1"/>
        <v>1000</v>
      </c>
      <c r="X18" s="5">
        <f t="shared" si="1"/>
        <v>1200</v>
      </c>
      <c r="Y18" s="5">
        <f t="shared" si="1"/>
        <v>1500</v>
      </c>
      <c r="Z18" s="5">
        <f t="shared" si="1"/>
        <v>1800</v>
      </c>
      <c r="AA18" s="5">
        <f t="shared" si="1"/>
        <v>2000</v>
      </c>
      <c r="AB18" s="5">
        <f t="shared" si="1"/>
        <v>2200</v>
      </c>
      <c r="AC18" s="5">
        <f t="shared" si="1"/>
        <v>2500</v>
      </c>
      <c r="AD18" s="5"/>
      <c r="AE18" s="5"/>
      <c r="AF18" s="5"/>
      <c r="AG18" s="5"/>
      <c r="AH18" s="5"/>
    </row>
    <row r="19" spans="1:34" ht="13.5" customHeight="1" x14ac:dyDescent="0.25">
      <c r="A19" s="4" t="s">
        <v>3</v>
      </c>
      <c r="B19" s="2">
        <f>B3</f>
        <v>65</v>
      </c>
      <c r="C19" s="2" cm="1">
        <f t="array" ref="C19">_xlfn.XLOOKUP(1,('IRSAP Original'!$A$6:$A$163=C$2)*('IRSAP Original'!$C$6:$C$163=$B3),'IRSAP Original'!$F$6:$F$163,"")</f>
        <v>0.37</v>
      </c>
      <c r="D19" s="2" cm="1">
        <f t="array" ref="D19">_xlfn.XLOOKUP(1,('IRSAP Original'!$A$6:$A$163=D$2)*('IRSAP Original'!$C$6:$C$163=$B3),'IRSAP Original'!$F$6:$F$163,"")</f>
        <v>0.51</v>
      </c>
      <c r="E19" s="2" cm="1">
        <f t="array" ref="E19">_xlfn.XLOOKUP(1,('IRSAP Original'!$A$6:$A$163=E$2)*('IRSAP Original'!$C$6:$C$163=$B3),'IRSAP Original'!$F$6:$F$163,"")</f>
        <v>0.57999999999999996</v>
      </c>
      <c r="F19" s="2" cm="1">
        <f t="array" ref="F19">_xlfn.XLOOKUP(1,('IRSAP Original'!$A$6:$A$163=F$2)*('IRSAP Original'!$C$6:$C$163=$B3),'IRSAP Original'!$F$6:$F$163,"")</f>
        <v>0.61</v>
      </c>
      <c r="G19" s="2" cm="1">
        <f t="array" ref="G19">_xlfn.XLOOKUP(1,('IRSAP Original'!$A$6:$A$163=G$2)*('IRSAP Original'!$C$6:$C$163=$B3),'IRSAP Original'!$F$6:$F$163,"")</f>
        <v>0.66</v>
      </c>
      <c r="H19" s="2" cm="1">
        <f t="array" ref="H19">_xlfn.XLOOKUP(1,('IRSAP Original'!$A$6:$A$163=H$2)*('IRSAP Original'!$C$6:$C$163=$B3),'IRSAP Original'!$F$6:$F$163,"")</f>
        <v>0.73</v>
      </c>
      <c r="I19" s="2" cm="1">
        <f t="array" ref="I19">_xlfn.XLOOKUP(1,('IRSAP Original'!$A$6:$A$163=I$2)*('IRSAP Original'!$C$6:$C$163=$B3),'IRSAP Original'!$F$6:$F$163,"")</f>
        <v>0.8</v>
      </c>
      <c r="J19" s="2" cm="1">
        <f t="array" ref="J19">_xlfn.XLOOKUP(1,('IRSAP Original'!$A$6:$A$163=J$2)*('IRSAP Original'!$C$6:$C$163=$B3),'IRSAP Original'!$F$6:$F$163,"")</f>
        <v>0.85</v>
      </c>
      <c r="K19" s="2" cm="1">
        <f t="array" ref="K19">_xlfn.XLOOKUP(1,('IRSAP Original'!$A$6:$A$163=K$2)*('IRSAP Original'!$C$6:$C$163=$B3),'IRSAP Original'!$F$6:$F$163,"")</f>
        <v>0.87</v>
      </c>
      <c r="L19" s="2" cm="1">
        <f t="array" ref="L19">_xlfn.XLOOKUP(1,('IRSAP Original'!$A$6:$A$163=L$2)*('IRSAP Original'!$C$6:$C$163=$B3),'IRSAP Original'!$F$6:$F$163,"")</f>
        <v>0.89</v>
      </c>
      <c r="M19" s="2" cm="1">
        <f t="array" ref="M19">_xlfn.XLOOKUP(1,('IRSAP Original'!$A$6:$A$163=M$2)*('IRSAP Original'!$C$6:$C$163=$B3),'IRSAP Original'!$F$6:$F$163,"")</f>
        <v>0.95</v>
      </c>
      <c r="N19" s="2" cm="1">
        <f t="array" ref="N19">_xlfn.XLOOKUP(1,('IRSAP Original'!$A$6:$A$163=N$2)*('IRSAP Original'!$C$6:$C$163=$B3),'IRSAP Original'!$F$6:$F$163,"")</f>
        <v>1.02</v>
      </c>
      <c r="O19" s="2" cm="1">
        <f t="array" ref="O19">_xlfn.XLOOKUP(1,('IRSAP Original'!$A$6:$A$163=O$2)*('IRSAP Original'!$C$6:$C$163=$B3),'IRSAP Original'!$F$6:$F$163,"")</f>
        <v>1.04</v>
      </c>
      <c r="P19" s="2" cm="1">
        <f t="array" ref="P19">_xlfn.XLOOKUP(1,('IRSAP Original'!$A$6:$A$163=P$2)*('IRSAP Original'!$C$6:$C$163=$B3),'IRSAP Original'!$F$6:$F$163,"")</f>
        <v>1.07</v>
      </c>
      <c r="Q19" s="2" cm="1">
        <f t="array" ref="Q19">_xlfn.XLOOKUP(1,('IRSAP Original'!$A$6:$A$163=Q$2)*('IRSAP Original'!$C$6:$C$163=$B3),'IRSAP Original'!$F$6:$F$163,"")</f>
        <v>1.1599999999999999</v>
      </c>
      <c r="R19" s="2" cm="1">
        <f t="array" ref="R19">_xlfn.XLOOKUP(1,('IRSAP Original'!$A$6:$A$163=R$2)*('IRSAP Original'!$C$6:$C$163=$B3),'IRSAP Original'!$F$6:$F$163,"")</f>
        <v>1.18</v>
      </c>
      <c r="S19" s="2" cm="1">
        <f t="array" ref="S19">_xlfn.XLOOKUP(1,('IRSAP Original'!$A$6:$A$163=S$2)*('IRSAP Original'!$C$6:$C$163=$B3),'IRSAP Original'!$F$6:$F$163,"")</f>
        <v>1.26</v>
      </c>
      <c r="T19" s="2" cm="1">
        <f t="array" ref="T19">_xlfn.XLOOKUP(1,('IRSAP Original'!$A$6:$A$163=T$2)*('IRSAP Original'!$C$6:$C$163=$B3),'IRSAP Original'!$F$6:$F$163,"")</f>
        <v>1.33</v>
      </c>
      <c r="U19" s="2" cm="1">
        <f t="array" ref="U19">_xlfn.XLOOKUP(1,('IRSAP Original'!$A$6:$A$163=U$2)*('IRSAP Original'!$C$6:$C$163=$B3),'IRSAP Original'!$F$6:$F$163,"")</f>
        <v>1.36</v>
      </c>
      <c r="V19" s="2" cm="1">
        <f t="array" ref="V19">_xlfn.XLOOKUP(1,('IRSAP Original'!$A$6:$A$163=V$2)*('IRSAP Original'!$C$6:$C$163=$B3),'IRSAP Original'!$F$6:$F$163,"")</f>
        <v>1.38</v>
      </c>
      <c r="W19" s="2" cm="1">
        <f t="array" ref="W19">_xlfn.XLOOKUP(1,('IRSAP Original'!$A$6:$A$163=W$2)*('IRSAP Original'!$C$6:$C$163=$B3),'IRSAP Original'!$F$6:$F$163,"")</f>
        <v>1.52</v>
      </c>
      <c r="X19" s="2" cm="1">
        <f t="array" ref="X19">_xlfn.XLOOKUP(1,('IRSAP Original'!$A$6:$A$163=X$2)*('IRSAP Original'!$C$6:$C$163=$B3),'IRSAP Original'!$F$6:$F$163,"")</f>
        <v>1.81</v>
      </c>
      <c r="Y19" s="2" cm="1">
        <f t="array" ref="Y19">_xlfn.XLOOKUP(1,('IRSAP Original'!$A$6:$A$163=Y$2)*('IRSAP Original'!$C$6:$C$163=$B3),'IRSAP Original'!$F$6:$F$163,"")</f>
        <v>2.2400000000000002</v>
      </c>
      <c r="Z19" s="2" cm="1">
        <f t="array" ref="Z19">_xlfn.XLOOKUP(1,('IRSAP Original'!$A$6:$A$163=Z$2)*('IRSAP Original'!$C$6:$C$163=$B3),'IRSAP Original'!$F$6:$F$163,"")</f>
        <v>2.69</v>
      </c>
      <c r="AA19" s="2" cm="1">
        <f t="array" ref="AA19">_xlfn.XLOOKUP(1,('IRSAP Original'!$A$6:$A$163=AA$2)*('IRSAP Original'!$C$6:$C$163=$B3),'IRSAP Original'!$F$6:$F$163,"")</f>
        <v>3.01</v>
      </c>
      <c r="AB19" s="2" cm="1">
        <f t="array" ref="AB19">_xlfn.XLOOKUP(1,('IRSAP Original'!$A$6:$A$163=AB$2)*('IRSAP Original'!$C$6:$C$163=$B3),'IRSAP Original'!$F$6:$F$163,"")</f>
        <v>3.32</v>
      </c>
      <c r="AC19" s="2" cm="1">
        <f t="array" ref="AC19">_xlfn.XLOOKUP(1,('IRSAP Original'!$A$6:$A$163=AC$2)*('IRSAP Original'!$C$6:$C$163=$B3),'IRSAP Original'!$F$6:$F$163,"")</f>
        <v>3.79</v>
      </c>
      <c r="AD19" s="2"/>
      <c r="AE19" s="2"/>
      <c r="AF19" s="2"/>
      <c r="AG19" s="2"/>
      <c r="AH19" s="2"/>
    </row>
    <row r="20" spans="1:34" ht="12.75" customHeight="1" x14ac:dyDescent="0.2">
      <c r="B20" s="2">
        <f>B4</f>
        <v>101</v>
      </c>
      <c r="C20" s="2" cm="1">
        <f t="array" ref="C20">_xlfn.XLOOKUP(1,('IRSAP Original'!$A$6:$A$163=C$2)*('IRSAP Original'!$C$6:$C$163=$B4),'IRSAP Original'!$F$6:$F$163,"")</f>
        <v>0.41</v>
      </c>
      <c r="D20" s="2" cm="1">
        <f t="array" ref="D20">_xlfn.XLOOKUP(1,('IRSAP Original'!$A$6:$A$163=D$2)*('IRSAP Original'!$C$6:$C$163=$B4),'IRSAP Original'!$F$6:$F$163,"")</f>
        <v>0.6</v>
      </c>
      <c r="E20" s="2" cm="1">
        <f t="array" ref="E20">_xlfn.XLOOKUP(1,('IRSAP Original'!$A$6:$A$163=E$2)*('IRSAP Original'!$C$6:$C$163=$B4),'IRSAP Original'!$F$6:$F$163,"")</f>
        <v>0.69</v>
      </c>
      <c r="F20" s="2" cm="1">
        <f t="array" ref="F20">_xlfn.XLOOKUP(1,('IRSAP Original'!$A$6:$A$163=F$2)*('IRSAP Original'!$C$6:$C$163=$B4),'IRSAP Original'!$F$6:$F$163,"")</f>
        <v>0.72</v>
      </c>
      <c r="G20" s="2" cm="1">
        <f t="array" ref="G20">_xlfn.XLOOKUP(1,('IRSAP Original'!$A$6:$A$163=G$2)*('IRSAP Original'!$C$6:$C$163=$B4),'IRSAP Original'!$F$6:$F$163,"")</f>
        <v>0.78</v>
      </c>
      <c r="H20" s="2" cm="1">
        <f t="array" ref="H20">_xlfn.XLOOKUP(1,('IRSAP Original'!$A$6:$A$163=H$2)*('IRSAP Original'!$C$6:$C$163=$B4),'IRSAP Original'!$F$6:$F$163,"")</f>
        <v>0.87</v>
      </c>
      <c r="I20" s="2" cm="1">
        <f t="array" ref="I20">_xlfn.XLOOKUP(1,('IRSAP Original'!$A$6:$A$163=I$2)*('IRSAP Original'!$C$6:$C$163=$B4),'IRSAP Original'!$F$6:$F$163,"")</f>
        <v>0.96</v>
      </c>
      <c r="J20" s="2" cm="1">
        <f t="array" ref="J20">_xlfn.XLOOKUP(1,('IRSAP Original'!$A$6:$A$163=J$2)*('IRSAP Original'!$C$6:$C$163=$B4),'IRSAP Original'!$F$6:$F$163,"")</f>
        <v>1.02</v>
      </c>
      <c r="K20" s="2" cm="1">
        <f t="array" ref="K20">_xlfn.XLOOKUP(1,('IRSAP Original'!$A$6:$A$163=K$2)*('IRSAP Original'!$C$6:$C$163=$B4),'IRSAP Original'!$F$6:$F$163,"")</f>
        <v>1.05</v>
      </c>
      <c r="L20" s="2" cm="1">
        <f t="array" ref="L20">_xlfn.XLOOKUP(1,('IRSAP Original'!$A$6:$A$163=L$2)*('IRSAP Original'!$C$6:$C$163=$B4),'IRSAP Original'!$F$6:$F$163,"")</f>
        <v>1.07</v>
      </c>
      <c r="M20" s="2" cm="1">
        <f t="array" ref="M20">_xlfn.XLOOKUP(1,('IRSAP Original'!$A$6:$A$163=M$2)*('IRSAP Original'!$C$6:$C$163=$B4),'IRSAP Original'!$F$6:$F$163,"")</f>
        <v>1.1399999999999999</v>
      </c>
      <c r="N20" s="2" cm="1">
        <f t="array" ref="N20">_xlfn.XLOOKUP(1,('IRSAP Original'!$A$6:$A$163=N$2)*('IRSAP Original'!$C$6:$C$163=$B4),'IRSAP Original'!$F$6:$F$163,"")</f>
        <v>1.23</v>
      </c>
      <c r="O20" s="2" cm="1">
        <f t="array" ref="O20">_xlfn.XLOOKUP(1,('IRSAP Original'!$A$6:$A$163=O$2)*('IRSAP Original'!$C$6:$C$163=$B4),'IRSAP Original'!$F$6:$F$163,"")</f>
        <v>1.25</v>
      </c>
      <c r="P20" s="2" cm="1">
        <f t="array" ref="P20">_xlfn.XLOOKUP(1,('IRSAP Original'!$A$6:$A$163=P$2)*('IRSAP Original'!$C$6:$C$163=$B4),'IRSAP Original'!$F$6:$F$163,"")</f>
        <v>1.29</v>
      </c>
      <c r="Q20" s="2" cm="1">
        <f t="array" ref="Q20">_xlfn.XLOOKUP(1,('IRSAP Original'!$A$6:$A$163=Q$2)*('IRSAP Original'!$C$6:$C$163=$B4),'IRSAP Original'!$F$6:$F$163,"")</f>
        <v>1.4</v>
      </c>
      <c r="R20" s="2" cm="1">
        <f t="array" ref="R20">_xlfn.XLOOKUP(1,('IRSAP Original'!$A$6:$A$163=R$2)*('IRSAP Original'!$C$6:$C$163=$B4),'IRSAP Original'!$F$6:$F$163,"")</f>
        <v>1.43</v>
      </c>
      <c r="S20" s="2" cm="1">
        <f t="array" ref="S20">_xlfn.XLOOKUP(1,('IRSAP Original'!$A$6:$A$163=S$2)*('IRSAP Original'!$C$6:$C$163=$B4),'IRSAP Original'!$F$6:$F$163,"")</f>
        <v>1.52</v>
      </c>
      <c r="T20" s="2" cm="1">
        <f t="array" ref="T20">_xlfn.XLOOKUP(1,('IRSAP Original'!$A$6:$A$163=T$2)*('IRSAP Original'!$C$6:$C$163=$B4),'IRSAP Original'!$F$6:$F$163,"")</f>
        <v>1.61</v>
      </c>
      <c r="U20" s="2" cm="1">
        <f t="array" ref="U20">_xlfn.XLOOKUP(1,('IRSAP Original'!$A$6:$A$163=U$2)*('IRSAP Original'!$C$6:$C$163=$B4),'IRSAP Original'!$F$6:$F$163,"")</f>
        <v>1.64</v>
      </c>
      <c r="V20" s="2" cm="1">
        <f t="array" ref="V20">_xlfn.XLOOKUP(1,('IRSAP Original'!$A$6:$A$163=V$2)*('IRSAP Original'!$C$6:$C$163=$B4),'IRSAP Original'!$F$6:$F$163,"")</f>
        <v>1.67</v>
      </c>
      <c r="W20" s="2" cm="1">
        <f t="array" ref="W20">_xlfn.XLOOKUP(1,('IRSAP Original'!$A$6:$A$163=W$2)*('IRSAP Original'!$C$6:$C$163=$B4),'IRSAP Original'!$F$6:$F$163,"")</f>
        <v>1.85</v>
      </c>
      <c r="X20" s="2" cm="1">
        <f t="array" ref="X20">_xlfn.XLOOKUP(1,('IRSAP Original'!$A$6:$A$163=X$2)*('IRSAP Original'!$C$6:$C$163=$B4),'IRSAP Original'!$F$6:$F$163,"")</f>
        <v>2.37</v>
      </c>
      <c r="Y20" s="2" cm="1">
        <f t="array" ref="Y20">_xlfn.XLOOKUP(1,('IRSAP Original'!$A$6:$A$163=Y$2)*('IRSAP Original'!$C$6:$C$163=$B4),'IRSAP Original'!$F$6:$F$163,"")</f>
        <v>2.95</v>
      </c>
      <c r="Z20" s="2" cm="1">
        <f t="array" ref="Z20">_xlfn.XLOOKUP(1,('IRSAP Original'!$A$6:$A$163=Z$2)*('IRSAP Original'!$C$6:$C$163=$B4),'IRSAP Original'!$F$6:$F$163,"")</f>
        <v>3.54</v>
      </c>
      <c r="AA20" s="2" cm="1">
        <f t="array" ref="AA20">_xlfn.XLOOKUP(1,('IRSAP Original'!$A$6:$A$163=AA$2)*('IRSAP Original'!$C$6:$C$163=$B4),'IRSAP Original'!$F$6:$F$163,"")</f>
        <v>3.93</v>
      </c>
      <c r="AB20" s="2" cm="1">
        <f t="array" ref="AB20">_xlfn.XLOOKUP(1,('IRSAP Original'!$A$6:$A$163=AB$2)*('IRSAP Original'!$C$6:$C$163=$B4),'IRSAP Original'!$F$6:$F$163,"")</f>
        <v>4.32</v>
      </c>
      <c r="AC20" s="2" cm="1">
        <f t="array" ref="AC20">_xlfn.XLOOKUP(1,('IRSAP Original'!$A$6:$A$163=AC$2)*('IRSAP Original'!$C$6:$C$163=$B4),'IRSAP Original'!$F$6:$F$163,"")</f>
        <v>4.9000000000000004</v>
      </c>
      <c r="AD20" s="2"/>
      <c r="AE20" s="2"/>
      <c r="AF20" s="2"/>
      <c r="AG20" s="2"/>
      <c r="AH20" s="2"/>
    </row>
    <row r="21" spans="1:34" ht="12.75" customHeight="1" x14ac:dyDescent="0.2">
      <c r="B21" s="2">
        <f>B5</f>
        <v>139</v>
      </c>
      <c r="C21" s="2" cm="1">
        <f t="array" ref="C21">_xlfn.XLOOKUP(1,('IRSAP Original'!$A$6:$A$163=C$2)*('IRSAP Original'!$C$6:$C$163=$B5),'IRSAP Original'!$F$6:$F$163,"")</f>
        <v>0.69</v>
      </c>
      <c r="D21" s="2" cm="1">
        <f t="array" ref="D21">_xlfn.XLOOKUP(1,('IRSAP Original'!$A$6:$A$163=D$2)*('IRSAP Original'!$C$6:$C$163=$B5),'IRSAP Original'!$F$6:$F$163,"")</f>
        <v>1</v>
      </c>
      <c r="E21" s="2" cm="1">
        <f t="array" ref="E21">_xlfn.XLOOKUP(1,('IRSAP Original'!$A$6:$A$163=E$2)*('IRSAP Original'!$C$6:$C$163=$B5),'IRSAP Original'!$F$6:$F$163,"")</f>
        <v>1.1399999999999999</v>
      </c>
      <c r="F21" s="2" cm="1">
        <f t="array" ref="F21">_xlfn.XLOOKUP(1,('IRSAP Original'!$A$6:$A$163=F$2)*('IRSAP Original'!$C$6:$C$163=$B5),'IRSAP Original'!$F$6:$F$163,"")</f>
        <v>1.19</v>
      </c>
      <c r="G21" s="2" cm="1">
        <f t="array" ref="G21">_xlfn.XLOOKUP(1,('IRSAP Original'!$A$6:$A$163=G$2)*('IRSAP Original'!$C$6:$C$163=$B5),'IRSAP Original'!$F$6:$F$163,"")</f>
        <v>1.29</v>
      </c>
      <c r="H21" s="2" cm="1">
        <f t="array" ref="H21">_xlfn.XLOOKUP(1,('IRSAP Original'!$A$6:$A$163=H$2)*('IRSAP Original'!$C$6:$C$163=$B5),'IRSAP Original'!$F$6:$F$163,"")</f>
        <v>1.43</v>
      </c>
      <c r="I21" s="2" cm="1">
        <f t="array" ref="I21">_xlfn.XLOOKUP(1,('IRSAP Original'!$A$6:$A$163=I$2)*('IRSAP Original'!$C$6:$C$163=$B5),'IRSAP Original'!$F$6:$F$163,"")</f>
        <v>1.58</v>
      </c>
      <c r="J21" s="2" cm="1">
        <f t="array" ref="J21">_xlfn.XLOOKUP(1,('IRSAP Original'!$A$6:$A$163=J$2)*('IRSAP Original'!$C$6:$C$163=$B5),'IRSAP Original'!$F$6:$F$163,"")</f>
        <v>1.68</v>
      </c>
      <c r="K21" s="2" cm="1">
        <f t="array" ref="K21">_xlfn.XLOOKUP(1,('IRSAP Original'!$A$6:$A$163=K$2)*('IRSAP Original'!$C$6:$C$163=$B5),'IRSAP Original'!$F$6:$F$163,"")</f>
        <v>1.72</v>
      </c>
      <c r="L21" s="2" cm="1">
        <f t="array" ref="L21">_xlfn.XLOOKUP(1,('IRSAP Original'!$A$6:$A$163=L$2)*('IRSAP Original'!$C$6:$C$163=$B5),'IRSAP Original'!$F$6:$F$163,"")</f>
        <v>1.76</v>
      </c>
      <c r="M21" s="2" cm="1">
        <f t="array" ref="M21">_xlfn.XLOOKUP(1,('IRSAP Original'!$A$6:$A$163=M$2)*('IRSAP Original'!$C$6:$C$163=$B5),'IRSAP Original'!$F$6:$F$163,"")</f>
        <v>1.87</v>
      </c>
      <c r="N21" s="2" cm="1">
        <f t="array" ref="N21">_xlfn.XLOOKUP(1,('IRSAP Original'!$A$6:$A$163=N$2)*('IRSAP Original'!$C$6:$C$163=$B5),'IRSAP Original'!$F$6:$F$163,"")</f>
        <v>2.0099999999999998</v>
      </c>
      <c r="O21" s="2" cm="1">
        <f t="array" ref="O21">_xlfn.XLOOKUP(1,('IRSAP Original'!$A$6:$A$163=O$2)*('IRSAP Original'!$C$6:$C$163=$B5),'IRSAP Original'!$F$6:$F$163,"")</f>
        <v>2.0499999999999998</v>
      </c>
      <c r="P21" s="2" cm="1">
        <f t="array" ref="P21">_xlfn.XLOOKUP(1,('IRSAP Original'!$A$6:$A$163=P$2)*('IRSAP Original'!$C$6:$C$163=$B5),'IRSAP Original'!$F$6:$F$163,"")</f>
        <v>2.11</v>
      </c>
      <c r="Q21" s="2" cm="1">
        <f t="array" ref="Q21">_xlfn.XLOOKUP(1,('IRSAP Original'!$A$6:$A$163=Q$2)*('IRSAP Original'!$C$6:$C$163=$B5),'IRSAP Original'!$F$6:$F$163,"")</f>
        <v>2.2999999999999998</v>
      </c>
      <c r="R21" s="2" cm="1">
        <f t="array" ref="R21">_xlfn.XLOOKUP(1,('IRSAP Original'!$A$6:$A$163=R$2)*('IRSAP Original'!$C$6:$C$163=$B5),'IRSAP Original'!$F$6:$F$163,"")</f>
        <v>2.34</v>
      </c>
      <c r="S21" s="2" cm="1">
        <f t="array" ref="S21">_xlfn.XLOOKUP(1,('IRSAP Original'!$A$6:$A$163=S$2)*('IRSAP Original'!$C$6:$C$163=$B5),'IRSAP Original'!$F$6:$F$163,"")</f>
        <v>2.48</v>
      </c>
      <c r="T21" s="2" cm="1">
        <f t="array" ref="T21">_xlfn.XLOOKUP(1,('IRSAP Original'!$A$6:$A$163=T$2)*('IRSAP Original'!$C$6:$C$163=$B5),'IRSAP Original'!$F$6:$F$163,"")</f>
        <v>2.63</v>
      </c>
      <c r="U21" s="2" cm="1">
        <f t="array" ref="U21">_xlfn.XLOOKUP(1,('IRSAP Original'!$A$6:$A$163=U$2)*('IRSAP Original'!$C$6:$C$163=$B5),'IRSAP Original'!$F$6:$F$163,"")</f>
        <v>2.69</v>
      </c>
      <c r="V21" s="2" cm="1">
        <f t="array" ref="V21">_xlfn.XLOOKUP(1,('IRSAP Original'!$A$6:$A$163=V$2)*('IRSAP Original'!$C$6:$C$163=$B5),'IRSAP Original'!$F$6:$F$163,"")</f>
        <v>2.73</v>
      </c>
      <c r="W21" s="2" cm="1">
        <f t="array" ref="W21">_xlfn.XLOOKUP(1,('IRSAP Original'!$A$6:$A$163=W$2)*('IRSAP Original'!$C$6:$C$163=$B5),'IRSAP Original'!$F$6:$F$163,"")</f>
        <v>3.02</v>
      </c>
      <c r="X21" s="2" cm="1">
        <f t="array" ref="X21">_xlfn.XLOOKUP(1,('IRSAP Original'!$A$6:$A$163=X$2)*('IRSAP Original'!$C$6:$C$163=$B5),'IRSAP Original'!$F$6:$F$163,"")</f>
        <v>3.6</v>
      </c>
      <c r="Y21" s="2" cm="1">
        <f t="array" ref="Y21">_xlfn.XLOOKUP(1,('IRSAP Original'!$A$6:$A$163=Y$2)*('IRSAP Original'!$C$6:$C$163=$B5),'IRSAP Original'!$F$6:$F$163,"")</f>
        <v>4.4800000000000004</v>
      </c>
      <c r="Z21" s="2" cm="1">
        <f t="array" ref="Z21">_xlfn.XLOOKUP(1,('IRSAP Original'!$A$6:$A$163=Z$2)*('IRSAP Original'!$C$6:$C$163=$B5),'IRSAP Original'!$F$6:$F$163,"")</f>
        <v>5.35</v>
      </c>
      <c r="AA21" s="2" cm="1">
        <f t="array" ref="AA21">_xlfn.XLOOKUP(1,('IRSAP Original'!$A$6:$A$163=AA$2)*('IRSAP Original'!$C$6:$C$163=$B5),'IRSAP Original'!$F$6:$F$163,"")</f>
        <v>5.92</v>
      </c>
      <c r="AB21" s="2" cm="1">
        <f t="array" ref="AB21">_xlfn.XLOOKUP(1,('IRSAP Original'!$A$6:$A$163=AB$2)*('IRSAP Original'!$C$6:$C$163=$B5),'IRSAP Original'!$F$6:$F$163,"")</f>
        <v>6.5</v>
      </c>
      <c r="AC21" s="2" cm="1">
        <f t="array" ref="AC21">_xlfn.XLOOKUP(1,('IRSAP Original'!$A$6:$A$163=AC$2)*('IRSAP Original'!$C$6:$C$163=$B5),'IRSAP Original'!$F$6:$F$163,"")</f>
        <v>7.36</v>
      </c>
      <c r="AD21" s="2"/>
      <c r="AE21" s="2"/>
      <c r="AF21" s="2"/>
      <c r="AG21" s="2"/>
      <c r="AH21" s="2"/>
    </row>
    <row r="22" spans="1:34" ht="12.75" customHeight="1" x14ac:dyDescent="0.2">
      <c r="B22" s="2">
        <f>B6</f>
        <v>177</v>
      </c>
      <c r="C22" s="2" cm="1">
        <f t="array" ref="C22">_xlfn.XLOOKUP(1,('IRSAP Original'!$A$6:$A$163=C$2)*('IRSAP Original'!$C$6:$C$163=$B6),'IRSAP Original'!$F$6:$F$163,"")</f>
        <v>0.81</v>
      </c>
      <c r="D22" s="2" cm="1">
        <f t="array" ref="D22">_xlfn.XLOOKUP(1,('IRSAP Original'!$A$6:$A$163=D$2)*('IRSAP Original'!$C$6:$C$163=$B6),'IRSAP Original'!$F$6:$F$163,"")</f>
        <v>1.1299999999999999</v>
      </c>
      <c r="E22" s="2" cm="1">
        <f t="array" ref="E22">_xlfn.XLOOKUP(1,('IRSAP Original'!$A$6:$A$163=E$2)*('IRSAP Original'!$C$6:$C$163=$B6),'IRSAP Original'!$F$6:$F$163,"")</f>
        <v>1.28</v>
      </c>
      <c r="F22" s="2" cm="1">
        <f t="array" ref="F22">_xlfn.XLOOKUP(1,('IRSAP Original'!$A$6:$A$163=F$2)*('IRSAP Original'!$C$6:$C$163=$B6),'IRSAP Original'!$F$6:$F$163,"")</f>
        <v>1.32</v>
      </c>
      <c r="G22" s="2" cm="1">
        <f t="array" ref="G22">_xlfn.XLOOKUP(1,('IRSAP Original'!$A$6:$A$163=G$2)*('IRSAP Original'!$C$6:$C$163=$B6),'IRSAP Original'!$F$6:$F$163,"")</f>
        <v>1.43</v>
      </c>
      <c r="H22" s="2" cm="1">
        <f t="array" ref="H22">_xlfn.XLOOKUP(1,('IRSAP Original'!$A$6:$A$163=H$2)*('IRSAP Original'!$C$6:$C$163=$B6),'IRSAP Original'!$F$6:$F$163,"")</f>
        <v>1.58</v>
      </c>
      <c r="I22" s="2" cm="1">
        <f t="array" ref="I22">_xlfn.XLOOKUP(1,('IRSAP Original'!$A$6:$A$163=I$2)*('IRSAP Original'!$C$6:$C$163=$B6),'IRSAP Original'!$F$6:$F$163,"")</f>
        <v>1.72</v>
      </c>
      <c r="J22" s="2" cm="1">
        <f t="array" ref="J22">_xlfn.XLOOKUP(1,('IRSAP Original'!$A$6:$A$163=J$2)*('IRSAP Original'!$C$6:$C$163=$B6),'IRSAP Original'!$F$6:$F$163,"")</f>
        <v>1.83</v>
      </c>
      <c r="K22" s="2" cm="1">
        <f t="array" ref="K22">_xlfn.XLOOKUP(1,('IRSAP Original'!$A$6:$A$163=K$2)*('IRSAP Original'!$C$6:$C$163=$B6),'IRSAP Original'!$F$6:$F$163,"")</f>
        <v>1.87</v>
      </c>
      <c r="L22" s="2" cm="1">
        <f t="array" ref="L22">_xlfn.XLOOKUP(1,('IRSAP Original'!$A$6:$A$163=L$2)*('IRSAP Original'!$C$6:$C$163=$B6),'IRSAP Original'!$F$6:$F$163,"")</f>
        <v>1.92</v>
      </c>
      <c r="M22" s="2" cm="1">
        <f t="array" ref="M22">_xlfn.XLOOKUP(1,('IRSAP Original'!$A$6:$A$163=M$2)*('IRSAP Original'!$C$6:$C$163=$B6),'IRSAP Original'!$F$6:$F$163,"")</f>
        <v>2.02</v>
      </c>
      <c r="N22" s="2" cm="1">
        <f t="array" ref="N22">_xlfn.XLOOKUP(1,('IRSAP Original'!$A$6:$A$163=N$2)*('IRSAP Original'!$C$6:$C$163=$B6),'IRSAP Original'!$F$6:$F$163,"")</f>
        <v>2.17</v>
      </c>
      <c r="O22" s="2" cm="1">
        <f t="array" ref="O22">_xlfn.XLOOKUP(1,('IRSAP Original'!$A$6:$A$163=O$2)*('IRSAP Original'!$C$6:$C$163=$B6),'IRSAP Original'!$F$6:$F$163,"")</f>
        <v>2.21</v>
      </c>
      <c r="P22" s="2" cm="1">
        <f t="array" ref="P22">_xlfn.XLOOKUP(1,('IRSAP Original'!$A$6:$A$163=P$2)*('IRSAP Original'!$C$6:$C$163=$B6),'IRSAP Original'!$F$6:$F$163,"")</f>
        <v>2.27</v>
      </c>
      <c r="Q22" s="2" cm="1">
        <f t="array" ref="Q22">_xlfn.XLOOKUP(1,('IRSAP Original'!$A$6:$A$163=Q$2)*('IRSAP Original'!$C$6:$C$163=$B6),'IRSAP Original'!$F$6:$F$163,"")</f>
        <v>2.46</v>
      </c>
      <c r="R22" s="2" cm="1">
        <f t="array" ref="R22">_xlfn.XLOOKUP(1,('IRSAP Original'!$A$6:$A$163=R$2)*('IRSAP Original'!$C$6:$C$163=$B6),'IRSAP Original'!$F$6:$F$163,"")</f>
        <v>2.5099999999999998</v>
      </c>
      <c r="S22" s="2" cm="1">
        <f t="array" ref="S22">_xlfn.XLOOKUP(1,('IRSAP Original'!$A$6:$A$163=S$2)*('IRSAP Original'!$C$6:$C$163=$B6),'IRSAP Original'!$F$6:$F$163,"")</f>
        <v>2.66</v>
      </c>
      <c r="T22" s="2" cm="1">
        <f t="array" ref="T22">_xlfn.XLOOKUP(1,('IRSAP Original'!$A$6:$A$163=T$2)*('IRSAP Original'!$C$6:$C$163=$B6),'IRSAP Original'!$F$6:$F$163,"")</f>
        <v>2.8</v>
      </c>
      <c r="U22" s="2" cm="1">
        <f t="array" ref="U22">_xlfn.XLOOKUP(1,('IRSAP Original'!$A$6:$A$163=U$2)*('IRSAP Original'!$C$6:$C$163=$B6),'IRSAP Original'!$F$6:$F$163,"")</f>
        <v>2.86</v>
      </c>
      <c r="V22" s="2" cm="1">
        <f t="array" ref="V22">_xlfn.XLOOKUP(1,('IRSAP Original'!$A$6:$A$163=V$2)*('IRSAP Original'!$C$6:$C$163=$B6),'IRSAP Original'!$F$6:$F$163,"")</f>
        <v>2.91</v>
      </c>
      <c r="W22" s="2" cm="1">
        <f t="array" ref="W22">_xlfn.XLOOKUP(1,('IRSAP Original'!$A$6:$A$163=W$2)*('IRSAP Original'!$C$6:$C$163=$B6),'IRSAP Original'!$F$6:$F$163,"")</f>
        <v>3.2</v>
      </c>
      <c r="X22" s="2" cm="1">
        <f t="array" ref="X22">_xlfn.XLOOKUP(1,('IRSAP Original'!$A$6:$A$163=X$2)*('IRSAP Original'!$C$6:$C$163=$B6),'IRSAP Original'!$F$6:$F$163,"")</f>
        <v>4.08</v>
      </c>
      <c r="Y22" s="2" cm="1">
        <f t="array" ref="Y22">_xlfn.XLOOKUP(1,('IRSAP Original'!$A$6:$A$163=Y$2)*('IRSAP Original'!$C$6:$C$163=$B6),'IRSAP Original'!$F$6:$F$163,"")</f>
        <v>5.05</v>
      </c>
      <c r="Z22" s="2" cm="1">
        <f t="array" ref="Z22">_xlfn.XLOOKUP(1,('IRSAP Original'!$A$6:$A$163=Z$2)*('IRSAP Original'!$C$6:$C$163=$B6),'IRSAP Original'!$F$6:$F$163,"")</f>
        <v>6.02</v>
      </c>
      <c r="AA22" s="2" cm="1">
        <f t="array" ref="AA22">_xlfn.XLOOKUP(1,('IRSAP Original'!$A$6:$A$163=AA$2)*('IRSAP Original'!$C$6:$C$163=$B6),'IRSAP Original'!$F$6:$F$163,"")</f>
        <v>6.67</v>
      </c>
      <c r="AB22" s="2" cm="1">
        <f t="array" ref="AB22">_xlfn.XLOOKUP(1,('IRSAP Original'!$A$6:$A$163=AB$2)*('IRSAP Original'!$C$6:$C$163=$B6),'IRSAP Original'!$F$6:$F$163,"")</f>
        <v>7.32</v>
      </c>
      <c r="AC22" s="2" cm="1">
        <f t="array" ref="AC22">_xlfn.XLOOKUP(1,('IRSAP Original'!$A$6:$A$163=AC$2)*('IRSAP Original'!$C$6:$C$163=$B6),'IRSAP Original'!$F$6:$F$163,"")</f>
        <v>8.2899999999999991</v>
      </c>
      <c r="AD22" s="2"/>
      <c r="AE22" s="2"/>
      <c r="AF22" s="2"/>
      <c r="AG22" s="2"/>
      <c r="AH22" s="2"/>
    </row>
    <row r="23" spans="1:34" x14ac:dyDescent="0.2">
      <c r="B23" s="2">
        <f>B7</f>
        <v>215</v>
      </c>
      <c r="C23" s="2" cm="1">
        <f t="array" ref="C23">_xlfn.XLOOKUP(1,('IRSAP Original'!$A$6:$A$163=C$2)*('IRSAP Original'!$C$6:$C$163=$B7),'IRSAP Original'!$F$6:$F$163,"")</f>
        <v>0.97</v>
      </c>
      <c r="D23" s="2" cm="1">
        <f t="array" ref="D23">_xlfn.XLOOKUP(1,('IRSAP Original'!$A$6:$A$163=D$2)*('IRSAP Original'!$C$6:$C$163=$B7),'IRSAP Original'!$F$6:$F$163,"")</f>
        <v>1.35</v>
      </c>
      <c r="E23" s="2" cm="1">
        <f t="array" ref="E23">_xlfn.XLOOKUP(1,('IRSAP Original'!$A$6:$A$163=E$2)*('IRSAP Original'!$C$6:$C$163=$B7),'IRSAP Original'!$F$6:$F$163,"")</f>
        <v>1.53</v>
      </c>
      <c r="F23" s="2" cm="1">
        <f t="array" ref="F23">_xlfn.XLOOKUP(1,('IRSAP Original'!$A$6:$A$163=F$2)*('IRSAP Original'!$C$6:$C$163=$B7),'IRSAP Original'!$F$6:$F$163,"")</f>
        <v>1.58</v>
      </c>
      <c r="G23" s="2" cm="1">
        <f t="array" ref="G23">_xlfn.XLOOKUP(1,('IRSAP Original'!$A$6:$A$163=G$2)*('IRSAP Original'!$C$6:$C$163=$B7),'IRSAP Original'!$F$6:$F$163,"")</f>
        <v>1.71</v>
      </c>
      <c r="H23" s="2" cm="1">
        <f t="array" ref="H23">_xlfn.XLOOKUP(1,('IRSAP Original'!$A$6:$A$163=H$2)*('IRSAP Original'!$C$6:$C$163=$B7),'IRSAP Original'!$F$6:$F$163,"")</f>
        <v>1.89</v>
      </c>
      <c r="I23" s="2" cm="1">
        <f t="array" ref="I23">_xlfn.XLOOKUP(1,('IRSAP Original'!$A$6:$A$163=I$2)*('IRSAP Original'!$C$6:$C$163=$B7),'IRSAP Original'!$F$6:$F$163,"")</f>
        <v>2.06</v>
      </c>
      <c r="J23" s="2" cm="1">
        <f t="array" ref="J23">_xlfn.XLOOKUP(1,('IRSAP Original'!$A$6:$A$163=J$2)*('IRSAP Original'!$C$6:$C$163=$B7),'IRSAP Original'!$F$6:$F$163,"")</f>
        <v>2.19</v>
      </c>
      <c r="K23" s="2" cm="1">
        <f t="array" ref="K23">_xlfn.XLOOKUP(1,('IRSAP Original'!$A$6:$A$163=K$2)*('IRSAP Original'!$C$6:$C$163=$B7),'IRSAP Original'!$F$6:$F$163,"")</f>
        <v>2.2400000000000002</v>
      </c>
      <c r="L23" s="2" cm="1">
        <f t="array" ref="L23">_xlfn.XLOOKUP(1,('IRSAP Original'!$A$6:$A$163=L$2)*('IRSAP Original'!$C$6:$C$163=$B7),'IRSAP Original'!$F$6:$F$163,"")</f>
        <v>2.29</v>
      </c>
      <c r="M23" s="2" cm="1">
        <f t="array" ref="M23">_xlfn.XLOOKUP(1,('IRSAP Original'!$A$6:$A$163=M$2)*('IRSAP Original'!$C$6:$C$163=$B7),'IRSAP Original'!$F$6:$F$163,"")</f>
        <v>2.42</v>
      </c>
      <c r="N23" s="2" cm="1">
        <f t="array" ref="N23">_xlfn.XLOOKUP(1,('IRSAP Original'!$A$6:$A$163=N$2)*('IRSAP Original'!$C$6:$C$163=$B7),'IRSAP Original'!$F$6:$F$163,"")</f>
        <v>2.6</v>
      </c>
      <c r="O23" s="2" cm="1">
        <f t="array" ref="O23">_xlfn.XLOOKUP(1,('IRSAP Original'!$A$6:$A$163=O$2)*('IRSAP Original'!$C$6:$C$163=$B7),'IRSAP Original'!$F$6:$F$163,"")</f>
        <v>2.65</v>
      </c>
      <c r="P23" s="2" cm="1">
        <f t="array" ref="P23">_xlfn.XLOOKUP(1,('IRSAP Original'!$A$6:$A$163=P$2)*('IRSAP Original'!$C$6:$C$163=$B7),'IRSAP Original'!$F$6:$F$163,"")</f>
        <v>2.72</v>
      </c>
      <c r="Q23" s="2" cm="1">
        <f t="array" ref="Q23">_xlfn.XLOOKUP(1,('IRSAP Original'!$A$6:$A$163=Q$2)*('IRSAP Original'!$C$6:$C$163=$B7),'IRSAP Original'!$F$6:$F$163,"")</f>
        <v>2.95</v>
      </c>
      <c r="R23" s="2" cm="1">
        <f t="array" ref="R23">_xlfn.XLOOKUP(1,('IRSAP Original'!$A$6:$A$163=R$2)*('IRSAP Original'!$C$6:$C$163=$B7),'IRSAP Original'!$F$6:$F$163,"")</f>
        <v>3.01</v>
      </c>
      <c r="S23" s="2" cm="1">
        <f t="array" ref="S23">_xlfn.XLOOKUP(1,('IRSAP Original'!$A$6:$A$163=S$2)*('IRSAP Original'!$C$6:$C$163=$B7),'IRSAP Original'!$F$6:$F$163,"")</f>
        <v>3.18</v>
      </c>
      <c r="T23" s="2" cm="1">
        <f t="array" ref="T23">_xlfn.XLOOKUP(1,('IRSAP Original'!$A$6:$A$163=T$2)*('IRSAP Original'!$C$6:$C$163=$B7),'IRSAP Original'!$F$6:$F$163,"")</f>
        <v>3.36</v>
      </c>
      <c r="U23" s="2" cm="1">
        <f t="array" ref="U23">_xlfn.XLOOKUP(1,('IRSAP Original'!$A$6:$A$163=U$2)*('IRSAP Original'!$C$6:$C$163=$B7),'IRSAP Original'!$F$6:$F$163,"")</f>
        <v>3.43</v>
      </c>
      <c r="V23" s="2" cm="1">
        <f t="array" ref="V23">_xlfn.XLOOKUP(1,('IRSAP Original'!$A$6:$A$163=V$2)*('IRSAP Original'!$C$6:$C$163=$B7),'IRSAP Original'!$F$6:$F$163,"")</f>
        <v>3.48</v>
      </c>
      <c r="W23" s="2" cm="1">
        <f t="array" ref="W23">_xlfn.XLOOKUP(1,('IRSAP Original'!$A$6:$A$163=W$2)*('IRSAP Original'!$C$6:$C$163=$B7),'IRSAP Original'!$F$6:$F$163,"")</f>
        <v>3.84</v>
      </c>
      <c r="X23" s="2" cm="1">
        <f t="array" ref="X23">_xlfn.XLOOKUP(1,('IRSAP Original'!$A$6:$A$163=X$2)*('IRSAP Original'!$C$6:$C$163=$B7),'IRSAP Original'!$F$6:$F$163,"")</f>
        <v>4.8899999999999997</v>
      </c>
      <c r="Y23" s="2" cm="1">
        <f t="array" ref="Y23">_xlfn.XLOOKUP(1,('IRSAP Original'!$A$6:$A$163=Y$2)*('IRSAP Original'!$C$6:$C$163=$B7),'IRSAP Original'!$F$6:$F$163,"")</f>
        <v>6.06</v>
      </c>
      <c r="Z23" s="2" cm="1">
        <f t="array" ref="Z23">_xlfn.XLOOKUP(1,('IRSAP Original'!$A$6:$A$163=Z$2)*('IRSAP Original'!$C$6:$C$163=$B7),'IRSAP Original'!$F$6:$F$163,"")</f>
        <v>7.22</v>
      </c>
      <c r="AA23" s="2" cm="1">
        <f t="array" ref="AA23">_xlfn.XLOOKUP(1,('IRSAP Original'!$A$6:$A$163=AA$2)*('IRSAP Original'!$C$6:$C$163=$B7),'IRSAP Original'!$F$6:$F$163,"")</f>
        <v>8</v>
      </c>
      <c r="AB23" s="2" cm="1">
        <f t="array" ref="AB23">_xlfn.XLOOKUP(1,('IRSAP Original'!$A$6:$A$163=AB$2)*('IRSAP Original'!$C$6:$C$163=$B7),'IRSAP Original'!$F$6:$F$163,"")</f>
        <v>8.7799999999999994</v>
      </c>
      <c r="AC23" s="2" cm="1">
        <f t="array" ref="AC23">_xlfn.XLOOKUP(1,('IRSAP Original'!$A$6:$A$163=AC$2)*('IRSAP Original'!$C$6:$C$163=$B7),'IRSAP Original'!$F$6:$F$163,"")</f>
        <v>9.94</v>
      </c>
      <c r="AD23" s="2"/>
      <c r="AE23" s="2"/>
      <c r="AF23" s="2"/>
      <c r="AG23" s="2"/>
      <c r="AH23" s="2"/>
    </row>
    <row r="24" spans="1:34" x14ac:dyDescent="0.2">
      <c r="C24" s="8"/>
      <c r="D24" s="8"/>
      <c r="E24" s="8"/>
      <c r="F24" s="8"/>
      <c r="G24" s="8"/>
      <c r="H24" s="8"/>
      <c r="I24" s="8"/>
      <c r="J24" s="8"/>
      <c r="K24" s="8"/>
      <c r="L24" s="8"/>
      <c r="M24"/>
      <c r="N24"/>
      <c r="O24"/>
      <c r="P24"/>
      <c r="Q24"/>
    </row>
    <row r="25" spans="1:34" ht="40.5" x14ac:dyDescent="0.25">
      <c r="A25" s="57" t="s">
        <v>153</v>
      </c>
      <c r="C25" s="4" t="s">
        <v>2</v>
      </c>
      <c r="M25"/>
      <c r="N25"/>
      <c r="O25"/>
      <c r="P25"/>
      <c r="Q25"/>
    </row>
    <row r="26" spans="1:34" x14ac:dyDescent="0.2">
      <c r="A26" s="1" t="s">
        <v>154</v>
      </c>
      <c r="C26" s="5">
        <f t="shared" ref="C26:AC26" si="2">C$2</f>
        <v>200</v>
      </c>
      <c r="D26" s="5">
        <f t="shared" si="2"/>
        <v>300</v>
      </c>
      <c r="E26" s="5">
        <f t="shared" si="2"/>
        <v>350</v>
      </c>
      <c r="F26" s="5">
        <f t="shared" si="2"/>
        <v>365</v>
      </c>
      <c r="G26" s="5">
        <f t="shared" si="2"/>
        <v>400</v>
      </c>
      <c r="H26" s="5">
        <f t="shared" si="2"/>
        <v>450</v>
      </c>
      <c r="I26" s="5">
        <f t="shared" si="2"/>
        <v>500</v>
      </c>
      <c r="J26" s="5">
        <f t="shared" si="2"/>
        <v>535</v>
      </c>
      <c r="K26" s="5">
        <f t="shared" si="2"/>
        <v>550</v>
      </c>
      <c r="L26" s="5">
        <f t="shared" si="2"/>
        <v>565</v>
      </c>
      <c r="M26" s="5">
        <f t="shared" si="2"/>
        <v>600</v>
      </c>
      <c r="N26" s="5">
        <f t="shared" si="2"/>
        <v>650</v>
      </c>
      <c r="O26" s="5">
        <f t="shared" si="2"/>
        <v>665</v>
      </c>
      <c r="P26" s="5">
        <f t="shared" si="2"/>
        <v>685</v>
      </c>
      <c r="Q26" s="5">
        <f t="shared" si="2"/>
        <v>750</v>
      </c>
      <c r="R26" s="5">
        <f t="shared" si="2"/>
        <v>765</v>
      </c>
      <c r="S26" s="5">
        <f t="shared" si="2"/>
        <v>815</v>
      </c>
      <c r="T26" s="5">
        <f t="shared" si="2"/>
        <v>865</v>
      </c>
      <c r="U26" s="5">
        <f t="shared" si="2"/>
        <v>885</v>
      </c>
      <c r="V26" s="5">
        <f t="shared" si="2"/>
        <v>900</v>
      </c>
      <c r="W26" s="5">
        <f t="shared" si="2"/>
        <v>1000</v>
      </c>
      <c r="X26" s="5">
        <f t="shared" si="2"/>
        <v>1200</v>
      </c>
      <c r="Y26" s="5">
        <f t="shared" si="2"/>
        <v>1500</v>
      </c>
      <c r="Z26" s="5">
        <f t="shared" si="2"/>
        <v>1800</v>
      </c>
      <c r="AA26" s="5">
        <f t="shared" si="2"/>
        <v>2000</v>
      </c>
      <c r="AB26" s="5">
        <f t="shared" si="2"/>
        <v>2200</v>
      </c>
      <c r="AC26" s="5">
        <f t="shared" si="2"/>
        <v>2500</v>
      </c>
      <c r="AD26" s="5"/>
      <c r="AE26" s="5"/>
      <c r="AF26" s="5"/>
      <c r="AG26" s="5"/>
      <c r="AH26" s="5"/>
    </row>
    <row r="27" spans="1:34" ht="13.5" x14ac:dyDescent="0.25">
      <c r="A27" s="4" t="s">
        <v>3</v>
      </c>
      <c r="B27" s="2">
        <f>B3</f>
        <v>65</v>
      </c>
      <c r="R27" s="2"/>
      <c r="S27" s="2"/>
      <c r="T27" s="2"/>
      <c r="U27" s="2"/>
      <c r="V27" s="2"/>
      <c r="W27" s="2"/>
      <c r="X27" s="2"/>
      <c r="Y27" s="2"/>
      <c r="Z27" s="2"/>
      <c r="AA27" s="2"/>
      <c r="AB27" s="2"/>
      <c r="AC27" s="2"/>
      <c r="AD27" s="2"/>
      <c r="AE27" s="2"/>
      <c r="AF27" s="2"/>
      <c r="AG27" s="2"/>
      <c r="AH27" s="2"/>
    </row>
    <row r="28" spans="1:34" x14ac:dyDescent="0.2">
      <c r="B28" s="2">
        <f>B4</f>
        <v>101</v>
      </c>
      <c r="R28" s="2"/>
      <c r="S28" s="2"/>
      <c r="T28" s="2"/>
      <c r="U28" s="2"/>
      <c r="V28" s="2"/>
      <c r="W28" s="2"/>
      <c r="X28" s="2"/>
      <c r="Y28" s="2"/>
      <c r="Z28" s="2"/>
      <c r="AA28" s="2"/>
      <c r="AB28" s="2"/>
      <c r="AC28" s="2"/>
      <c r="AD28" s="2"/>
      <c r="AE28" s="2"/>
      <c r="AF28" s="2"/>
      <c r="AG28" s="2"/>
      <c r="AH28" s="2"/>
    </row>
    <row r="29" spans="1:34" x14ac:dyDescent="0.2">
      <c r="B29" s="2">
        <f>B5</f>
        <v>139</v>
      </c>
      <c r="R29" s="2"/>
      <c r="S29" s="2"/>
      <c r="T29" s="2"/>
      <c r="U29" s="2"/>
      <c r="V29" s="2"/>
      <c r="W29" s="2"/>
      <c r="X29" s="2"/>
      <c r="Y29" s="2"/>
      <c r="Z29" s="2"/>
      <c r="AA29" s="2"/>
      <c r="AB29" s="2"/>
      <c r="AC29" s="2"/>
      <c r="AD29" s="2"/>
      <c r="AE29" s="2"/>
      <c r="AF29" s="2"/>
      <c r="AG29" s="2"/>
      <c r="AH29" s="2"/>
    </row>
    <row r="30" spans="1:34" x14ac:dyDescent="0.2">
      <c r="B30" s="2">
        <f>B6</f>
        <v>177</v>
      </c>
      <c r="R30" s="2"/>
      <c r="S30" s="2"/>
      <c r="T30" s="2"/>
      <c r="U30" s="2"/>
      <c r="V30" s="2"/>
      <c r="W30" s="2"/>
      <c r="X30" s="2"/>
      <c r="Y30" s="2"/>
      <c r="Z30" s="2"/>
      <c r="AA30" s="2"/>
      <c r="AB30" s="2"/>
      <c r="AC30" s="2"/>
      <c r="AD30" s="2"/>
      <c r="AE30" s="2"/>
      <c r="AF30" s="2"/>
      <c r="AG30" s="2"/>
      <c r="AH30" s="2"/>
    </row>
    <row r="31" spans="1:34" x14ac:dyDescent="0.2">
      <c r="B31" s="2">
        <f>B7</f>
        <v>215</v>
      </c>
      <c r="R31" s="2"/>
      <c r="S31" s="2"/>
      <c r="T31" s="2"/>
      <c r="U31" s="2"/>
      <c r="V31" s="2"/>
      <c r="W31" s="2"/>
      <c r="X31" s="2"/>
      <c r="Y31" s="2"/>
      <c r="Z31" s="2"/>
      <c r="AA31" s="2"/>
      <c r="AB31" s="2"/>
      <c r="AC31" s="2"/>
      <c r="AD31" s="2"/>
      <c r="AE31" s="2"/>
      <c r="AF31" s="2"/>
      <c r="AG31" s="2"/>
      <c r="AH31" s="2"/>
    </row>
    <row r="32" spans="1:34" x14ac:dyDescent="0.2">
      <c r="C32" s="8"/>
      <c r="D32" s="8"/>
      <c r="E32" s="8"/>
      <c r="F32" s="8"/>
      <c r="G32" s="8"/>
      <c r="H32" s="8"/>
      <c r="I32" s="8"/>
      <c r="J32" s="8"/>
      <c r="K32" s="8"/>
      <c r="L32" s="8"/>
      <c r="M32"/>
      <c r="N32"/>
      <c r="O32"/>
      <c r="P32"/>
      <c r="Q32"/>
    </row>
    <row r="33" spans="1:35" ht="39" x14ac:dyDescent="0.25">
      <c r="A33" s="57" t="s">
        <v>155</v>
      </c>
      <c r="C33" s="4" t="s">
        <v>2</v>
      </c>
      <c r="M33"/>
      <c r="N33"/>
      <c r="O33"/>
      <c r="P33"/>
      <c r="Q33"/>
    </row>
    <row r="34" spans="1:35" x14ac:dyDescent="0.2">
      <c r="A34" s="57" t="s">
        <v>156</v>
      </c>
      <c r="C34" s="5">
        <f t="shared" ref="C34:AC34" si="3">C$2</f>
        <v>200</v>
      </c>
      <c r="D34" s="5">
        <f t="shared" si="3"/>
        <v>300</v>
      </c>
      <c r="E34" s="5">
        <f t="shared" si="3"/>
        <v>350</v>
      </c>
      <c r="F34" s="5">
        <f t="shared" si="3"/>
        <v>365</v>
      </c>
      <c r="G34" s="5">
        <f t="shared" si="3"/>
        <v>400</v>
      </c>
      <c r="H34" s="5">
        <f t="shared" si="3"/>
        <v>450</v>
      </c>
      <c r="I34" s="5">
        <f t="shared" si="3"/>
        <v>500</v>
      </c>
      <c r="J34" s="5">
        <f t="shared" si="3"/>
        <v>535</v>
      </c>
      <c r="K34" s="5">
        <f t="shared" si="3"/>
        <v>550</v>
      </c>
      <c r="L34" s="5">
        <f t="shared" si="3"/>
        <v>565</v>
      </c>
      <c r="M34" s="5">
        <f t="shared" si="3"/>
        <v>600</v>
      </c>
      <c r="N34" s="5">
        <f t="shared" si="3"/>
        <v>650</v>
      </c>
      <c r="O34" s="5">
        <f t="shared" si="3"/>
        <v>665</v>
      </c>
      <c r="P34" s="5">
        <f t="shared" si="3"/>
        <v>685</v>
      </c>
      <c r="Q34" s="5">
        <f t="shared" si="3"/>
        <v>750</v>
      </c>
      <c r="R34" s="5">
        <f t="shared" si="3"/>
        <v>765</v>
      </c>
      <c r="S34" s="5">
        <f t="shared" si="3"/>
        <v>815</v>
      </c>
      <c r="T34" s="5">
        <f t="shared" si="3"/>
        <v>865</v>
      </c>
      <c r="U34" s="5">
        <f t="shared" si="3"/>
        <v>885</v>
      </c>
      <c r="V34" s="5">
        <f t="shared" si="3"/>
        <v>900</v>
      </c>
      <c r="W34" s="5">
        <f t="shared" si="3"/>
        <v>1000</v>
      </c>
      <c r="X34" s="5">
        <f t="shared" si="3"/>
        <v>1200</v>
      </c>
      <c r="Y34" s="5">
        <f t="shared" si="3"/>
        <v>1500</v>
      </c>
      <c r="Z34" s="5">
        <f t="shared" si="3"/>
        <v>1800</v>
      </c>
      <c r="AA34" s="5">
        <f t="shared" si="3"/>
        <v>2000</v>
      </c>
      <c r="AB34" s="5">
        <f t="shared" si="3"/>
        <v>2200</v>
      </c>
      <c r="AC34" s="5">
        <f t="shared" si="3"/>
        <v>2500</v>
      </c>
      <c r="AD34" s="5"/>
      <c r="AE34" s="5"/>
      <c r="AF34" s="5"/>
      <c r="AG34" s="5"/>
      <c r="AH34" s="5"/>
      <c r="AI34" s="5"/>
    </row>
    <row r="35" spans="1:35" ht="13.5" x14ac:dyDescent="0.25">
      <c r="A35" s="4" t="s">
        <v>3</v>
      </c>
      <c r="B35" s="2">
        <f>B3</f>
        <v>65</v>
      </c>
      <c r="C35" s="2" cm="1">
        <f t="array" ref="C35">_xlfn.XLOOKUP(1,('IRSAP Original'!$A$6:$A$163=C$2)*('IRSAP Original'!$C$6:$C$163=$B3),'IRSAP Original'!$G$6:$G$163,"")</f>
        <v>0.32</v>
      </c>
      <c r="D35" s="2" cm="1">
        <f t="array" ref="D35">_xlfn.XLOOKUP(1,('IRSAP Original'!$A$6:$A$163=D$2)*('IRSAP Original'!$C$6:$C$163=$B3),'IRSAP Original'!$G$6:$G$163,"")</f>
        <v>0.4</v>
      </c>
      <c r="E35" s="2" cm="1">
        <f t="array" ref="E35">_xlfn.XLOOKUP(1,('IRSAP Original'!$A$6:$A$163=E$2)*('IRSAP Original'!$C$6:$C$163=$B3),'IRSAP Original'!$G$6:$G$163,"")</f>
        <v>0.44</v>
      </c>
      <c r="F35" s="2" cm="1">
        <f t="array" ref="F35">_xlfn.XLOOKUP(1,('IRSAP Original'!$A$6:$A$163=F$2)*('IRSAP Original'!$C$6:$C$163=$B3),'IRSAP Original'!$G$6:$G$163,"")</f>
        <v>0.45</v>
      </c>
      <c r="G35" s="2" cm="1">
        <f t="array" ref="G35">_xlfn.XLOOKUP(1,('IRSAP Original'!$A$6:$A$163=G$2)*('IRSAP Original'!$C$6:$C$163=$B3),'IRSAP Original'!$G$6:$G$163,"")</f>
        <v>0.48</v>
      </c>
      <c r="H35" s="2" cm="1">
        <f t="array" ref="H35">_xlfn.XLOOKUP(1,('IRSAP Original'!$A$6:$A$163=H$2)*('IRSAP Original'!$C$6:$C$163=$B3),'IRSAP Original'!$G$6:$G$163,"")</f>
        <v>0.51</v>
      </c>
      <c r="I35" s="2" cm="1">
        <f t="array" ref="I35">_xlfn.XLOOKUP(1,('IRSAP Original'!$A$6:$A$163=I$2)*('IRSAP Original'!$C$6:$C$163=$B3),'IRSAP Original'!$G$6:$G$163,"")</f>
        <v>0.55000000000000004</v>
      </c>
      <c r="J35" s="2" cm="1">
        <f t="array" ref="J35">_xlfn.XLOOKUP(1,('IRSAP Original'!$A$6:$A$163=J$2)*('IRSAP Original'!$C$6:$C$163=$B3),'IRSAP Original'!$G$6:$G$163,"")</f>
        <v>0.57999999999999996</v>
      </c>
      <c r="K35" s="2" cm="1">
        <f t="array" ref="K35">_xlfn.XLOOKUP(1,('IRSAP Original'!$A$6:$A$163=K$2)*('IRSAP Original'!$C$6:$C$163=$B3),'IRSAP Original'!$G$6:$G$163,"")</f>
        <v>0.59</v>
      </c>
      <c r="L35" s="2" cm="1">
        <f t="array" ref="L35">_xlfn.XLOOKUP(1,('IRSAP Original'!$A$6:$A$163=L$2)*('IRSAP Original'!$C$6:$C$163=$B3),'IRSAP Original'!$G$6:$G$163,"")</f>
        <v>0.6</v>
      </c>
      <c r="M35" s="2" cm="1">
        <f t="array" ref="M35">_xlfn.XLOOKUP(1,('IRSAP Original'!$A$6:$A$163=M$2)*('IRSAP Original'!$C$6:$C$163=$B3),'IRSAP Original'!$G$6:$G$163,"")</f>
        <v>0.63</v>
      </c>
      <c r="N35" s="2" cm="1">
        <f t="array" ref="N35">_xlfn.XLOOKUP(1,('IRSAP Original'!$A$6:$A$163=N$2)*('IRSAP Original'!$C$6:$C$163=$B3),'IRSAP Original'!$G$6:$G$163,"")</f>
        <v>0.67</v>
      </c>
      <c r="O35" s="2" cm="1">
        <f t="array" ref="O35">_xlfn.XLOOKUP(1,('IRSAP Original'!$A$6:$A$163=O$2)*('IRSAP Original'!$C$6:$C$163=$B3),'IRSAP Original'!$G$6:$G$163,"")</f>
        <v>0.68</v>
      </c>
      <c r="P35" s="2" cm="1">
        <f t="array" ref="P35">_xlfn.XLOOKUP(1,('IRSAP Original'!$A$6:$A$163=P$2)*('IRSAP Original'!$C$6:$C$163=$B3),'IRSAP Original'!$G$6:$G$163,"")</f>
        <v>0.7</v>
      </c>
      <c r="Q35" s="2" cm="1">
        <f t="array" ref="Q35">_xlfn.XLOOKUP(1,('IRSAP Original'!$A$6:$A$163=Q$2)*('IRSAP Original'!$C$6:$C$163=$B3),'IRSAP Original'!$G$6:$G$163,"")</f>
        <v>0.75</v>
      </c>
      <c r="R35" s="2" cm="1">
        <f t="array" ref="R35">_xlfn.XLOOKUP(1,('IRSAP Original'!$A$6:$A$163=R$2)*('IRSAP Original'!$C$6:$C$163=$B3),'IRSAP Original'!$G$6:$G$163,"")</f>
        <v>0.76</v>
      </c>
      <c r="S35" s="2" cm="1">
        <f t="array" ref="S35">_xlfn.XLOOKUP(1,('IRSAP Original'!$A$6:$A$163=S$2)*('IRSAP Original'!$C$6:$C$163=$B3),'IRSAP Original'!$G$6:$G$163,"")</f>
        <v>0.8</v>
      </c>
      <c r="T35" s="2" cm="1">
        <f t="array" ref="T35">_xlfn.XLOOKUP(1,('IRSAP Original'!$A$6:$A$163=T$2)*('IRSAP Original'!$C$6:$C$163=$B3),'IRSAP Original'!$G$6:$G$163,"")</f>
        <v>0.84</v>
      </c>
      <c r="U35" s="2" cm="1">
        <f t="array" ref="U35">_xlfn.XLOOKUP(1,('IRSAP Original'!$A$6:$A$163=U$2)*('IRSAP Original'!$C$6:$C$163=$B3),'IRSAP Original'!$G$6:$G$163,"")</f>
        <v>0.85</v>
      </c>
      <c r="V35" s="2" cm="1">
        <f t="array" ref="V35">_xlfn.XLOOKUP(1,('IRSAP Original'!$A$6:$A$163=V$2)*('IRSAP Original'!$C$6:$C$163=$B3),'IRSAP Original'!$G$6:$G$163,"")</f>
        <v>0.87</v>
      </c>
      <c r="W35" s="2" cm="1">
        <f t="array" ref="W35">_xlfn.XLOOKUP(1,('IRSAP Original'!$A$6:$A$163=W$2)*('IRSAP Original'!$C$6:$C$163=$B3),'IRSAP Original'!$G$6:$G$163,"")</f>
        <v>0.95</v>
      </c>
      <c r="X35" s="2" cm="1">
        <f t="array" ref="X35">_xlfn.XLOOKUP(1,('IRSAP Original'!$A$6:$A$163=X$2)*('IRSAP Original'!$C$6:$C$163=$B3),'IRSAP Original'!$G$6:$G$163,"")</f>
        <v>1.1100000000000001</v>
      </c>
      <c r="Y35" s="2" cm="1">
        <f t="array" ref="Y35">_xlfn.XLOOKUP(1,('IRSAP Original'!$A$6:$A$163=Y$2)*('IRSAP Original'!$C$6:$C$163=$B3),'IRSAP Original'!$G$6:$G$163,"")</f>
        <v>1.35</v>
      </c>
      <c r="Z35" s="2" cm="1">
        <f t="array" ref="Z35">_xlfn.XLOOKUP(1,('IRSAP Original'!$A$6:$A$163=Z$2)*('IRSAP Original'!$C$6:$C$163=$B3),'IRSAP Original'!$G$6:$G$163,"")</f>
        <v>1.58</v>
      </c>
      <c r="AA35" s="2" cm="1">
        <f t="array" ref="AA35">_xlfn.XLOOKUP(1,('IRSAP Original'!$A$6:$A$163=AA$2)*('IRSAP Original'!$C$6:$C$163=$B3),'IRSAP Original'!$G$6:$G$163,"")</f>
        <v>1.72</v>
      </c>
      <c r="AB35" s="2" cm="1">
        <f t="array" ref="AB35">_xlfn.XLOOKUP(1,('IRSAP Original'!$A$6:$A$163=AB$2)*('IRSAP Original'!$C$6:$C$163=$B3),'IRSAP Original'!$G$6:$G$163,"")</f>
        <v>1.86</v>
      </c>
      <c r="AC35" s="2" cm="1">
        <f t="array" ref="AC35">_xlfn.XLOOKUP(1,('IRSAP Original'!$A$6:$A$163=AC$2)*('IRSAP Original'!$C$6:$C$163=$B3),'IRSAP Original'!$G$6:$G$163,"")</f>
        <v>2.08</v>
      </c>
      <c r="AD35" s="2"/>
      <c r="AE35" s="2"/>
      <c r="AF35" s="2"/>
      <c r="AG35" s="2"/>
      <c r="AH35" s="2"/>
    </row>
    <row r="36" spans="1:35" x14ac:dyDescent="0.2">
      <c r="B36" s="2">
        <f>B4</f>
        <v>101</v>
      </c>
      <c r="C36" s="2" cm="1">
        <f t="array" ref="C36">_xlfn.XLOOKUP(1,('IRSAP Original'!$A$6:$A$163=C$2)*('IRSAP Original'!$C$6:$C$163=$B4),'IRSAP Original'!$G$6:$G$163,"")</f>
        <v>0.46</v>
      </c>
      <c r="D36" s="2" cm="1">
        <f t="array" ref="D36">_xlfn.XLOOKUP(1,('IRSAP Original'!$A$6:$A$163=D$2)*('IRSAP Original'!$C$6:$C$163=$B4),'IRSAP Original'!$G$6:$G$163,"")</f>
        <v>0.6</v>
      </c>
      <c r="E36" s="2" cm="1">
        <f t="array" ref="E36">_xlfn.XLOOKUP(1,('IRSAP Original'!$A$6:$A$163=E$2)*('IRSAP Original'!$C$6:$C$163=$B4),'IRSAP Original'!$G$6:$G$163,"")</f>
        <v>0.66</v>
      </c>
      <c r="F36" s="2" cm="1">
        <f t="array" ref="F36">_xlfn.XLOOKUP(1,('IRSAP Original'!$A$6:$A$163=F$2)*('IRSAP Original'!$C$6:$C$163=$B4),'IRSAP Original'!$G$6:$G$163,"")</f>
        <v>0.68</v>
      </c>
      <c r="G36" s="2" cm="1">
        <f t="array" ref="G36">_xlfn.XLOOKUP(1,('IRSAP Original'!$A$6:$A$163=G$2)*('IRSAP Original'!$C$6:$C$163=$B4),'IRSAP Original'!$G$6:$G$163,"")</f>
        <v>0.72</v>
      </c>
      <c r="H36" s="2" cm="1">
        <f t="array" ref="H36">_xlfn.XLOOKUP(1,('IRSAP Original'!$A$6:$A$163=H$2)*('IRSAP Original'!$C$6:$C$163=$B4),'IRSAP Original'!$G$6:$G$163,"")</f>
        <v>0.79</v>
      </c>
      <c r="I36" s="2" cm="1">
        <f t="array" ref="I36">_xlfn.XLOOKUP(1,('IRSAP Original'!$A$6:$A$163=I$2)*('IRSAP Original'!$C$6:$C$163=$B4),'IRSAP Original'!$G$6:$G$163,"")</f>
        <v>0.85</v>
      </c>
      <c r="J36" s="2" cm="1">
        <f t="array" ref="J36">_xlfn.XLOOKUP(1,('IRSAP Original'!$A$6:$A$163=J$2)*('IRSAP Original'!$C$6:$C$163=$B4),'IRSAP Original'!$G$6:$G$163,"")</f>
        <v>0.89</v>
      </c>
      <c r="K36" s="2" cm="1">
        <f t="array" ref="K36">_xlfn.XLOOKUP(1,('IRSAP Original'!$A$6:$A$163=K$2)*('IRSAP Original'!$C$6:$C$163=$B4),'IRSAP Original'!$G$6:$G$163,"")</f>
        <v>0.91</v>
      </c>
      <c r="L36" s="2" cm="1">
        <f t="array" ref="L36">_xlfn.XLOOKUP(1,('IRSAP Original'!$A$6:$A$163=L$2)*('IRSAP Original'!$C$6:$C$163=$B4),'IRSAP Original'!$G$6:$G$163,"")</f>
        <v>0.93</v>
      </c>
      <c r="M36" s="2" cm="1">
        <f t="array" ref="M36">_xlfn.XLOOKUP(1,('IRSAP Original'!$A$6:$A$163=M$2)*('IRSAP Original'!$C$6:$C$163=$B4),'IRSAP Original'!$G$6:$G$163,"")</f>
        <v>0.97</v>
      </c>
      <c r="N36" s="2" cm="1">
        <f t="array" ref="N36">_xlfn.XLOOKUP(1,('IRSAP Original'!$A$6:$A$163=N$2)*('IRSAP Original'!$C$6:$C$163=$B4),'IRSAP Original'!$G$6:$G$163,"")</f>
        <v>1.03</v>
      </c>
      <c r="O36" s="2" cm="1">
        <f t="array" ref="O36">_xlfn.XLOOKUP(1,('IRSAP Original'!$A$6:$A$163=O$2)*('IRSAP Original'!$C$6:$C$163=$B4),'IRSAP Original'!$G$6:$G$163,"")</f>
        <v>1.05</v>
      </c>
      <c r="P36" s="2" cm="1">
        <f t="array" ref="P36">_xlfn.XLOOKUP(1,('IRSAP Original'!$A$6:$A$163=P$2)*('IRSAP Original'!$C$6:$C$163=$B4),'IRSAP Original'!$G$6:$G$163,"")</f>
        <v>1.08</v>
      </c>
      <c r="Q36" s="2" cm="1">
        <f t="array" ref="Q36">_xlfn.XLOOKUP(1,('IRSAP Original'!$A$6:$A$163=Q$2)*('IRSAP Original'!$C$6:$C$163=$B4),'IRSAP Original'!$G$6:$G$163,"")</f>
        <v>1.1599999999999999</v>
      </c>
      <c r="R36" s="2" cm="1">
        <f t="array" ref="R36">_xlfn.XLOOKUP(1,('IRSAP Original'!$A$6:$A$163=R$2)*('IRSAP Original'!$C$6:$C$163=$B4),'IRSAP Original'!$G$6:$G$163,"")</f>
        <v>1.18</v>
      </c>
      <c r="S36" s="2" cm="1">
        <f t="array" ref="S36">_xlfn.XLOOKUP(1,('IRSAP Original'!$A$6:$A$163=S$2)*('IRSAP Original'!$C$6:$C$163=$B4),'IRSAP Original'!$G$6:$G$163,"")</f>
        <v>1.24</v>
      </c>
      <c r="T36" s="2" cm="1">
        <f t="array" ref="T36">_xlfn.XLOOKUP(1,('IRSAP Original'!$A$6:$A$163=T$2)*('IRSAP Original'!$C$6:$C$163=$B4),'IRSAP Original'!$G$6:$G$163,"")</f>
        <v>1.3</v>
      </c>
      <c r="U36" s="2" cm="1">
        <f t="array" ref="U36">_xlfn.XLOOKUP(1,('IRSAP Original'!$A$6:$A$163=U$2)*('IRSAP Original'!$C$6:$C$163=$B4),'IRSAP Original'!$G$6:$G$163,"")</f>
        <v>1.33</v>
      </c>
      <c r="V36" s="2" cm="1">
        <f t="array" ref="V36">_xlfn.XLOOKUP(1,('IRSAP Original'!$A$6:$A$163=V$2)*('IRSAP Original'!$C$6:$C$163=$B4),'IRSAP Original'!$G$6:$G$163,"")</f>
        <v>1.35</v>
      </c>
      <c r="W36" s="2" cm="1">
        <f t="array" ref="W36">_xlfn.XLOOKUP(1,('IRSAP Original'!$A$6:$A$163=W$2)*('IRSAP Original'!$C$6:$C$163=$B4),'IRSAP Original'!$G$6:$G$163,"")</f>
        <v>1.47</v>
      </c>
      <c r="X36" s="2" cm="1">
        <f t="array" ref="X36">_xlfn.XLOOKUP(1,('IRSAP Original'!$A$6:$A$163=X$2)*('IRSAP Original'!$C$6:$C$163=$B4),'IRSAP Original'!$G$6:$G$163,"")</f>
        <v>1.7</v>
      </c>
      <c r="Y36" s="2" cm="1">
        <f t="array" ref="Y36">_xlfn.XLOOKUP(1,('IRSAP Original'!$A$6:$A$163=Y$2)*('IRSAP Original'!$C$6:$C$163=$B4),'IRSAP Original'!$G$6:$G$163,"")</f>
        <v>2.0699999999999998</v>
      </c>
      <c r="Z36" s="2" cm="1">
        <f t="array" ref="Z36">_xlfn.XLOOKUP(1,('IRSAP Original'!$A$6:$A$163=Z$2)*('IRSAP Original'!$C$6:$C$163=$B4),'IRSAP Original'!$G$6:$G$163,"")</f>
        <v>2.4300000000000002</v>
      </c>
      <c r="AA36" s="2" cm="1">
        <f t="array" ref="AA36">_xlfn.XLOOKUP(1,('IRSAP Original'!$A$6:$A$163=AA$2)*('IRSAP Original'!$C$6:$C$163=$B4),'IRSAP Original'!$G$6:$G$163,"")</f>
        <v>2.68</v>
      </c>
      <c r="AB36" s="2" cm="1">
        <f t="array" ref="AB36">_xlfn.XLOOKUP(1,('IRSAP Original'!$A$6:$A$163=AB$2)*('IRSAP Original'!$C$6:$C$163=$B4),'IRSAP Original'!$G$6:$G$163,"")</f>
        <v>2.92</v>
      </c>
      <c r="AC36" s="2" cm="1">
        <f t="array" ref="AC36">_xlfn.XLOOKUP(1,('IRSAP Original'!$A$6:$A$163=AC$2)*('IRSAP Original'!$C$6:$C$163=$B4),'IRSAP Original'!$G$6:$G$163,"")</f>
        <v>3.29</v>
      </c>
      <c r="AD36" s="2"/>
      <c r="AE36" s="2"/>
      <c r="AF36" s="2"/>
      <c r="AG36" s="2"/>
      <c r="AH36" s="2"/>
    </row>
    <row r="37" spans="1:35" x14ac:dyDescent="0.2">
      <c r="B37" s="2">
        <f>B5</f>
        <v>139</v>
      </c>
      <c r="C37" s="2" cm="1">
        <f t="array" ref="C37">_xlfn.XLOOKUP(1,('IRSAP Original'!$A$6:$A$163=C$2)*('IRSAP Original'!$C$6:$C$163=$B5),'IRSAP Original'!$G$6:$G$163,"")</f>
        <v>0.6</v>
      </c>
      <c r="D37" s="2" cm="1">
        <f t="array" ref="D37">_xlfn.XLOOKUP(1,('IRSAP Original'!$A$6:$A$163=D$2)*('IRSAP Original'!$C$6:$C$163=$B5),'IRSAP Original'!$G$6:$G$163,"")</f>
        <v>0.75</v>
      </c>
      <c r="E37" s="2" cm="1">
        <f t="array" ref="E37">_xlfn.XLOOKUP(1,('IRSAP Original'!$A$6:$A$163=E$2)*('IRSAP Original'!$C$6:$C$163=$B5),'IRSAP Original'!$G$6:$G$163,"")</f>
        <v>0.83</v>
      </c>
      <c r="F37" s="2" cm="1">
        <f t="array" ref="F37">_xlfn.XLOOKUP(1,('IRSAP Original'!$A$6:$A$163=F$2)*('IRSAP Original'!$C$6:$C$163=$B5),'IRSAP Original'!$G$6:$G$163,"")</f>
        <v>0.85</v>
      </c>
      <c r="G37" s="2" cm="1">
        <f t="array" ref="G37">_xlfn.XLOOKUP(1,('IRSAP Original'!$A$6:$A$163=G$2)*('IRSAP Original'!$C$6:$C$163=$B5),'IRSAP Original'!$G$6:$G$163,"")</f>
        <v>0.91</v>
      </c>
      <c r="H37" s="2" cm="1">
        <f t="array" ref="H37">_xlfn.XLOOKUP(1,('IRSAP Original'!$A$6:$A$163=H$2)*('IRSAP Original'!$C$6:$C$163=$B5),'IRSAP Original'!$G$6:$G$163,"")</f>
        <v>0.99</v>
      </c>
      <c r="I37" s="2" cm="1">
        <f t="array" ref="I37">_xlfn.XLOOKUP(1,('IRSAP Original'!$A$6:$A$163=I$2)*('IRSAP Original'!$C$6:$C$163=$B5),'IRSAP Original'!$G$6:$G$163,"")</f>
        <v>1.07</v>
      </c>
      <c r="J37" s="2" cm="1">
        <f t="array" ref="J37">_xlfn.XLOOKUP(1,('IRSAP Original'!$A$6:$A$163=J$2)*('IRSAP Original'!$C$6:$C$163=$B5),'IRSAP Original'!$G$6:$G$163,"")</f>
        <v>1.1200000000000001</v>
      </c>
      <c r="K37" s="2" cm="1">
        <f t="array" ref="K37">_xlfn.XLOOKUP(1,('IRSAP Original'!$A$6:$A$163=K$2)*('IRSAP Original'!$C$6:$C$163=$B5),'IRSAP Original'!$G$6:$G$163,"")</f>
        <v>1.1499999999999999</v>
      </c>
      <c r="L37" s="2" cm="1">
        <f t="array" ref="L37">_xlfn.XLOOKUP(1,('IRSAP Original'!$A$6:$A$163=L$2)*('IRSAP Original'!$C$6:$C$163=$B5),'IRSAP Original'!$G$6:$G$163,"")</f>
        <v>1.17</v>
      </c>
      <c r="M37" s="2" cm="1">
        <f t="array" ref="M37">_xlfn.XLOOKUP(1,('IRSAP Original'!$A$6:$A$163=M$2)*('IRSAP Original'!$C$6:$C$163=$B5),'IRSAP Original'!$G$6:$G$163,"")</f>
        <v>1.23</v>
      </c>
      <c r="N37" s="2" cm="1">
        <f t="array" ref="N37">_xlfn.XLOOKUP(1,('IRSAP Original'!$A$6:$A$163=N$2)*('IRSAP Original'!$C$6:$C$163=$B5),'IRSAP Original'!$G$6:$G$163,"")</f>
        <v>1.3</v>
      </c>
      <c r="O37" s="2" cm="1">
        <f t="array" ref="O37">_xlfn.XLOOKUP(1,('IRSAP Original'!$A$6:$A$163=O$2)*('IRSAP Original'!$C$6:$C$163=$B5),'IRSAP Original'!$G$6:$G$163,"")</f>
        <v>1.33</v>
      </c>
      <c r="P37" s="2" cm="1">
        <f t="array" ref="P37">_xlfn.XLOOKUP(1,('IRSAP Original'!$A$6:$A$163=P$2)*('IRSAP Original'!$C$6:$C$163=$B5),'IRSAP Original'!$G$6:$G$163,"")</f>
        <v>1.36</v>
      </c>
      <c r="Q37" s="2" cm="1">
        <f t="array" ref="Q37">_xlfn.XLOOKUP(1,('IRSAP Original'!$A$6:$A$163=Q$2)*('IRSAP Original'!$C$6:$C$163=$B5),'IRSAP Original'!$G$6:$G$163,"")</f>
        <v>1.46</v>
      </c>
      <c r="R37" s="2" cm="1">
        <f t="array" ref="R37">_xlfn.XLOOKUP(1,('IRSAP Original'!$A$6:$A$163=R$2)*('IRSAP Original'!$C$6:$C$163=$B5),'IRSAP Original'!$G$6:$G$163,"")</f>
        <v>1.49</v>
      </c>
      <c r="S37" s="2" cm="1">
        <f t="array" ref="S37">_xlfn.XLOOKUP(1,('IRSAP Original'!$A$6:$A$163=S$2)*('IRSAP Original'!$C$6:$C$163=$B5),'IRSAP Original'!$G$6:$G$163,"")</f>
        <v>1.57</v>
      </c>
      <c r="T37" s="2" cm="1">
        <f t="array" ref="T37">_xlfn.XLOOKUP(1,('IRSAP Original'!$A$6:$A$163=T$2)*('IRSAP Original'!$C$6:$C$163=$B5),'IRSAP Original'!$G$6:$G$163,"")</f>
        <v>1.64</v>
      </c>
      <c r="U37" s="2" cm="1">
        <f t="array" ref="U37">_xlfn.XLOOKUP(1,('IRSAP Original'!$A$6:$A$163=U$2)*('IRSAP Original'!$C$6:$C$163=$B5),'IRSAP Original'!$G$6:$G$163,"")</f>
        <v>1.68</v>
      </c>
      <c r="V37" s="2" cm="1">
        <f t="array" ref="V37">_xlfn.XLOOKUP(1,('IRSAP Original'!$A$6:$A$163=V$2)*('IRSAP Original'!$C$6:$C$163=$B5),'IRSAP Original'!$G$6:$G$163,"")</f>
        <v>1.7</v>
      </c>
      <c r="W37" s="2" cm="1">
        <f t="array" ref="W37">_xlfn.XLOOKUP(1,('IRSAP Original'!$A$6:$A$163=W$2)*('IRSAP Original'!$C$6:$C$163=$B5),'IRSAP Original'!$G$6:$G$163,"")</f>
        <v>1.86</v>
      </c>
      <c r="X37" s="2" cm="1">
        <f t="array" ref="X37">_xlfn.XLOOKUP(1,('IRSAP Original'!$A$6:$A$163=X$2)*('IRSAP Original'!$C$6:$C$163=$B5),'IRSAP Original'!$G$6:$G$163,"")</f>
        <v>2.17</v>
      </c>
      <c r="Y37" s="2" cm="1">
        <f t="array" ref="Y37">_xlfn.XLOOKUP(1,('IRSAP Original'!$A$6:$A$163=Y$2)*('IRSAP Original'!$C$6:$C$163=$B5),'IRSAP Original'!$G$6:$G$163,"")</f>
        <v>2.63</v>
      </c>
      <c r="Z37" s="2" cm="1">
        <f t="array" ref="Z37">_xlfn.XLOOKUP(1,('IRSAP Original'!$A$6:$A$163=Z$2)*('IRSAP Original'!$C$6:$C$163=$B5),'IRSAP Original'!$G$6:$G$163,"")</f>
        <v>3.11</v>
      </c>
      <c r="AA37" s="2" cm="1">
        <f t="array" ref="AA37">_xlfn.XLOOKUP(1,('IRSAP Original'!$A$6:$A$163=AA$2)*('IRSAP Original'!$C$6:$C$163=$B5),'IRSAP Original'!$G$6:$G$163,"")</f>
        <v>3.44</v>
      </c>
      <c r="AB37" s="2" cm="1">
        <f t="array" ref="AB37">_xlfn.XLOOKUP(1,('IRSAP Original'!$A$6:$A$163=AB$2)*('IRSAP Original'!$C$6:$C$163=$B5),'IRSAP Original'!$G$6:$G$163,"")</f>
        <v>3.76</v>
      </c>
      <c r="AC37" s="2" cm="1">
        <f t="array" ref="AC37">_xlfn.XLOOKUP(1,('IRSAP Original'!$A$6:$A$163=AC$2)*('IRSAP Original'!$C$6:$C$163=$B5),'IRSAP Original'!$G$6:$G$163,"")</f>
        <v>4.25</v>
      </c>
      <c r="AD37" s="2"/>
      <c r="AE37" s="2"/>
      <c r="AF37" s="2"/>
      <c r="AG37" s="2"/>
      <c r="AH37" s="2"/>
    </row>
    <row r="38" spans="1:35" x14ac:dyDescent="0.2">
      <c r="B38" s="2">
        <f>B6</f>
        <v>177</v>
      </c>
      <c r="C38" s="2" cm="1">
        <f t="array" ref="C38">_xlfn.XLOOKUP(1,('IRSAP Original'!$A$6:$A$163=C$2)*('IRSAP Original'!$C$6:$C$163=$B6),'IRSAP Original'!$G$6:$G$163,"")</f>
        <v>0.73</v>
      </c>
      <c r="D38" s="2" cm="1">
        <f t="array" ref="D38">_xlfn.XLOOKUP(1,('IRSAP Original'!$A$6:$A$163=D$2)*('IRSAP Original'!$C$6:$C$163=$B6),'IRSAP Original'!$G$6:$G$163,"")</f>
        <v>0.95</v>
      </c>
      <c r="E38" s="2" cm="1">
        <f t="array" ref="E38">_xlfn.XLOOKUP(1,('IRSAP Original'!$A$6:$A$163=E$2)*('IRSAP Original'!$C$6:$C$163=$B6),'IRSAP Original'!$G$6:$G$163,"")</f>
        <v>1.05</v>
      </c>
      <c r="F38" s="2" cm="1">
        <f t="array" ref="F38">_xlfn.XLOOKUP(1,('IRSAP Original'!$A$6:$A$163=F$2)*('IRSAP Original'!$C$6:$C$163=$B6),'IRSAP Original'!$G$6:$G$163,"")</f>
        <v>1.08</v>
      </c>
      <c r="G38" s="2" cm="1">
        <f t="array" ref="G38">_xlfn.XLOOKUP(1,('IRSAP Original'!$A$6:$A$163=G$2)*('IRSAP Original'!$C$6:$C$163=$B6),'IRSAP Original'!$G$6:$G$163,"")</f>
        <v>1.1599999999999999</v>
      </c>
      <c r="H38" s="2" cm="1">
        <f t="array" ref="H38">_xlfn.XLOOKUP(1,('IRSAP Original'!$A$6:$A$163=H$2)*('IRSAP Original'!$C$6:$C$163=$B6),'IRSAP Original'!$G$6:$G$163,"")</f>
        <v>1.26</v>
      </c>
      <c r="I38" s="2" cm="1">
        <f t="array" ref="I38">_xlfn.XLOOKUP(1,('IRSAP Original'!$A$6:$A$163=I$2)*('IRSAP Original'!$C$6:$C$163=$B6),'IRSAP Original'!$G$6:$G$163,"")</f>
        <v>1.36</v>
      </c>
      <c r="J38" s="2" cm="1">
        <f t="array" ref="J38">_xlfn.XLOOKUP(1,('IRSAP Original'!$A$6:$A$163=J$2)*('IRSAP Original'!$C$6:$C$163=$B6),'IRSAP Original'!$G$6:$G$163,"")</f>
        <v>1.44</v>
      </c>
      <c r="K38" s="2" cm="1">
        <f t="array" ref="K38">_xlfn.XLOOKUP(1,('IRSAP Original'!$A$6:$A$163=K$2)*('IRSAP Original'!$C$6:$C$163=$B6),'IRSAP Original'!$G$6:$G$163,"")</f>
        <v>1.47</v>
      </c>
      <c r="L38" s="2" cm="1">
        <f t="array" ref="L38">_xlfn.XLOOKUP(1,('IRSAP Original'!$A$6:$A$163=L$2)*('IRSAP Original'!$C$6:$C$163=$B6),'IRSAP Original'!$G$6:$G$163,"")</f>
        <v>1.5</v>
      </c>
      <c r="M38" s="2" cm="1">
        <f t="array" ref="M38">_xlfn.XLOOKUP(1,('IRSAP Original'!$A$6:$A$163=M$2)*('IRSAP Original'!$C$6:$C$163=$B6),'IRSAP Original'!$G$6:$G$163,"")</f>
        <v>1.57</v>
      </c>
      <c r="N38" s="2" cm="1">
        <f t="array" ref="N38">_xlfn.XLOOKUP(1,('IRSAP Original'!$A$6:$A$163=N$2)*('IRSAP Original'!$C$6:$C$163=$B6),'IRSAP Original'!$G$6:$G$163,"")</f>
        <v>1.68</v>
      </c>
      <c r="O38" s="2" cm="1">
        <f t="array" ref="O38">_xlfn.XLOOKUP(1,('IRSAP Original'!$A$6:$A$163=O$2)*('IRSAP Original'!$C$6:$C$163=$B6),'IRSAP Original'!$G$6:$G$163,"")</f>
        <v>1.71</v>
      </c>
      <c r="P38" s="2" cm="1">
        <f t="array" ref="P38">_xlfn.XLOOKUP(1,('IRSAP Original'!$A$6:$A$163=P$2)*('IRSAP Original'!$C$6:$C$163=$B6),'IRSAP Original'!$G$6:$G$163,"")</f>
        <v>1.75</v>
      </c>
      <c r="Q38" s="2" cm="1">
        <f t="array" ref="Q38">_xlfn.XLOOKUP(1,('IRSAP Original'!$A$6:$A$163=Q$2)*('IRSAP Original'!$C$6:$C$163=$B6),'IRSAP Original'!$G$6:$G$163,"")</f>
        <v>1.88</v>
      </c>
      <c r="R38" s="2" cm="1">
        <f t="array" ref="R38">_xlfn.XLOOKUP(1,('IRSAP Original'!$A$6:$A$163=R$2)*('IRSAP Original'!$C$6:$C$163=$B6),'IRSAP Original'!$G$6:$G$163,"")</f>
        <v>1.92</v>
      </c>
      <c r="S38" s="2" cm="1">
        <f t="array" ref="S38">_xlfn.XLOOKUP(1,('IRSAP Original'!$A$6:$A$163=S$2)*('IRSAP Original'!$C$6:$C$163=$B6),'IRSAP Original'!$G$6:$G$163,"")</f>
        <v>2.02</v>
      </c>
      <c r="T38" s="2" cm="1">
        <f t="array" ref="T38">_xlfn.XLOOKUP(1,('IRSAP Original'!$A$6:$A$163=T$2)*('IRSAP Original'!$C$6:$C$163=$B6),'IRSAP Original'!$G$6:$G$163,"")</f>
        <v>2.12</v>
      </c>
      <c r="U38" s="2" cm="1">
        <f t="array" ref="U38">_xlfn.XLOOKUP(1,('IRSAP Original'!$A$6:$A$163=U$2)*('IRSAP Original'!$C$6:$C$163=$B6),'IRSAP Original'!$G$6:$G$163,"")</f>
        <v>2.16</v>
      </c>
      <c r="V38" s="2" cm="1">
        <f t="array" ref="V38">_xlfn.XLOOKUP(1,('IRSAP Original'!$A$6:$A$163=V$2)*('IRSAP Original'!$C$6:$C$163=$B6),'IRSAP Original'!$G$6:$G$163,"")</f>
        <v>2.2000000000000002</v>
      </c>
      <c r="W38" s="2" cm="1">
        <f t="array" ref="W38">_xlfn.XLOOKUP(1,('IRSAP Original'!$A$6:$A$163=W$2)*('IRSAP Original'!$C$6:$C$163=$B6),'IRSAP Original'!$G$6:$G$163,"")</f>
        <v>2.4</v>
      </c>
      <c r="X38" s="2" cm="1">
        <f t="array" ref="X38">_xlfn.XLOOKUP(1,('IRSAP Original'!$A$6:$A$163=X$2)*('IRSAP Original'!$C$6:$C$163=$B6),'IRSAP Original'!$G$6:$G$163,"")</f>
        <v>2.78</v>
      </c>
      <c r="Y38" s="2" cm="1">
        <f t="array" ref="Y38">_xlfn.XLOOKUP(1,('IRSAP Original'!$A$6:$A$163=Y$2)*('IRSAP Original'!$C$6:$C$163=$B6),'IRSAP Original'!$G$6:$G$163,"")</f>
        <v>3.4</v>
      </c>
      <c r="Z38" s="2" cm="1">
        <f t="array" ref="Z38">_xlfn.XLOOKUP(1,('IRSAP Original'!$A$6:$A$163=Z$2)*('IRSAP Original'!$C$6:$C$163=$B6),'IRSAP Original'!$G$6:$G$163,"")</f>
        <v>4.01</v>
      </c>
      <c r="AA38" s="2" cm="1">
        <f t="array" ref="AA38">_xlfn.XLOOKUP(1,('IRSAP Original'!$A$6:$A$163=AA$2)*('IRSAP Original'!$C$6:$C$163=$B6),'IRSAP Original'!$G$6:$G$163,"")</f>
        <v>4.42</v>
      </c>
      <c r="AB38" s="2" cm="1">
        <f t="array" ref="AB38">_xlfn.XLOOKUP(1,('IRSAP Original'!$A$6:$A$163=AB$2)*('IRSAP Original'!$C$6:$C$163=$B6),'IRSAP Original'!$G$6:$G$163,"")</f>
        <v>4.82</v>
      </c>
      <c r="AC38" s="2" cm="1">
        <f t="array" ref="AC38">_xlfn.XLOOKUP(1,('IRSAP Original'!$A$6:$A$163=AC$2)*('IRSAP Original'!$C$6:$C$163=$B6),'IRSAP Original'!$G$6:$G$163,"")</f>
        <v>5.44</v>
      </c>
      <c r="AD38" s="2"/>
      <c r="AE38" s="2"/>
      <c r="AF38" s="2"/>
      <c r="AG38" s="2"/>
      <c r="AH38" s="2"/>
    </row>
    <row r="39" spans="1:35" x14ac:dyDescent="0.2">
      <c r="B39" s="2">
        <f>B7</f>
        <v>215</v>
      </c>
      <c r="C39" s="2" cm="1">
        <f t="array" ref="C39">_xlfn.XLOOKUP(1,('IRSAP Original'!$A$6:$A$163=C$2)*('IRSAP Original'!$C$6:$C$163=$B7),'IRSAP Original'!$G$6:$G$163,"")</f>
        <v>0.86</v>
      </c>
      <c r="D39" s="2" cm="1">
        <f t="array" ref="D39">_xlfn.XLOOKUP(1,('IRSAP Original'!$A$6:$A$163=D$2)*('IRSAP Original'!$C$6:$C$163=$B7),'IRSAP Original'!$G$6:$G$163,"")</f>
        <v>1.1299999999999999</v>
      </c>
      <c r="E39" s="2" cm="1">
        <f t="array" ref="E39">_xlfn.XLOOKUP(1,('IRSAP Original'!$A$6:$A$163=E$2)*('IRSAP Original'!$C$6:$C$163=$B7),'IRSAP Original'!$G$6:$G$163,"")</f>
        <v>1.25</v>
      </c>
      <c r="F39" s="2" cm="1">
        <f t="array" ref="F39">_xlfn.XLOOKUP(1,('IRSAP Original'!$A$6:$A$163=F$2)*('IRSAP Original'!$C$6:$C$163=$B7),'IRSAP Original'!$G$6:$G$163,"")</f>
        <v>1.29</v>
      </c>
      <c r="G39" s="2" cm="1">
        <f t="array" ref="G39">_xlfn.XLOOKUP(1,('IRSAP Original'!$A$6:$A$163=G$2)*('IRSAP Original'!$C$6:$C$163=$B7),'IRSAP Original'!$G$6:$G$163,"")</f>
        <v>1.38</v>
      </c>
      <c r="H39" s="2" cm="1">
        <f t="array" ref="H39">_xlfn.XLOOKUP(1,('IRSAP Original'!$A$6:$A$163=H$2)*('IRSAP Original'!$C$6:$C$163=$B7),'IRSAP Original'!$G$6:$G$163,"")</f>
        <v>1.5</v>
      </c>
      <c r="I39" s="2" cm="1">
        <f t="array" ref="I39">_xlfn.XLOOKUP(1,('IRSAP Original'!$A$6:$A$163=I$2)*('IRSAP Original'!$C$6:$C$163=$B7),'IRSAP Original'!$G$6:$G$163,"")</f>
        <v>1.63</v>
      </c>
      <c r="J39" s="2" cm="1">
        <f t="array" ref="J39">_xlfn.XLOOKUP(1,('IRSAP Original'!$A$6:$A$163=J$2)*('IRSAP Original'!$C$6:$C$163=$B7),'IRSAP Original'!$G$6:$G$163,"")</f>
        <v>1.71</v>
      </c>
      <c r="K39" s="2" cm="1">
        <f t="array" ref="K39">_xlfn.XLOOKUP(1,('IRSAP Original'!$A$6:$A$163=K$2)*('IRSAP Original'!$C$6:$C$163=$B7),'IRSAP Original'!$G$6:$G$163,"")</f>
        <v>1.75</v>
      </c>
      <c r="L39" s="2" cm="1">
        <f t="array" ref="L39">_xlfn.XLOOKUP(1,('IRSAP Original'!$A$6:$A$163=L$2)*('IRSAP Original'!$C$6:$C$163=$B7),'IRSAP Original'!$G$6:$G$163,"")</f>
        <v>1.79</v>
      </c>
      <c r="M39" s="2" cm="1">
        <f t="array" ref="M39">_xlfn.XLOOKUP(1,('IRSAP Original'!$A$6:$A$163=M$2)*('IRSAP Original'!$C$6:$C$163=$B7),'IRSAP Original'!$G$6:$G$163,"")</f>
        <v>1.88</v>
      </c>
      <c r="N39" s="2" cm="1">
        <f t="array" ref="N39">_xlfn.XLOOKUP(1,('IRSAP Original'!$A$6:$A$163=N$2)*('IRSAP Original'!$C$6:$C$163=$B7),'IRSAP Original'!$G$6:$G$163,"")</f>
        <v>2</v>
      </c>
      <c r="O39" s="2" cm="1">
        <f t="array" ref="O39">_xlfn.XLOOKUP(1,('IRSAP Original'!$A$6:$A$163=O$2)*('IRSAP Original'!$C$6:$C$163=$B7),'IRSAP Original'!$G$6:$G$163,"")</f>
        <v>2.04</v>
      </c>
      <c r="P39" s="2" cm="1">
        <f t="array" ref="P39">_xlfn.XLOOKUP(1,('IRSAP Original'!$A$6:$A$163=P$2)*('IRSAP Original'!$C$6:$C$163=$B7),'IRSAP Original'!$G$6:$G$163,"")</f>
        <v>2.09</v>
      </c>
      <c r="Q39" s="2" cm="1">
        <f t="array" ref="Q39">_xlfn.XLOOKUP(1,('IRSAP Original'!$A$6:$A$163=Q$2)*('IRSAP Original'!$C$6:$C$163=$B7),'IRSAP Original'!$G$6:$G$163,"")</f>
        <v>2.25</v>
      </c>
      <c r="R39" s="2" cm="1">
        <f t="array" ref="R39">_xlfn.XLOOKUP(1,('IRSAP Original'!$A$6:$A$163=R$2)*('IRSAP Original'!$C$6:$C$163=$B7),'IRSAP Original'!$G$6:$G$163,"")</f>
        <v>2.29</v>
      </c>
      <c r="S39" s="2" cm="1">
        <f t="array" ref="S39">_xlfn.XLOOKUP(1,('IRSAP Original'!$A$6:$A$163=S$2)*('IRSAP Original'!$C$6:$C$163=$B7),'IRSAP Original'!$G$6:$G$163,"")</f>
        <v>2.41</v>
      </c>
      <c r="T39" s="2" cm="1">
        <f t="array" ref="T39">_xlfn.XLOOKUP(1,('IRSAP Original'!$A$6:$A$163=T$2)*('IRSAP Original'!$C$6:$C$163=$B7),'IRSAP Original'!$G$6:$G$163,"")</f>
        <v>2.54</v>
      </c>
      <c r="U39" s="2" cm="1">
        <f t="array" ref="U39">_xlfn.XLOOKUP(1,('IRSAP Original'!$A$6:$A$163=U$2)*('IRSAP Original'!$C$6:$C$163=$B7),'IRSAP Original'!$G$6:$G$163,"")</f>
        <v>2.59</v>
      </c>
      <c r="V39" s="2" cm="1">
        <f t="array" ref="V39">_xlfn.XLOOKUP(1,('IRSAP Original'!$A$6:$A$163=V$2)*('IRSAP Original'!$C$6:$C$163=$B7),'IRSAP Original'!$G$6:$G$163,"")</f>
        <v>2.62</v>
      </c>
      <c r="W39" s="2" cm="1">
        <f t="array" ref="W39">_xlfn.XLOOKUP(1,('IRSAP Original'!$A$6:$A$163=W$2)*('IRSAP Original'!$C$6:$C$163=$B7),'IRSAP Original'!$G$6:$G$163,"")</f>
        <v>2.87</v>
      </c>
      <c r="X39" s="2" cm="1">
        <f t="array" ref="X39">_xlfn.XLOOKUP(1,('IRSAP Original'!$A$6:$A$163=X$2)*('IRSAP Original'!$C$6:$C$163=$B7),'IRSAP Original'!$G$6:$G$163,"")</f>
        <v>3.33</v>
      </c>
      <c r="Y39" s="2" cm="1">
        <f t="array" ref="Y39">_xlfn.XLOOKUP(1,('IRSAP Original'!$A$6:$A$163=Y$2)*('IRSAP Original'!$C$6:$C$163=$B7),'IRSAP Original'!$G$6:$G$163,"")</f>
        <v>4.0599999999999996</v>
      </c>
      <c r="Z39" s="2" cm="1">
        <f t="array" ref="Z39">_xlfn.XLOOKUP(1,('IRSAP Original'!$A$6:$A$163=Z$2)*('IRSAP Original'!$C$6:$C$163=$B7),'IRSAP Original'!$G$6:$G$163,"")</f>
        <v>4.8</v>
      </c>
      <c r="AA39" s="2" cm="1">
        <f t="array" ref="AA39">_xlfn.XLOOKUP(1,('IRSAP Original'!$A$6:$A$163=AA$2)*('IRSAP Original'!$C$6:$C$163=$B7),'IRSAP Original'!$G$6:$G$163,"")</f>
        <v>5.29</v>
      </c>
      <c r="AB39" s="2" cm="1">
        <f t="array" ref="AB39">_xlfn.XLOOKUP(1,('IRSAP Original'!$A$6:$A$163=AB$2)*('IRSAP Original'!$C$6:$C$163=$B7),'IRSAP Original'!$G$6:$G$163,"")</f>
        <v>5.78</v>
      </c>
      <c r="AC39" s="2" cm="1">
        <f t="array" ref="AC39">_xlfn.XLOOKUP(1,('IRSAP Original'!$A$6:$A$163=AC$2)*('IRSAP Original'!$C$6:$C$163=$B7),'IRSAP Original'!$G$6:$G$163,"")</f>
        <v>6.51</v>
      </c>
      <c r="AD39" s="2"/>
      <c r="AE39" s="2"/>
      <c r="AF39" s="2"/>
      <c r="AG39" s="2"/>
      <c r="AH39" s="2"/>
    </row>
    <row r="40" spans="1:35" x14ac:dyDescent="0.2">
      <c r="M40"/>
      <c r="N40"/>
      <c r="O40"/>
      <c r="P40"/>
      <c r="Q40"/>
    </row>
    <row r="41" spans="1:35" ht="51.75" x14ac:dyDescent="0.25">
      <c r="A41" s="57" t="s">
        <v>157</v>
      </c>
      <c r="C41" s="4" t="s">
        <v>2</v>
      </c>
      <c r="M41"/>
      <c r="N41"/>
      <c r="O41"/>
      <c r="P41"/>
      <c r="Q41"/>
    </row>
    <row r="42" spans="1:35" x14ac:dyDescent="0.2">
      <c r="A42" s="57" t="s">
        <v>158</v>
      </c>
      <c r="C42" s="5">
        <f t="shared" ref="C42:AC42" si="4">C$2</f>
        <v>200</v>
      </c>
      <c r="D42" s="5">
        <f t="shared" si="4"/>
        <v>300</v>
      </c>
      <c r="E42" s="5">
        <f t="shared" si="4"/>
        <v>350</v>
      </c>
      <c r="F42" s="5">
        <f t="shared" si="4"/>
        <v>365</v>
      </c>
      <c r="G42" s="5">
        <f t="shared" si="4"/>
        <v>400</v>
      </c>
      <c r="H42" s="5">
        <f t="shared" si="4"/>
        <v>450</v>
      </c>
      <c r="I42" s="5">
        <f t="shared" si="4"/>
        <v>500</v>
      </c>
      <c r="J42" s="5">
        <f t="shared" si="4"/>
        <v>535</v>
      </c>
      <c r="K42" s="5">
        <f t="shared" si="4"/>
        <v>550</v>
      </c>
      <c r="L42" s="5">
        <f t="shared" si="4"/>
        <v>565</v>
      </c>
      <c r="M42" s="5">
        <f t="shared" si="4"/>
        <v>600</v>
      </c>
      <c r="N42" s="5">
        <f t="shared" si="4"/>
        <v>650</v>
      </c>
      <c r="O42" s="5">
        <f t="shared" si="4"/>
        <v>665</v>
      </c>
      <c r="P42" s="5">
        <f t="shared" si="4"/>
        <v>685</v>
      </c>
      <c r="Q42" s="5">
        <f t="shared" si="4"/>
        <v>750</v>
      </c>
      <c r="R42" s="5">
        <f t="shared" si="4"/>
        <v>765</v>
      </c>
      <c r="S42" s="5">
        <f t="shared" si="4"/>
        <v>815</v>
      </c>
      <c r="T42" s="5">
        <f t="shared" si="4"/>
        <v>865</v>
      </c>
      <c r="U42" s="5">
        <f t="shared" si="4"/>
        <v>885</v>
      </c>
      <c r="V42" s="5">
        <f t="shared" si="4"/>
        <v>900</v>
      </c>
      <c r="W42" s="5">
        <f t="shared" si="4"/>
        <v>1000</v>
      </c>
      <c r="X42" s="5">
        <f t="shared" si="4"/>
        <v>1200</v>
      </c>
      <c r="Y42" s="5">
        <f t="shared" si="4"/>
        <v>1500</v>
      </c>
      <c r="Z42" s="5">
        <f t="shared" si="4"/>
        <v>1800</v>
      </c>
      <c r="AA42" s="5">
        <f t="shared" si="4"/>
        <v>2000</v>
      </c>
      <c r="AB42" s="5">
        <f t="shared" si="4"/>
        <v>2200</v>
      </c>
      <c r="AC42" s="5">
        <f t="shared" si="4"/>
        <v>2500</v>
      </c>
      <c r="AD42" s="5"/>
      <c r="AE42" s="5"/>
      <c r="AF42" s="5"/>
      <c r="AG42" s="5"/>
      <c r="AH42" s="5"/>
    </row>
    <row r="43" spans="1:35" ht="13.5" x14ac:dyDescent="0.25">
      <c r="A43" s="4" t="s">
        <v>3</v>
      </c>
      <c r="B43" s="2">
        <f>B3</f>
        <v>65</v>
      </c>
      <c r="R43" s="2"/>
      <c r="S43" s="2"/>
      <c r="T43" s="2"/>
      <c r="U43" s="2"/>
      <c r="V43" s="2"/>
      <c r="W43" s="2"/>
      <c r="X43" s="2"/>
      <c r="Y43" s="2"/>
      <c r="Z43" s="2"/>
      <c r="AA43" s="2"/>
      <c r="AB43" s="2"/>
      <c r="AC43" s="2"/>
      <c r="AD43" s="2"/>
      <c r="AE43" s="2"/>
      <c r="AF43" s="2"/>
      <c r="AG43" s="2"/>
      <c r="AH43" s="2"/>
    </row>
    <row r="44" spans="1:35" ht="12.75" customHeight="1" x14ac:dyDescent="0.2">
      <c r="B44" s="2">
        <f>B4</f>
        <v>101</v>
      </c>
      <c r="R44" s="2"/>
      <c r="S44" s="2"/>
      <c r="T44" s="2"/>
      <c r="U44" s="2"/>
      <c r="V44" s="2"/>
      <c r="W44" s="2"/>
      <c r="X44" s="2"/>
      <c r="Y44" s="2"/>
      <c r="Z44" s="2"/>
      <c r="AA44" s="2"/>
      <c r="AB44" s="2"/>
      <c r="AC44" s="2"/>
      <c r="AD44" s="2"/>
      <c r="AE44" s="2"/>
      <c r="AF44" s="2"/>
      <c r="AG44" s="2"/>
      <c r="AH44" s="2"/>
    </row>
    <row r="45" spans="1:35" ht="12.75" customHeight="1" x14ac:dyDescent="0.2">
      <c r="B45" s="2">
        <f>B5</f>
        <v>139</v>
      </c>
      <c r="R45" s="2"/>
      <c r="S45" s="2"/>
      <c r="T45" s="2"/>
      <c r="U45" s="2"/>
      <c r="V45" s="2"/>
      <c r="W45" s="2"/>
      <c r="X45" s="2"/>
      <c r="Y45" s="2"/>
      <c r="Z45" s="2"/>
      <c r="AA45" s="2"/>
      <c r="AB45" s="2"/>
      <c r="AC45" s="2"/>
      <c r="AD45" s="2"/>
      <c r="AE45" s="2"/>
      <c r="AF45" s="2"/>
      <c r="AG45" s="2"/>
      <c r="AH45" s="2"/>
    </row>
    <row r="46" spans="1:35" x14ac:dyDescent="0.2">
      <c r="B46" s="2">
        <f>B6</f>
        <v>177</v>
      </c>
      <c r="R46" s="2"/>
      <c r="S46" s="2"/>
      <c r="T46" s="2"/>
      <c r="U46" s="2"/>
      <c r="V46" s="2"/>
      <c r="W46" s="2"/>
      <c r="X46" s="2"/>
      <c r="Y46" s="2"/>
      <c r="Z46" s="2"/>
      <c r="AA46" s="2"/>
      <c r="AB46" s="2"/>
      <c r="AC46" s="2"/>
      <c r="AD46" s="2"/>
      <c r="AE46" s="2"/>
      <c r="AF46" s="2"/>
      <c r="AG46" s="2"/>
      <c r="AH46" s="2"/>
    </row>
    <row r="47" spans="1:35" x14ac:dyDescent="0.2">
      <c r="B47" s="2">
        <f>B7</f>
        <v>215</v>
      </c>
      <c r="R47" s="2"/>
      <c r="S47" s="2"/>
      <c r="T47" s="2"/>
      <c r="U47" s="2"/>
      <c r="V47" s="2"/>
      <c r="W47" s="2"/>
      <c r="X47" s="2"/>
      <c r="Y47" s="2"/>
      <c r="Z47" s="2"/>
      <c r="AA47" s="2"/>
      <c r="AB47" s="2"/>
      <c r="AC47" s="2"/>
      <c r="AD47" s="2"/>
      <c r="AE47" s="2"/>
      <c r="AF47" s="2"/>
      <c r="AG47" s="2"/>
      <c r="AH47" s="2"/>
    </row>
    <row r="48" spans="1:35" x14ac:dyDescent="0.2">
      <c r="C48" s="8"/>
      <c r="D48" s="8"/>
      <c r="E48" s="8"/>
      <c r="F48" s="8"/>
      <c r="G48" s="8"/>
      <c r="H48" s="8"/>
      <c r="I48" s="8"/>
      <c r="J48" s="8"/>
      <c r="K48" s="8"/>
      <c r="L48" s="8"/>
      <c r="M48"/>
      <c r="N48"/>
      <c r="O48"/>
      <c r="P48"/>
      <c r="Q48"/>
    </row>
    <row r="49" spans="1:34" ht="26.25" x14ac:dyDescent="0.25">
      <c r="A49" s="57" t="s">
        <v>159</v>
      </c>
      <c r="C49" s="4" t="s">
        <v>2</v>
      </c>
      <c r="M49"/>
      <c r="N49"/>
      <c r="O49"/>
      <c r="P49"/>
      <c r="Q49"/>
    </row>
    <row r="50" spans="1:34" x14ac:dyDescent="0.2">
      <c r="A50" s="57" t="s">
        <v>160</v>
      </c>
      <c r="C50" s="5">
        <f t="shared" ref="C50:AC50" si="5">C$2</f>
        <v>200</v>
      </c>
      <c r="D50" s="5">
        <f t="shared" si="5"/>
        <v>300</v>
      </c>
      <c r="E50" s="5">
        <f t="shared" si="5"/>
        <v>350</v>
      </c>
      <c r="F50" s="5">
        <f t="shared" si="5"/>
        <v>365</v>
      </c>
      <c r="G50" s="5">
        <f t="shared" si="5"/>
        <v>400</v>
      </c>
      <c r="H50" s="5">
        <f t="shared" si="5"/>
        <v>450</v>
      </c>
      <c r="I50" s="5">
        <f t="shared" si="5"/>
        <v>500</v>
      </c>
      <c r="J50" s="5">
        <f t="shared" si="5"/>
        <v>535</v>
      </c>
      <c r="K50" s="5">
        <f t="shared" si="5"/>
        <v>550</v>
      </c>
      <c r="L50" s="5">
        <f t="shared" si="5"/>
        <v>565</v>
      </c>
      <c r="M50" s="5">
        <f t="shared" si="5"/>
        <v>600</v>
      </c>
      <c r="N50" s="5">
        <f t="shared" si="5"/>
        <v>650</v>
      </c>
      <c r="O50" s="5">
        <f t="shared" si="5"/>
        <v>665</v>
      </c>
      <c r="P50" s="5">
        <f t="shared" si="5"/>
        <v>685</v>
      </c>
      <c r="Q50" s="5">
        <f t="shared" si="5"/>
        <v>750</v>
      </c>
      <c r="R50" s="5">
        <f t="shared" si="5"/>
        <v>765</v>
      </c>
      <c r="S50" s="5">
        <f t="shared" si="5"/>
        <v>815</v>
      </c>
      <c r="T50" s="5">
        <f t="shared" si="5"/>
        <v>865</v>
      </c>
      <c r="U50" s="5">
        <f t="shared" si="5"/>
        <v>885</v>
      </c>
      <c r="V50" s="5">
        <f t="shared" si="5"/>
        <v>900</v>
      </c>
      <c r="W50" s="5">
        <f t="shared" si="5"/>
        <v>1000</v>
      </c>
      <c r="X50" s="5">
        <f t="shared" si="5"/>
        <v>1200</v>
      </c>
      <c r="Y50" s="5">
        <f t="shared" si="5"/>
        <v>1500</v>
      </c>
      <c r="Z50" s="5">
        <f t="shared" si="5"/>
        <v>1800</v>
      </c>
      <c r="AA50" s="5">
        <f t="shared" si="5"/>
        <v>2000</v>
      </c>
      <c r="AB50" s="5">
        <f t="shared" si="5"/>
        <v>2200</v>
      </c>
      <c r="AC50" s="5">
        <f t="shared" si="5"/>
        <v>2500</v>
      </c>
      <c r="AD50" s="5"/>
      <c r="AE50" s="5"/>
      <c r="AF50" s="5"/>
      <c r="AG50" s="5"/>
      <c r="AH50" s="5"/>
    </row>
    <row r="51" spans="1:34" ht="13.5" x14ac:dyDescent="0.25">
      <c r="A51" s="4" t="s">
        <v>3</v>
      </c>
      <c r="B51" s="2">
        <f>B3</f>
        <v>65</v>
      </c>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row>
    <row r="52" spans="1:34" x14ac:dyDescent="0.2">
      <c r="B52" s="2">
        <f>B4</f>
        <v>101</v>
      </c>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row>
    <row r="53" spans="1:34" x14ac:dyDescent="0.2">
      <c r="B53" s="2">
        <f>B5</f>
        <v>139</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row>
    <row r="54" spans="1:34" x14ac:dyDescent="0.2">
      <c r="B54" s="2">
        <f>B6</f>
        <v>177</v>
      </c>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row>
    <row r="55" spans="1:34" x14ac:dyDescent="0.2">
      <c r="B55" s="2">
        <f>B7</f>
        <v>215</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row>
    <row r="56" spans="1:34" x14ac:dyDescent="0.2">
      <c r="M56"/>
      <c r="N56"/>
      <c r="O56"/>
      <c r="P56"/>
      <c r="Q56"/>
    </row>
    <row r="57" spans="1:34" ht="39" x14ac:dyDescent="0.25">
      <c r="A57" s="57" t="s">
        <v>161</v>
      </c>
      <c r="C57" s="4" t="s">
        <v>2</v>
      </c>
      <c r="M57"/>
      <c r="N57"/>
      <c r="O57"/>
      <c r="P57"/>
      <c r="Q57"/>
    </row>
    <row r="58" spans="1:34" x14ac:dyDescent="0.2">
      <c r="A58" s="57" t="s">
        <v>158</v>
      </c>
      <c r="C58" s="5">
        <f t="shared" ref="C58:AC58" si="6">C$2</f>
        <v>200</v>
      </c>
      <c r="D58" s="5">
        <f t="shared" si="6"/>
        <v>300</v>
      </c>
      <c r="E58" s="5">
        <f t="shared" si="6"/>
        <v>350</v>
      </c>
      <c r="F58" s="5">
        <f t="shared" si="6"/>
        <v>365</v>
      </c>
      <c r="G58" s="5">
        <f t="shared" si="6"/>
        <v>400</v>
      </c>
      <c r="H58" s="5">
        <f t="shared" si="6"/>
        <v>450</v>
      </c>
      <c r="I58" s="5">
        <f t="shared" si="6"/>
        <v>500</v>
      </c>
      <c r="J58" s="5">
        <f t="shared" si="6"/>
        <v>535</v>
      </c>
      <c r="K58" s="5">
        <f t="shared" si="6"/>
        <v>550</v>
      </c>
      <c r="L58" s="5">
        <f t="shared" si="6"/>
        <v>565</v>
      </c>
      <c r="M58" s="5">
        <f t="shared" si="6"/>
        <v>600</v>
      </c>
      <c r="N58" s="5">
        <f t="shared" si="6"/>
        <v>650</v>
      </c>
      <c r="O58" s="5">
        <f t="shared" si="6"/>
        <v>665</v>
      </c>
      <c r="P58" s="5">
        <f t="shared" si="6"/>
        <v>685</v>
      </c>
      <c r="Q58" s="5">
        <f t="shared" si="6"/>
        <v>750</v>
      </c>
      <c r="R58" s="5">
        <f t="shared" si="6"/>
        <v>765</v>
      </c>
      <c r="S58" s="5">
        <f t="shared" si="6"/>
        <v>815</v>
      </c>
      <c r="T58" s="5">
        <f t="shared" si="6"/>
        <v>865</v>
      </c>
      <c r="U58" s="5">
        <f t="shared" si="6"/>
        <v>885</v>
      </c>
      <c r="V58" s="5">
        <f t="shared" si="6"/>
        <v>900</v>
      </c>
      <c r="W58" s="5">
        <f t="shared" si="6"/>
        <v>1000</v>
      </c>
      <c r="X58" s="5">
        <f t="shared" si="6"/>
        <v>1200</v>
      </c>
      <c r="Y58" s="5">
        <f t="shared" si="6"/>
        <v>1500</v>
      </c>
      <c r="Z58" s="5">
        <f t="shared" si="6"/>
        <v>1800</v>
      </c>
      <c r="AA58" s="5">
        <f t="shared" si="6"/>
        <v>2000</v>
      </c>
      <c r="AB58" s="5">
        <f t="shared" si="6"/>
        <v>2200</v>
      </c>
      <c r="AC58" s="5">
        <f t="shared" si="6"/>
        <v>2500</v>
      </c>
      <c r="AD58" s="5"/>
      <c r="AE58" s="5"/>
      <c r="AF58" s="5"/>
      <c r="AG58" s="5"/>
      <c r="AH58" s="5"/>
    </row>
    <row r="59" spans="1:34" ht="13.5" x14ac:dyDescent="0.25">
      <c r="A59" s="4" t="s">
        <v>3</v>
      </c>
      <c r="B59" s="2">
        <f>B3</f>
        <v>65</v>
      </c>
      <c r="R59" s="2"/>
      <c r="S59" s="2"/>
      <c r="T59" s="2"/>
      <c r="U59" s="2"/>
      <c r="V59" s="2"/>
      <c r="W59" s="2"/>
      <c r="X59" s="2"/>
      <c r="Y59" s="2"/>
      <c r="Z59" s="2"/>
      <c r="AA59" s="2"/>
      <c r="AB59" s="2"/>
      <c r="AC59" s="2"/>
      <c r="AD59" s="2"/>
      <c r="AE59" s="2"/>
      <c r="AF59" s="2"/>
      <c r="AG59" s="2"/>
      <c r="AH59" s="2"/>
    </row>
    <row r="60" spans="1:34" x14ac:dyDescent="0.2">
      <c r="B60" s="2">
        <f>B4</f>
        <v>101</v>
      </c>
      <c r="R60" s="2"/>
      <c r="S60" s="2"/>
      <c r="T60" s="2"/>
      <c r="U60" s="2"/>
      <c r="V60" s="2"/>
      <c r="W60" s="2"/>
      <c r="X60" s="2"/>
      <c r="Y60" s="2"/>
      <c r="Z60" s="2"/>
      <c r="AA60" s="2"/>
      <c r="AB60" s="2"/>
      <c r="AC60" s="2"/>
      <c r="AD60" s="2"/>
      <c r="AE60" s="2"/>
      <c r="AF60" s="2"/>
      <c r="AG60" s="2"/>
      <c r="AH60" s="2"/>
    </row>
    <row r="61" spans="1:34" x14ac:dyDescent="0.2">
      <c r="B61" s="2">
        <f>B5</f>
        <v>139</v>
      </c>
      <c r="R61" s="2"/>
      <c r="S61" s="2"/>
      <c r="T61" s="2"/>
      <c r="U61" s="2"/>
      <c r="V61" s="2"/>
      <c r="W61" s="2"/>
      <c r="X61" s="2"/>
      <c r="Y61" s="2"/>
      <c r="Z61" s="2"/>
      <c r="AA61" s="2"/>
      <c r="AB61" s="2"/>
      <c r="AC61" s="2"/>
      <c r="AD61" s="2"/>
      <c r="AE61" s="2"/>
      <c r="AF61" s="2"/>
      <c r="AG61" s="2"/>
      <c r="AH61" s="2"/>
    </row>
    <row r="62" spans="1:34" x14ac:dyDescent="0.2">
      <c r="B62" s="2">
        <f>B6</f>
        <v>177</v>
      </c>
      <c r="R62" s="2"/>
      <c r="S62" s="2"/>
      <c r="T62" s="2"/>
      <c r="U62" s="2"/>
      <c r="V62" s="2"/>
      <c r="W62" s="2"/>
      <c r="X62" s="2"/>
      <c r="Y62" s="2"/>
      <c r="Z62" s="2"/>
      <c r="AA62" s="2"/>
      <c r="AB62" s="2"/>
      <c r="AC62" s="2"/>
      <c r="AD62" s="2"/>
      <c r="AE62" s="2"/>
      <c r="AF62" s="2"/>
      <c r="AG62" s="2"/>
      <c r="AH62" s="2"/>
    </row>
    <row r="63" spans="1:34" x14ac:dyDescent="0.2">
      <c r="B63" s="2">
        <f>B7</f>
        <v>215</v>
      </c>
      <c r="R63" s="2"/>
      <c r="S63" s="2"/>
      <c r="T63" s="2"/>
      <c r="U63" s="2"/>
      <c r="V63" s="2"/>
      <c r="W63" s="2"/>
      <c r="X63" s="2"/>
      <c r="Y63" s="2"/>
      <c r="Z63" s="2"/>
      <c r="AA63" s="2"/>
      <c r="AB63" s="2"/>
      <c r="AC63" s="2"/>
      <c r="AD63" s="2"/>
      <c r="AE63" s="2"/>
      <c r="AF63" s="2"/>
      <c r="AG63" s="2"/>
      <c r="AH63" s="2"/>
    </row>
    <row r="64" spans="1:34" x14ac:dyDescent="0.2">
      <c r="C64" s="8"/>
      <c r="D64" s="8"/>
      <c r="E64" s="8"/>
      <c r="F64" s="8"/>
      <c r="G64" s="8"/>
      <c r="H64" s="8"/>
      <c r="I64" s="8"/>
      <c r="J64" s="8"/>
      <c r="K64" s="8"/>
      <c r="L64" s="8"/>
      <c r="M64"/>
      <c r="N64"/>
      <c r="O64"/>
      <c r="P64"/>
      <c r="Q64"/>
    </row>
    <row r="65" spans="1:34" ht="13.5" x14ac:dyDescent="0.25">
      <c r="A65" s="57" t="s">
        <v>162</v>
      </c>
      <c r="C65" s="4" t="s">
        <v>2</v>
      </c>
      <c r="M65"/>
      <c r="N65"/>
      <c r="O65"/>
      <c r="P65"/>
      <c r="Q65"/>
    </row>
    <row r="66" spans="1:34" x14ac:dyDescent="0.2">
      <c r="A66" s="57"/>
      <c r="C66" s="5">
        <f t="shared" ref="C66:AC66" si="7">C$2</f>
        <v>200</v>
      </c>
      <c r="D66" s="5">
        <f t="shared" si="7"/>
        <v>300</v>
      </c>
      <c r="E66" s="5">
        <f t="shared" si="7"/>
        <v>350</v>
      </c>
      <c r="F66" s="5">
        <f t="shared" si="7"/>
        <v>365</v>
      </c>
      <c r="G66" s="5">
        <f t="shared" si="7"/>
        <v>400</v>
      </c>
      <c r="H66" s="5">
        <f t="shared" si="7"/>
        <v>450</v>
      </c>
      <c r="I66" s="5">
        <f t="shared" si="7"/>
        <v>500</v>
      </c>
      <c r="J66" s="5">
        <f t="shared" si="7"/>
        <v>535</v>
      </c>
      <c r="K66" s="5">
        <f t="shared" si="7"/>
        <v>550</v>
      </c>
      <c r="L66" s="5">
        <f t="shared" si="7"/>
        <v>565</v>
      </c>
      <c r="M66" s="5">
        <f t="shared" si="7"/>
        <v>600</v>
      </c>
      <c r="N66" s="5">
        <f t="shared" si="7"/>
        <v>650</v>
      </c>
      <c r="O66" s="5">
        <f t="shared" si="7"/>
        <v>665</v>
      </c>
      <c r="P66" s="5">
        <f t="shared" si="7"/>
        <v>685</v>
      </c>
      <c r="Q66" s="5">
        <f t="shared" si="7"/>
        <v>750</v>
      </c>
      <c r="R66" s="5">
        <f t="shared" si="7"/>
        <v>765</v>
      </c>
      <c r="S66" s="5">
        <f t="shared" si="7"/>
        <v>815</v>
      </c>
      <c r="T66" s="5">
        <f t="shared" si="7"/>
        <v>865</v>
      </c>
      <c r="U66" s="5">
        <f t="shared" si="7"/>
        <v>885</v>
      </c>
      <c r="V66" s="5">
        <f t="shared" si="7"/>
        <v>900</v>
      </c>
      <c r="W66" s="5">
        <f t="shared" si="7"/>
        <v>1000</v>
      </c>
      <c r="X66" s="5">
        <f t="shared" si="7"/>
        <v>1200</v>
      </c>
      <c r="Y66" s="5">
        <f t="shared" si="7"/>
        <v>1500</v>
      </c>
      <c r="Z66" s="5">
        <f t="shared" si="7"/>
        <v>1800</v>
      </c>
      <c r="AA66" s="5">
        <f t="shared" si="7"/>
        <v>2000</v>
      </c>
      <c r="AB66" s="5">
        <f t="shared" si="7"/>
        <v>2200</v>
      </c>
      <c r="AC66" s="5">
        <f t="shared" si="7"/>
        <v>2500</v>
      </c>
      <c r="AD66" s="5"/>
      <c r="AE66" s="5"/>
      <c r="AF66" s="5"/>
      <c r="AG66" s="5"/>
      <c r="AH66" s="5"/>
    </row>
    <row r="67" spans="1:34" ht="13.5" x14ac:dyDescent="0.25">
      <c r="A67" s="4" t="s">
        <v>3</v>
      </c>
      <c r="B67" s="2">
        <f>B3</f>
        <v>65</v>
      </c>
      <c r="C67" s="2" t="str" cm="1">
        <f t="array" ref="C67">_xlfn.XLOOKUP(1,('IRSAP Original'!$A$6:$A$163=C$2)*('IRSAP Original'!$C$6:$C$163=$B3),'IRSAP Original'!$B$6:$B$163,"")</f>
        <v>RT 2 0200 YY 01 A4 02 N</v>
      </c>
      <c r="D67" s="2" t="str" cm="1">
        <f t="array" ref="D67">_xlfn.XLOOKUP(1,('IRSAP Original'!$A$6:$A$163=D$2)*('IRSAP Original'!$C$6:$C$163=$B3),'IRSAP Original'!$B$6:$B$163,"")</f>
        <v>RT 2 0300 YY 01 A4 02 N</v>
      </c>
      <c r="E67" s="2" t="str" cm="1">
        <f t="array" ref="E67">_xlfn.XLOOKUP(1,('IRSAP Original'!$A$6:$A$163=E$2)*('IRSAP Original'!$C$6:$C$163=$B3),'IRSAP Original'!$B$6:$B$163,"")</f>
        <v>RT 2 0350 YY 01 A4 02 N</v>
      </c>
      <c r="F67" s="2" t="str" cm="1">
        <f t="array" ref="F67">_xlfn.XLOOKUP(1,('IRSAP Original'!$A$6:$A$163=F$2)*('IRSAP Original'!$C$6:$C$163=$B3),'IRSAP Original'!$B$6:$B$163,"")</f>
        <v>RT 2 0365 YY 01 A4 02 N</v>
      </c>
      <c r="G67" s="2" t="str" cm="1">
        <f t="array" ref="G67">_xlfn.XLOOKUP(1,('IRSAP Original'!$A$6:$A$163=G$2)*('IRSAP Original'!$C$6:$C$163=$B3),'IRSAP Original'!$B$6:$B$163,"")</f>
        <v>RT 2 0400 YY 01 A4 02 N</v>
      </c>
      <c r="H67" s="2" t="str" cm="1">
        <f t="array" ref="H67">_xlfn.XLOOKUP(1,('IRSAP Original'!$A$6:$A$163=H$2)*('IRSAP Original'!$C$6:$C$163=$B3),'IRSAP Original'!$B$6:$B$163,"")</f>
        <v>RT 2 0450 YY 01 A4 02 N</v>
      </c>
      <c r="I67" s="2" t="str" cm="1">
        <f t="array" ref="I67">_xlfn.XLOOKUP(1,('IRSAP Original'!$A$6:$A$163=I$2)*('IRSAP Original'!$C$6:$C$163=$B3),'IRSAP Original'!$B$6:$B$163,"")</f>
        <v>RT 2 0500 YY 01 A4 02 N</v>
      </c>
      <c r="J67" s="2" t="str" cm="1">
        <f t="array" ref="J67">_xlfn.XLOOKUP(1,('IRSAP Original'!$A$6:$A$163=J$2)*('IRSAP Original'!$C$6:$C$163=$B3),'IRSAP Original'!$B$6:$B$163,"")</f>
        <v>RT 2 0535 YY 01 A4 02 N</v>
      </c>
      <c r="K67" s="2" t="str" cm="1">
        <f t="array" ref="K67">_xlfn.XLOOKUP(1,('IRSAP Original'!$A$6:$A$163=K$2)*('IRSAP Original'!$C$6:$C$163=$B3),'IRSAP Original'!$B$6:$B$163,"")</f>
        <v>RT 2 0550 YY 01 A4 02 N</v>
      </c>
      <c r="L67" s="2" t="str" cm="1">
        <f t="array" ref="L67">_xlfn.XLOOKUP(1,('IRSAP Original'!$A$6:$A$163=L$2)*('IRSAP Original'!$C$6:$C$163=$B3),'IRSAP Original'!$B$6:$B$163,"")</f>
        <v>RT 2 0565 YY 01 A4 02 N</v>
      </c>
      <c r="M67" s="2" t="str" cm="1">
        <f t="array" ref="M67">_xlfn.XLOOKUP(1,('IRSAP Original'!$A$6:$A$163=M$2)*('IRSAP Original'!$C$6:$C$163=$B3),'IRSAP Original'!$B$6:$B$163,"")</f>
        <v>RT 2 0600 YY 01 A4 02 N</v>
      </c>
      <c r="N67" s="2" t="str" cm="1">
        <f t="array" ref="N67">_xlfn.XLOOKUP(1,('IRSAP Original'!$A$6:$A$163=N$2)*('IRSAP Original'!$C$6:$C$163=$B3),'IRSAP Original'!$B$6:$B$163,"")</f>
        <v>RT 2 0650 YY 01 A4 02 N</v>
      </c>
      <c r="O67" s="2" t="str" cm="1">
        <f t="array" ref="O67">_xlfn.XLOOKUP(1,('IRSAP Original'!$A$6:$A$163=O$2)*('IRSAP Original'!$C$6:$C$163=$B3),'IRSAP Original'!$B$6:$B$163,"")</f>
        <v>RT 2 0665 YY 01 A4 02 N</v>
      </c>
      <c r="P67" s="2" t="str" cm="1">
        <f t="array" ref="P67">_xlfn.XLOOKUP(1,('IRSAP Original'!$A$6:$A$163=P$2)*('IRSAP Original'!$C$6:$C$163=$B3),'IRSAP Original'!$B$6:$B$163,"")</f>
        <v>RT 2 0685 YY 01 A4 02 N</v>
      </c>
      <c r="Q67" s="2" t="str" cm="1">
        <f t="array" ref="Q67">_xlfn.XLOOKUP(1,('IRSAP Original'!$A$6:$A$163=Q$2)*('IRSAP Original'!$C$6:$C$163=$B3),'IRSAP Original'!$B$6:$B$163,"")</f>
        <v>RT 2 0750 YY 01 A4 02 N</v>
      </c>
      <c r="R67" s="2" t="str" cm="1">
        <f t="array" ref="R67">_xlfn.XLOOKUP(1,('IRSAP Original'!$A$6:$A$163=R$2)*('IRSAP Original'!$C$6:$C$163=$B3),'IRSAP Original'!$B$6:$B$163,"")</f>
        <v>RT 2 0765 YY 01 A4 02 N</v>
      </c>
      <c r="S67" s="2" t="str" cm="1">
        <f t="array" ref="S67">_xlfn.XLOOKUP(1,('IRSAP Original'!$A$6:$A$163=S$2)*('IRSAP Original'!$C$6:$C$163=$B3),'IRSAP Original'!$B$6:$B$163,"")</f>
        <v>RT 2 0815 YY 01 A4 02 N</v>
      </c>
      <c r="T67" s="2" t="str" cm="1">
        <f t="array" ref="T67">_xlfn.XLOOKUP(1,('IRSAP Original'!$A$6:$A$163=T$2)*('IRSAP Original'!$C$6:$C$163=$B3),'IRSAP Original'!$B$6:$B$163,"")</f>
        <v>RT 2 0865 YY 01 A4 02 N</v>
      </c>
      <c r="U67" s="2" t="str" cm="1">
        <f t="array" ref="U67">_xlfn.XLOOKUP(1,('IRSAP Original'!$A$6:$A$163=U$2)*('IRSAP Original'!$C$6:$C$163=$B3),'IRSAP Original'!$B$6:$B$163,"")</f>
        <v>RT 2 0885 YY 01 A4 02 N</v>
      </c>
      <c r="V67" s="2" t="str" cm="1">
        <f t="array" ref="V67">_xlfn.XLOOKUP(1,('IRSAP Original'!$A$6:$A$163=V$2)*('IRSAP Original'!$C$6:$C$163=$B3),'IRSAP Original'!$B$6:$B$163,"")</f>
        <v>RT 2 0900 YY 01 A4 02 N</v>
      </c>
      <c r="W67" s="2" t="str" cm="1">
        <f t="array" ref="W67">_xlfn.XLOOKUP(1,('IRSAP Original'!$A$6:$A$163=W$2)*('IRSAP Original'!$C$6:$C$163=$B3),'IRSAP Original'!$B$6:$B$163,"")</f>
        <v>RT 2 1000 YY 01 A4 02 N</v>
      </c>
      <c r="X67" s="2" t="str" cm="1">
        <f t="array" ref="X67">_xlfn.XLOOKUP(1,('IRSAP Original'!$A$6:$A$163=X$2)*('IRSAP Original'!$C$6:$C$163=$B3),'IRSAP Original'!$B$6:$B$163,"")</f>
        <v>RT 2 1200 YY 01 A4 02 N</v>
      </c>
      <c r="Y67" s="2" t="str" cm="1">
        <f t="array" ref="Y67">_xlfn.XLOOKUP(1,('IRSAP Original'!$A$6:$A$163=Y$2)*('IRSAP Original'!$C$6:$C$163=$B3),'IRSAP Original'!$B$6:$B$163,"")</f>
        <v>RT 2 1500 YY 01 A4 02 N</v>
      </c>
      <c r="Z67" s="2" t="str" cm="1">
        <f t="array" ref="Z67">_xlfn.XLOOKUP(1,('IRSAP Original'!$A$6:$A$163=Z$2)*('IRSAP Original'!$C$6:$C$163=$B3),'IRSAP Original'!$B$6:$B$163,"")</f>
        <v>RT 2 1800 YY 01 A4 02 N</v>
      </c>
      <c r="AA67" s="2" t="str" cm="1">
        <f t="array" ref="AA67">_xlfn.XLOOKUP(1,('IRSAP Original'!$A$6:$A$163=AA$2)*('IRSAP Original'!$C$6:$C$163=$B3),'IRSAP Original'!$B$6:$B$163,"")</f>
        <v>RT 2 2000 YY 01 A4 02 N</v>
      </c>
      <c r="AB67" s="2" t="str" cm="1">
        <f t="array" ref="AB67">_xlfn.XLOOKUP(1,('IRSAP Original'!$A$6:$A$163=AB$2)*('IRSAP Original'!$C$6:$C$163=$B3),'IRSAP Original'!$B$6:$B$163,"")</f>
        <v>RT 2 2200 YY 01 A4 02 N</v>
      </c>
      <c r="AC67" s="2" t="str" cm="1">
        <f t="array" ref="AC67">_xlfn.XLOOKUP(1,('IRSAP Original'!$A$6:$A$163=AC$2)*('IRSAP Original'!$C$6:$C$163=$B3),'IRSAP Original'!$B$6:$B$163,"")</f>
        <v>RT 2 2500 YY 01 A4 02 N</v>
      </c>
      <c r="AD67" s="2"/>
      <c r="AE67" s="2"/>
      <c r="AF67" s="2"/>
      <c r="AG67" s="2"/>
      <c r="AH67" s="2"/>
    </row>
    <row r="68" spans="1:34" x14ac:dyDescent="0.2">
      <c r="B68" s="2">
        <f>B4</f>
        <v>101</v>
      </c>
      <c r="C68" s="2" t="str" cm="1">
        <f t="array" ref="C68">_xlfn.XLOOKUP(1,('IRSAP Original'!$A$6:$A$163=C$2)*('IRSAP Original'!$C$6:$C$163=$B4),'IRSAP Original'!$B$6:$B$163,"")</f>
        <v>RT 3 0200 YY 01 A4 02 N</v>
      </c>
      <c r="D68" s="2" t="str" cm="1">
        <f t="array" ref="D68">_xlfn.XLOOKUP(1,('IRSAP Original'!$A$6:$A$163=D$2)*('IRSAP Original'!$C$6:$C$163=$B4),'IRSAP Original'!$B$6:$B$163,"")</f>
        <v>RT 3 0300 YY 01 A4 02 N</v>
      </c>
      <c r="E68" s="2" t="str" cm="1">
        <f t="array" ref="E68">_xlfn.XLOOKUP(1,('IRSAP Original'!$A$6:$A$163=E$2)*('IRSAP Original'!$C$6:$C$163=$B4),'IRSAP Original'!$B$6:$B$163,"")</f>
        <v>RT 3 0350 YY 01 A4 02 N</v>
      </c>
      <c r="F68" s="2" t="str" cm="1">
        <f t="array" ref="F68">_xlfn.XLOOKUP(1,('IRSAP Original'!$A$6:$A$163=F$2)*('IRSAP Original'!$C$6:$C$163=$B4),'IRSAP Original'!$B$6:$B$163,"")</f>
        <v>RT 3 0365 YY 01 A4 02 N</v>
      </c>
      <c r="G68" s="2" t="str" cm="1">
        <f t="array" ref="G68">_xlfn.XLOOKUP(1,('IRSAP Original'!$A$6:$A$163=G$2)*('IRSAP Original'!$C$6:$C$163=$B4),'IRSAP Original'!$B$6:$B$163,"")</f>
        <v>RT 3 0400 YY 01 A4 02 N</v>
      </c>
      <c r="H68" s="2" t="str" cm="1">
        <f t="array" ref="H68">_xlfn.XLOOKUP(1,('IRSAP Original'!$A$6:$A$163=H$2)*('IRSAP Original'!$C$6:$C$163=$B4),'IRSAP Original'!$B$6:$B$163,"")</f>
        <v>RT 3 0450 YY 01 A4 02 N</v>
      </c>
      <c r="I68" s="2" t="str" cm="1">
        <f t="array" ref="I68">_xlfn.XLOOKUP(1,('IRSAP Original'!$A$6:$A$163=I$2)*('IRSAP Original'!$C$6:$C$163=$B4),'IRSAP Original'!$B$6:$B$163,"")</f>
        <v>RT 3 0500 YY 01 A4 02 N</v>
      </c>
      <c r="J68" s="2" t="str" cm="1">
        <f t="array" ref="J68">_xlfn.XLOOKUP(1,('IRSAP Original'!$A$6:$A$163=J$2)*('IRSAP Original'!$C$6:$C$163=$B4),'IRSAP Original'!$B$6:$B$163,"")</f>
        <v>RT 3 0535 YY 01 A4 02 N</v>
      </c>
      <c r="K68" s="2" t="str" cm="1">
        <f t="array" ref="K68">_xlfn.XLOOKUP(1,('IRSAP Original'!$A$6:$A$163=K$2)*('IRSAP Original'!$C$6:$C$163=$B4),'IRSAP Original'!$B$6:$B$163,"")</f>
        <v>RT 3 0550 YY 01 A4 02 N</v>
      </c>
      <c r="L68" s="2" t="str" cm="1">
        <f t="array" ref="L68">_xlfn.XLOOKUP(1,('IRSAP Original'!$A$6:$A$163=L$2)*('IRSAP Original'!$C$6:$C$163=$B4),'IRSAP Original'!$B$6:$B$163,"")</f>
        <v>RT 3 0565 YY 01 A4 02 N</v>
      </c>
      <c r="M68" s="2" t="str" cm="1">
        <f t="array" ref="M68">_xlfn.XLOOKUP(1,('IRSAP Original'!$A$6:$A$163=M$2)*('IRSAP Original'!$C$6:$C$163=$B4),'IRSAP Original'!$B$6:$B$163,"")</f>
        <v>RT 3 0600 YY 01 A4 02 N</v>
      </c>
      <c r="N68" s="2" t="str" cm="1">
        <f t="array" ref="N68">_xlfn.XLOOKUP(1,('IRSAP Original'!$A$6:$A$163=N$2)*('IRSAP Original'!$C$6:$C$163=$B4),'IRSAP Original'!$B$6:$B$163,"")</f>
        <v>RT 3 0650 YY 01 A4 02 N</v>
      </c>
      <c r="O68" s="2" t="str" cm="1">
        <f t="array" ref="O68">_xlfn.XLOOKUP(1,('IRSAP Original'!$A$6:$A$163=O$2)*('IRSAP Original'!$C$6:$C$163=$B4),'IRSAP Original'!$B$6:$B$163,"")</f>
        <v>RT 3 0665 YY 01 A4 02 N</v>
      </c>
      <c r="P68" s="2" t="str" cm="1">
        <f t="array" ref="P68">_xlfn.XLOOKUP(1,('IRSAP Original'!$A$6:$A$163=P$2)*('IRSAP Original'!$C$6:$C$163=$B4),'IRSAP Original'!$B$6:$B$163,"")</f>
        <v>RT 3 0685 YY 01 A4 02 N</v>
      </c>
      <c r="Q68" s="2" t="str" cm="1">
        <f t="array" ref="Q68">_xlfn.XLOOKUP(1,('IRSAP Original'!$A$6:$A$163=Q$2)*('IRSAP Original'!$C$6:$C$163=$B4),'IRSAP Original'!$B$6:$B$163,"")</f>
        <v>RT 3 0750 YY 01 A4 02 N</v>
      </c>
      <c r="R68" s="2" t="str" cm="1">
        <f t="array" ref="R68">_xlfn.XLOOKUP(1,('IRSAP Original'!$A$6:$A$163=R$2)*('IRSAP Original'!$C$6:$C$163=$B4),'IRSAP Original'!$B$6:$B$163,"")</f>
        <v>RT 3 0765 YY 01 A4 02 N</v>
      </c>
      <c r="S68" s="2" t="str" cm="1">
        <f t="array" ref="S68">_xlfn.XLOOKUP(1,('IRSAP Original'!$A$6:$A$163=S$2)*('IRSAP Original'!$C$6:$C$163=$B4),'IRSAP Original'!$B$6:$B$163,"")</f>
        <v>RT 3 0815 YY 01 A4 02 N</v>
      </c>
      <c r="T68" s="2" t="str" cm="1">
        <f t="array" ref="T68">_xlfn.XLOOKUP(1,('IRSAP Original'!$A$6:$A$163=T$2)*('IRSAP Original'!$C$6:$C$163=$B4),'IRSAP Original'!$B$6:$B$163,"")</f>
        <v>RT 3 0865 YY 01 A4 02 N</v>
      </c>
      <c r="U68" s="2" t="str" cm="1">
        <f t="array" ref="U68">_xlfn.XLOOKUP(1,('IRSAP Original'!$A$6:$A$163=U$2)*('IRSAP Original'!$C$6:$C$163=$B4),'IRSAP Original'!$B$6:$B$163,"")</f>
        <v>RT 3 0885 YY 01 A4 02 N</v>
      </c>
      <c r="V68" s="2" t="str" cm="1">
        <f t="array" ref="V68">_xlfn.XLOOKUP(1,('IRSAP Original'!$A$6:$A$163=V$2)*('IRSAP Original'!$C$6:$C$163=$B4),'IRSAP Original'!$B$6:$B$163,"")</f>
        <v>RT 3 0900 YY 01 A4 02 N</v>
      </c>
      <c r="W68" s="2" t="str" cm="1">
        <f t="array" ref="W68">_xlfn.XLOOKUP(1,('IRSAP Original'!$A$6:$A$163=W$2)*('IRSAP Original'!$C$6:$C$163=$B4),'IRSAP Original'!$B$6:$B$163,"")</f>
        <v>RT 3 1000 YY 01 A4 02 N</v>
      </c>
      <c r="X68" s="2" t="str" cm="1">
        <f t="array" ref="X68">_xlfn.XLOOKUP(1,('IRSAP Original'!$A$6:$A$163=X$2)*('IRSAP Original'!$C$6:$C$163=$B4),'IRSAP Original'!$B$6:$B$163,"")</f>
        <v>RT 3 1200 YY 01 A4 02 N</v>
      </c>
      <c r="Y68" s="2" t="str" cm="1">
        <f t="array" ref="Y68">_xlfn.XLOOKUP(1,('IRSAP Original'!$A$6:$A$163=Y$2)*('IRSAP Original'!$C$6:$C$163=$B4),'IRSAP Original'!$B$6:$B$163,"")</f>
        <v>RT 3 1500 YY 01 A4 02 N</v>
      </c>
      <c r="Z68" s="2" t="str" cm="1">
        <f t="array" ref="Z68">_xlfn.XLOOKUP(1,('IRSAP Original'!$A$6:$A$163=Z$2)*('IRSAP Original'!$C$6:$C$163=$B4),'IRSAP Original'!$B$6:$B$163,"")</f>
        <v>RT 3 1800 YY 01 A4 02 N</v>
      </c>
      <c r="AA68" s="2" t="str" cm="1">
        <f t="array" ref="AA68">_xlfn.XLOOKUP(1,('IRSAP Original'!$A$6:$A$163=AA$2)*('IRSAP Original'!$C$6:$C$163=$B4),'IRSAP Original'!$B$6:$B$163,"")</f>
        <v>RT 3 2000 YY 01 A4 02 N</v>
      </c>
      <c r="AB68" s="2" t="str" cm="1">
        <f t="array" ref="AB68">_xlfn.XLOOKUP(1,('IRSAP Original'!$A$6:$A$163=AB$2)*('IRSAP Original'!$C$6:$C$163=$B4),'IRSAP Original'!$B$6:$B$163,"")</f>
        <v>RT 3 2200 YY 01 A4 02 N</v>
      </c>
      <c r="AC68" s="2" t="str" cm="1">
        <f t="array" ref="AC68">_xlfn.XLOOKUP(1,('IRSAP Original'!$A$6:$A$163=AC$2)*('IRSAP Original'!$C$6:$C$163=$B4),'IRSAP Original'!$B$6:$B$163,"")</f>
        <v>RT 3 2500 YY 01 A4 02 N</v>
      </c>
      <c r="AD68" s="2"/>
      <c r="AE68" s="2"/>
      <c r="AF68" s="2"/>
      <c r="AG68" s="2"/>
      <c r="AH68" s="2"/>
    </row>
    <row r="69" spans="1:34" x14ac:dyDescent="0.2">
      <c r="B69" s="2">
        <f>B5</f>
        <v>139</v>
      </c>
      <c r="C69" s="2" t="str" cm="1">
        <f t="array" ref="C69">_xlfn.XLOOKUP(1,('IRSAP Original'!$A$6:$A$163=C$2)*('IRSAP Original'!$C$6:$C$163=$B5),'IRSAP Original'!$B$6:$B$163,"")</f>
        <v>RT 4 0200 YY 01 A4 02 N</v>
      </c>
      <c r="D69" s="2" t="str" cm="1">
        <f t="array" ref="D69">_xlfn.XLOOKUP(1,('IRSAP Original'!$A$6:$A$163=D$2)*('IRSAP Original'!$C$6:$C$163=$B5),'IRSAP Original'!$B$6:$B$163,"")</f>
        <v>RT 4 0300 YY 01 A4 02 N</v>
      </c>
      <c r="E69" s="2" t="str" cm="1">
        <f t="array" ref="E69">_xlfn.XLOOKUP(1,('IRSAP Original'!$A$6:$A$163=E$2)*('IRSAP Original'!$C$6:$C$163=$B5),'IRSAP Original'!$B$6:$B$163,"")</f>
        <v>RT 4 0350 YY 01 A4 02 N</v>
      </c>
      <c r="F69" s="2" t="str" cm="1">
        <f t="array" ref="F69">_xlfn.XLOOKUP(1,('IRSAP Original'!$A$6:$A$163=F$2)*('IRSAP Original'!$C$6:$C$163=$B5),'IRSAP Original'!$B$6:$B$163,"")</f>
        <v>RT 4 0365 YY 01 A4 02 N</v>
      </c>
      <c r="G69" s="2" t="str" cm="1">
        <f t="array" ref="G69">_xlfn.XLOOKUP(1,('IRSAP Original'!$A$6:$A$163=G$2)*('IRSAP Original'!$C$6:$C$163=$B5),'IRSAP Original'!$B$6:$B$163,"")</f>
        <v>RT 4 0400 YY 01 A4 02 N</v>
      </c>
      <c r="H69" s="2" t="str" cm="1">
        <f t="array" ref="H69">_xlfn.XLOOKUP(1,('IRSAP Original'!$A$6:$A$163=H$2)*('IRSAP Original'!$C$6:$C$163=$B5),'IRSAP Original'!$B$6:$B$163,"")</f>
        <v>RT 4 0450 YY 01 A4 02 N</v>
      </c>
      <c r="I69" s="2" t="str" cm="1">
        <f t="array" ref="I69">_xlfn.XLOOKUP(1,('IRSAP Original'!$A$6:$A$163=I$2)*('IRSAP Original'!$C$6:$C$163=$B5),'IRSAP Original'!$B$6:$B$163,"")</f>
        <v>RT 4 0500 YY 01 A4 02 N</v>
      </c>
      <c r="J69" s="2" t="str" cm="1">
        <f t="array" ref="J69">_xlfn.XLOOKUP(1,('IRSAP Original'!$A$6:$A$163=J$2)*('IRSAP Original'!$C$6:$C$163=$B5),'IRSAP Original'!$B$6:$B$163,"")</f>
        <v>RT 4 0535 YY 01 A4 02 N</v>
      </c>
      <c r="K69" s="2" t="str" cm="1">
        <f t="array" ref="K69">_xlfn.XLOOKUP(1,('IRSAP Original'!$A$6:$A$163=K$2)*('IRSAP Original'!$C$6:$C$163=$B5),'IRSAP Original'!$B$6:$B$163,"")</f>
        <v>RT 4 0550 YY 01 A4 02 N</v>
      </c>
      <c r="L69" s="2" t="str" cm="1">
        <f t="array" ref="L69">_xlfn.XLOOKUP(1,('IRSAP Original'!$A$6:$A$163=L$2)*('IRSAP Original'!$C$6:$C$163=$B5),'IRSAP Original'!$B$6:$B$163,"")</f>
        <v>RT 4 0565 YY 01 A4 02 N</v>
      </c>
      <c r="M69" s="2" t="str" cm="1">
        <f t="array" ref="M69">_xlfn.XLOOKUP(1,('IRSAP Original'!$A$6:$A$163=M$2)*('IRSAP Original'!$C$6:$C$163=$B5),'IRSAP Original'!$B$6:$B$163,"")</f>
        <v>RT 4 0600 YY 01 A4 02 N</v>
      </c>
      <c r="N69" s="2" t="str" cm="1">
        <f t="array" ref="N69">_xlfn.XLOOKUP(1,('IRSAP Original'!$A$6:$A$163=N$2)*('IRSAP Original'!$C$6:$C$163=$B5),'IRSAP Original'!$B$6:$B$163,"")</f>
        <v>RT 4 0650 YY 01 A4 02 N</v>
      </c>
      <c r="O69" s="2" t="str" cm="1">
        <f t="array" ref="O69">_xlfn.XLOOKUP(1,('IRSAP Original'!$A$6:$A$163=O$2)*('IRSAP Original'!$C$6:$C$163=$B5),'IRSAP Original'!$B$6:$B$163,"")</f>
        <v>RT 4 0665 YY 01 A4 02 N</v>
      </c>
      <c r="P69" s="2" t="str" cm="1">
        <f t="array" ref="P69">_xlfn.XLOOKUP(1,('IRSAP Original'!$A$6:$A$163=P$2)*('IRSAP Original'!$C$6:$C$163=$B5),'IRSAP Original'!$B$6:$B$163,"")</f>
        <v>RT 4 0685 YY 01 A4 02 N</v>
      </c>
      <c r="Q69" s="2" t="str" cm="1">
        <f t="array" ref="Q69">_xlfn.XLOOKUP(1,('IRSAP Original'!$A$6:$A$163=Q$2)*('IRSAP Original'!$C$6:$C$163=$B5),'IRSAP Original'!$B$6:$B$163,"")</f>
        <v>RT 4 0750 YY 01 A4 02 N</v>
      </c>
      <c r="R69" s="2" t="str" cm="1">
        <f t="array" ref="R69">_xlfn.XLOOKUP(1,('IRSAP Original'!$A$6:$A$163=R$2)*('IRSAP Original'!$C$6:$C$163=$B5),'IRSAP Original'!$B$6:$B$163,"")</f>
        <v>RT 4 0765 YY 01 A4 02 N</v>
      </c>
      <c r="S69" s="2" t="str" cm="1">
        <f t="array" ref="S69">_xlfn.XLOOKUP(1,('IRSAP Original'!$A$6:$A$163=S$2)*('IRSAP Original'!$C$6:$C$163=$B5),'IRSAP Original'!$B$6:$B$163,"")</f>
        <v>RT 4 0815 YY 01 A4 02 N</v>
      </c>
      <c r="T69" s="2" t="str" cm="1">
        <f t="array" ref="T69">_xlfn.XLOOKUP(1,('IRSAP Original'!$A$6:$A$163=T$2)*('IRSAP Original'!$C$6:$C$163=$B5),'IRSAP Original'!$B$6:$B$163,"")</f>
        <v>RT 4 0865 YY 01 A4 02 N</v>
      </c>
      <c r="U69" s="2" t="str" cm="1">
        <f t="array" ref="U69">_xlfn.XLOOKUP(1,('IRSAP Original'!$A$6:$A$163=U$2)*('IRSAP Original'!$C$6:$C$163=$B5),'IRSAP Original'!$B$6:$B$163,"")</f>
        <v>RT 4 0885 YY 01 A4 02 N</v>
      </c>
      <c r="V69" s="2" t="str" cm="1">
        <f t="array" ref="V69">_xlfn.XLOOKUP(1,('IRSAP Original'!$A$6:$A$163=V$2)*('IRSAP Original'!$C$6:$C$163=$B5),'IRSAP Original'!$B$6:$B$163,"")</f>
        <v>RT 4 0900 YY 01 A4 02 N</v>
      </c>
      <c r="W69" s="2" t="str" cm="1">
        <f t="array" ref="W69">_xlfn.XLOOKUP(1,('IRSAP Original'!$A$6:$A$163=W$2)*('IRSAP Original'!$C$6:$C$163=$B5),'IRSAP Original'!$B$6:$B$163,"")</f>
        <v>RT 4 1000 YY 01 A4 02 N</v>
      </c>
      <c r="X69" s="2" t="str" cm="1">
        <f t="array" ref="X69">_xlfn.XLOOKUP(1,('IRSAP Original'!$A$6:$A$163=X$2)*('IRSAP Original'!$C$6:$C$163=$B5),'IRSAP Original'!$B$6:$B$163,"")</f>
        <v>RT 4 1200 YY 01 A4 02 N</v>
      </c>
      <c r="Y69" s="2" t="str" cm="1">
        <f t="array" ref="Y69">_xlfn.XLOOKUP(1,('IRSAP Original'!$A$6:$A$163=Y$2)*('IRSAP Original'!$C$6:$C$163=$B5),'IRSAP Original'!$B$6:$B$163,"")</f>
        <v>RT 4 1500 YY 01 A4 02 N</v>
      </c>
      <c r="Z69" s="2" t="str" cm="1">
        <f t="array" ref="Z69">_xlfn.XLOOKUP(1,('IRSAP Original'!$A$6:$A$163=Z$2)*('IRSAP Original'!$C$6:$C$163=$B5),'IRSAP Original'!$B$6:$B$163,"")</f>
        <v>RT 4 1800 YY 01 A4 02 N</v>
      </c>
      <c r="AA69" s="2" t="str" cm="1">
        <f t="array" ref="AA69">_xlfn.XLOOKUP(1,('IRSAP Original'!$A$6:$A$163=AA$2)*('IRSAP Original'!$C$6:$C$163=$B5),'IRSAP Original'!$B$6:$B$163,"")</f>
        <v>RT 4 2000 YY 01 A4 02 N</v>
      </c>
      <c r="AB69" s="2" t="str" cm="1">
        <f t="array" ref="AB69">_xlfn.XLOOKUP(1,('IRSAP Original'!$A$6:$A$163=AB$2)*('IRSAP Original'!$C$6:$C$163=$B5),'IRSAP Original'!$B$6:$B$163,"")</f>
        <v>RT 4 2200 YY 01 A4 02 N</v>
      </c>
      <c r="AC69" s="2" t="str" cm="1">
        <f t="array" ref="AC69">_xlfn.XLOOKUP(1,('IRSAP Original'!$A$6:$A$163=AC$2)*('IRSAP Original'!$C$6:$C$163=$B5),'IRSAP Original'!$B$6:$B$163,"")</f>
        <v>RT 4 2500 YY 01 A4 02 N</v>
      </c>
      <c r="AD69" s="2"/>
      <c r="AE69" s="2"/>
      <c r="AF69" s="2"/>
      <c r="AG69" s="2"/>
      <c r="AH69" s="2"/>
    </row>
    <row r="70" spans="1:34" x14ac:dyDescent="0.2">
      <c r="B70" s="2">
        <f>B6</f>
        <v>177</v>
      </c>
      <c r="C70" s="2" t="str" cm="1">
        <f t="array" ref="C70">_xlfn.XLOOKUP(1,('IRSAP Original'!$A$6:$A$163=C$2)*('IRSAP Original'!$C$6:$C$163=$B6),'IRSAP Original'!$B$6:$B$163,"")</f>
        <v>RT 5 0200 YY 01 A4 02 N</v>
      </c>
      <c r="D70" s="2" t="str" cm="1">
        <f t="array" ref="D70">_xlfn.XLOOKUP(1,('IRSAP Original'!$A$6:$A$163=D$2)*('IRSAP Original'!$C$6:$C$163=$B6),'IRSAP Original'!$B$6:$B$163,"")</f>
        <v>RT 5 0300 YY 01 A4 02 N</v>
      </c>
      <c r="E70" s="2" t="str" cm="1">
        <f t="array" ref="E70">_xlfn.XLOOKUP(1,('IRSAP Original'!$A$6:$A$163=E$2)*('IRSAP Original'!$C$6:$C$163=$B6),'IRSAP Original'!$B$6:$B$163,"")</f>
        <v>RT 5 0350 YY 01 A4 02 N</v>
      </c>
      <c r="F70" s="2" t="str" cm="1">
        <f t="array" ref="F70">_xlfn.XLOOKUP(1,('IRSAP Original'!$A$6:$A$163=F$2)*('IRSAP Original'!$C$6:$C$163=$B6),'IRSAP Original'!$B$6:$B$163,"")</f>
        <v>RT 5 0365 YY 01 A4 02 N</v>
      </c>
      <c r="G70" s="2" t="str" cm="1">
        <f t="array" ref="G70">_xlfn.XLOOKUP(1,('IRSAP Original'!$A$6:$A$163=G$2)*('IRSAP Original'!$C$6:$C$163=$B6),'IRSAP Original'!$B$6:$B$163,"")</f>
        <v>RT 5 0400 YY 01 A4 02 N</v>
      </c>
      <c r="H70" s="2" t="str" cm="1">
        <f t="array" ref="H70">_xlfn.XLOOKUP(1,('IRSAP Original'!$A$6:$A$163=H$2)*('IRSAP Original'!$C$6:$C$163=$B6),'IRSAP Original'!$B$6:$B$163,"")</f>
        <v>RT 5 0450 YY 01 A4 02 N</v>
      </c>
      <c r="I70" s="2" t="str" cm="1">
        <f t="array" ref="I70">_xlfn.XLOOKUP(1,('IRSAP Original'!$A$6:$A$163=I$2)*('IRSAP Original'!$C$6:$C$163=$B6),'IRSAP Original'!$B$6:$B$163,"")</f>
        <v>RT 5 0500 YY 01 A4 02 N</v>
      </c>
      <c r="J70" s="2" t="str" cm="1">
        <f t="array" ref="J70">_xlfn.XLOOKUP(1,('IRSAP Original'!$A$6:$A$163=J$2)*('IRSAP Original'!$C$6:$C$163=$B6),'IRSAP Original'!$B$6:$B$163,"")</f>
        <v>RT 5 0535 YY 01 A4 02 N</v>
      </c>
      <c r="K70" s="2" t="str" cm="1">
        <f t="array" ref="K70">_xlfn.XLOOKUP(1,('IRSAP Original'!$A$6:$A$163=K$2)*('IRSAP Original'!$C$6:$C$163=$B6),'IRSAP Original'!$B$6:$B$163,"")</f>
        <v>RT 5 0550 YY 01 A4 02 N</v>
      </c>
      <c r="L70" s="2" t="str" cm="1">
        <f t="array" ref="L70">_xlfn.XLOOKUP(1,('IRSAP Original'!$A$6:$A$163=L$2)*('IRSAP Original'!$C$6:$C$163=$B6),'IRSAP Original'!$B$6:$B$163,"")</f>
        <v>RT 5 0565 YY 01 A4 02 N</v>
      </c>
      <c r="M70" s="2" t="str" cm="1">
        <f t="array" ref="M70">_xlfn.XLOOKUP(1,('IRSAP Original'!$A$6:$A$163=M$2)*('IRSAP Original'!$C$6:$C$163=$B6),'IRSAP Original'!$B$6:$B$163,"")</f>
        <v>RT 5 0600 YY 01 A4 02 N</v>
      </c>
      <c r="N70" s="2" t="str" cm="1">
        <f t="array" ref="N70">_xlfn.XLOOKUP(1,('IRSAP Original'!$A$6:$A$163=N$2)*('IRSAP Original'!$C$6:$C$163=$B6),'IRSAP Original'!$B$6:$B$163,"")</f>
        <v>RT 5 0650 YY 01 A4 02 N</v>
      </c>
      <c r="O70" s="2" t="str" cm="1">
        <f t="array" ref="O70">_xlfn.XLOOKUP(1,('IRSAP Original'!$A$6:$A$163=O$2)*('IRSAP Original'!$C$6:$C$163=$B6),'IRSAP Original'!$B$6:$B$163,"")</f>
        <v>RT 5 0665 YY 01 A4 02 N</v>
      </c>
      <c r="P70" s="2" t="str" cm="1">
        <f t="array" ref="P70">_xlfn.XLOOKUP(1,('IRSAP Original'!$A$6:$A$163=P$2)*('IRSAP Original'!$C$6:$C$163=$B6),'IRSAP Original'!$B$6:$B$163,"")</f>
        <v>RT 5 0685 YY 01 A4 02 N</v>
      </c>
      <c r="Q70" s="2" t="str" cm="1">
        <f t="array" ref="Q70">_xlfn.XLOOKUP(1,('IRSAP Original'!$A$6:$A$163=Q$2)*('IRSAP Original'!$C$6:$C$163=$B6),'IRSAP Original'!$B$6:$B$163,"")</f>
        <v>RT 5 0750 YY 01 A4 02 N</v>
      </c>
      <c r="R70" s="2" t="str" cm="1">
        <f t="array" ref="R70">_xlfn.XLOOKUP(1,('IRSAP Original'!$A$6:$A$163=R$2)*('IRSAP Original'!$C$6:$C$163=$B6),'IRSAP Original'!$B$6:$B$163,"")</f>
        <v>RT 5 0765 YY 01 A4 02 N</v>
      </c>
      <c r="S70" s="2" t="str" cm="1">
        <f t="array" ref="S70">_xlfn.XLOOKUP(1,('IRSAP Original'!$A$6:$A$163=S$2)*('IRSAP Original'!$C$6:$C$163=$B6),'IRSAP Original'!$B$6:$B$163,"")</f>
        <v>RT 5 0815 YY 01 A4 02 N</v>
      </c>
      <c r="T70" s="2" t="str" cm="1">
        <f t="array" ref="T70">_xlfn.XLOOKUP(1,('IRSAP Original'!$A$6:$A$163=T$2)*('IRSAP Original'!$C$6:$C$163=$B6),'IRSAP Original'!$B$6:$B$163,"")</f>
        <v>RT 5 0865 YY 01 A4 02 N</v>
      </c>
      <c r="U70" s="2" t="str" cm="1">
        <f t="array" ref="U70">_xlfn.XLOOKUP(1,('IRSAP Original'!$A$6:$A$163=U$2)*('IRSAP Original'!$C$6:$C$163=$B6),'IRSAP Original'!$B$6:$B$163,"")</f>
        <v>RT 5 0885 YY 01 A4 02 N</v>
      </c>
      <c r="V70" s="2" t="str" cm="1">
        <f t="array" ref="V70">_xlfn.XLOOKUP(1,('IRSAP Original'!$A$6:$A$163=V$2)*('IRSAP Original'!$C$6:$C$163=$B6),'IRSAP Original'!$B$6:$B$163,"")</f>
        <v>RT 5 0900 YY 01 A4 02 N</v>
      </c>
      <c r="W70" s="2" t="str" cm="1">
        <f t="array" ref="W70">_xlfn.XLOOKUP(1,('IRSAP Original'!$A$6:$A$163=W$2)*('IRSAP Original'!$C$6:$C$163=$B6),'IRSAP Original'!$B$6:$B$163,"")</f>
        <v>RT 5 1000 YY 01 A4 02 N</v>
      </c>
      <c r="X70" s="2" t="str" cm="1">
        <f t="array" ref="X70">_xlfn.XLOOKUP(1,('IRSAP Original'!$A$6:$A$163=X$2)*('IRSAP Original'!$C$6:$C$163=$B6),'IRSAP Original'!$B$6:$B$163,"")</f>
        <v>RT 5 1200 YY 01 A4 02 N</v>
      </c>
      <c r="Y70" s="2" t="str" cm="1">
        <f t="array" ref="Y70">_xlfn.XLOOKUP(1,('IRSAP Original'!$A$6:$A$163=Y$2)*('IRSAP Original'!$C$6:$C$163=$B6),'IRSAP Original'!$B$6:$B$163,"")</f>
        <v>RT 5 1500 YY 01 A4 02 N</v>
      </c>
      <c r="Z70" s="2" t="str" cm="1">
        <f t="array" ref="Z70">_xlfn.XLOOKUP(1,('IRSAP Original'!$A$6:$A$163=Z$2)*('IRSAP Original'!$C$6:$C$163=$B6),'IRSAP Original'!$B$6:$B$163,"")</f>
        <v>RT 5 1800 YY 01 A4 02 N</v>
      </c>
      <c r="AA70" s="2" t="str" cm="1">
        <f t="array" ref="AA70">_xlfn.XLOOKUP(1,('IRSAP Original'!$A$6:$A$163=AA$2)*('IRSAP Original'!$C$6:$C$163=$B6),'IRSAP Original'!$B$6:$B$163,"")</f>
        <v>RT 5 2000 YY 01 A4 02 N</v>
      </c>
      <c r="AB70" s="2" t="str" cm="1">
        <f t="array" ref="AB70">_xlfn.XLOOKUP(1,('IRSAP Original'!$A$6:$A$163=AB$2)*('IRSAP Original'!$C$6:$C$163=$B6),'IRSAP Original'!$B$6:$B$163,"")</f>
        <v>RT 5 2200 YY 01 A4 02 N</v>
      </c>
      <c r="AC70" s="2" t="str" cm="1">
        <f t="array" ref="AC70">_xlfn.XLOOKUP(1,('IRSAP Original'!$A$6:$A$163=AC$2)*('IRSAP Original'!$C$6:$C$163=$B6),'IRSAP Original'!$B$6:$B$163,"")</f>
        <v>RT 5 2500 YY 01 A4 02 N</v>
      </c>
      <c r="AD70" s="2"/>
      <c r="AE70" s="2"/>
      <c r="AF70" s="2"/>
      <c r="AG70" s="2"/>
      <c r="AH70" s="2"/>
    </row>
    <row r="71" spans="1:34" x14ac:dyDescent="0.2">
      <c r="B71" s="2">
        <f>B7</f>
        <v>215</v>
      </c>
      <c r="C71" s="2" t="str" cm="1">
        <f t="array" ref="C71">_xlfn.XLOOKUP(1,('IRSAP Original'!$A$6:$A$163=C$2)*('IRSAP Original'!$C$6:$C$163=$B7),'IRSAP Original'!$B$6:$B$163,"")</f>
        <v>RT 6 0200 YY 01 A4 02 N</v>
      </c>
      <c r="D71" s="2" t="str" cm="1">
        <f t="array" ref="D71">_xlfn.XLOOKUP(1,('IRSAP Original'!$A$6:$A$163=D$2)*('IRSAP Original'!$C$6:$C$163=$B7),'IRSAP Original'!$B$6:$B$163,"")</f>
        <v>RT 6 0300 YY 01 A4 02 N</v>
      </c>
      <c r="E71" s="2" t="str" cm="1">
        <f t="array" ref="E71">_xlfn.XLOOKUP(1,('IRSAP Original'!$A$6:$A$163=E$2)*('IRSAP Original'!$C$6:$C$163=$B7),'IRSAP Original'!$B$6:$B$163,"")</f>
        <v>RT 6 0350 YY 01 A4 02 N</v>
      </c>
      <c r="F71" s="2" t="str" cm="1">
        <f t="array" ref="F71">_xlfn.XLOOKUP(1,('IRSAP Original'!$A$6:$A$163=F$2)*('IRSAP Original'!$C$6:$C$163=$B7),'IRSAP Original'!$B$6:$B$163,"")</f>
        <v>RT 6 0365 YY 01 A4 02 N</v>
      </c>
      <c r="G71" s="2" t="str" cm="1">
        <f t="array" ref="G71">_xlfn.XLOOKUP(1,('IRSAP Original'!$A$6:$A$163=G$2)*('IRSAP Original'!$C$6:$C$163=$B7),'IRSAP Original'!$B$6:$B$163,"")</f>
        <v>RT 6 0400 YY 01 A4 02 N</v>
      </c>
      <c r="H71" s="2" t="str" cm="1">
        <f t="array" ref="H71">_xlfn.XLOOKUP(1,('IRSAP Original'!$A$6:$A$163=H$2)*('IRSAP Original'!$C$6:$C$163=$B7),'IRSAP Original'!$B$6:$B$163,"")</f>
        <v>RT 6 0450 YY 01 A4 02 N</v>
      </c>
      <c r="I71" s="2" t="str" cm="1">
        <f t="array" ref="I71">_xlfn.XLOOKUP(1,('IRSAP Original'!$A$6:$A$163=I$2)*('IRSAP Original'!$C$6:$C$163=$B7),'IRSAP Original'!$B$6:$B$163,"")</f>
        <v>RT 6 0500 YY 01 A4 02 N</v>
      </c>
      <c r="J71" s="2" t="str" cm="1">
        <f t="array" ref="J71">_xlfn.XLOOKUP(1,('IRSAP Original'!$A$6:$A$163=J$2)*('IRSAP Original'!$C$6:$C$163=$B7),'IRSAP Original'!$B$6:$B$163,"")</f>
        <v>RT 6 0535 YY 01 A4 02 N</v>
      </c>
      <c r="K71" s="2" t="str" cm="1">
        <f t="array" ref="K71">_xlfn.XLOOKUP(1,('IRSAP Original'!$A$6:$A$163=K$2)*('IRSAP Original'!$C$6:$C$163=$B7),'IRSAP Original'!$B$6:$B$163,"")</f>
        <v>RT 6 0550 YY 01 A4 02 N</v>
      </c>
      <c r="L71" s="2" t="str" cm="1">
        <f t="array" ref="L71">_xlfn.XLOOKUP(1,('IRSAP Original'!$A$6:$A$163=L$2)*('IRSAP Original'!$C$6:$C$163=$B7),'IRSAP Original'!$B$6:$B$163,"")</f>
        <v>RT 6 0565 YY 01 A4 02 N</v>
      </c>
      <c r="M71" s="2" t="str" cm="1">
        <f t="array" ref="M71">_xlfn.XLOOKUP(1,('IRSAP Original'!$A$6:$A$163=M$2)*('IRSAP Original'!$C$6:$C$163=$B7),'IRSAP Original'!$B$6:$B$163,"")</f>
        <v>RT 6 0600 YY 01 A4 02 N</v>
      </c>
      <c r="N71" s="2" t="str" cm="1">
        <f t="array" ref="N71">_xlfn.XLOOKUP(1,('IRSAP Original'!$A$6:$A$163=N$2)*('IRSAP Original'!$C$6:$C$163=$B7),'IRSAP Original'!$B$6:$B$163,"")</f>
        <v>RT 6 0650 YY 01 A4 02 N</v>
      </c>
      <c r="O71" s="2" t="str" cm="1">
        <f t="array" ref="O71">_xlfn.XLOOKUP(1,('IRSAP Original'!$A$6:$A$163=O$2)*('IRSAP Original'!$C$6:$C$163=$B7),'IRSAP Original'!$B$6:$B$163,"")</f>
        <v>RT 6 0665 YY 01 A4 02 N</v>
      </c>
      <c r="P71" s="2" t="str" cm="1">
        <f t="array" ref="P71">_xlfn.XLOOKUP(1,('IRSAP Original'!$A$6:$A$163=P$2)*('IRSAP Original'!$C$6:$C$163=$B7),'IRSAP Original'!$B$6:$B$163,"")</f>
        <v>RT 6 0685 YY 01 A4 02 N</v>
      </c>
      <c r="Q71" s="2" t="str" cm="1">
        <f t="array" ref="Q71">_xlfn.XLOOKUP(1,('IRSAP Original'!$A$6:$A$163=Q$2)*('IRSAP Original'!$C$6:$C$163=$B7),'IRSAP Original'!$B$6:$B$163,"")</f>
        <v>RT 6 0750 YY 01 A4 02 N</v>
      </c>
      <c r="R71" s="2" t="str" cm="1">
        <f t="array" ref="R71">_xlfn.XLOOKUP(1,('IRSAP Original'!$A$6:$A$163=R$2)*('IRSAP Original'!$C$6:$C$163=$B7),'IRSAP Original'!$B$6:$B$163,"")</f>
        <v>RT 6 0765 YY 01 A4 02 N</v>
      </c>
      <c r="S71" s="2" t="str" cm="1">
        <f t="array" ref="S71">_xlfn.XLOOKUP(1,('IRSAP Original'!$A$6:$A$163=S$2)*('IRSAP Original'!$C$6:$C$163=$B7),'IRSAP Original'!$B$6:$B$163,"")</f>
        <v>RT 6 0815 YY 01 A4 02 N</v>
      </c>
      <c r="T71" s="2" t="str" cm="1">
        <f t="array" ref="T71">_xlfn.XLOOKUP(1,('IRSAP Original'!$A$6:$A$163=T$2)*('IRSAP Original'!$C$6:$C$163=$B7),'IRSAP Original'!$B$6:$B$163,"")</f>
        <v>RT 6 0865 YY 01 A4 02 N</v>
      </c>
      <c r="U71" s="2" t="str" cm="1">
        <f t="array" ref="U71">_xlfn.XLOOKUP(1,('IRSAP Original'!$A$6:$A$163=U$2)*('IRSAP Original'!$C$6:$C$163=$B7),'IRSAP Original'!$B$6:$B$163,"")</f>
        <v>RT 6 0885 YY 01 A4 02 N</v>
      </c>
      <c r="V71" s="2" t="str" cm="1">
        <f t="array" ref="V71">_xlfn.XLOOKUP(1,('IRSAP Original'!$A$6:$A$163=V$2)*('IRSAP Original'!$C$6:$C$163=$B7),'IRSAP Original'!$B$6:$B$163,"")</f>
        <v>RT 6 0900 YY 01 A4 02 N</v>
      </c>
      <c r="W71" s="2" t="str" cm="1">
        <f t="array" ref="W71">_xlfn.XLOOKUP(1,('IRSAP Original'!$A$6:$A$163=W$2)*('IRSAP Original'!$C$6:$C$163=$B7),'IRSAP Original'!$B$6:$B$163,"")</f>
        <v>RT 6 1000 YY 01 A4 02 N</v>
      </c>
      <c r="X71" s="2" t="str" cm="1">
        <f t="array" ref="X71">_xlfn.XLOOKUP(1,('IRSAP Original'!$A$6:$A$163=X$2)*('IRSAP Original'!$C$6:$C$163=$B7),'IRSAP Original'!$B$6:$B$163,"")</f>
        <v>RT 6 1200 YY 01 A4 02 N</v>
      </c>
      <c r="Y71" s="2" t="str" cm="1">
        <f t="array" ref="Y71">_xlfn.XLOOKUP(1,('IRSAP Original'!$A$6:$A$163=Y$2)*('IRSAP Original'!$C$6:$C$163=$B7),'IRSAP Original'!$B$6:$B$163,"")</f>
        <v>RT 6 1500 YY 01 A4 02 N</v>
      </c>
      <c r="Z71" s="2" t="str" cm="1">
        <f t="array" ref="Z71">_xlfn.XLOOKUP(1,('IRSAP Original'!$A$6:$A$163=Z$2)*('IRSAP Original'!$C$6:$C$163=$B7),'IRSAP Original'!$B$6:$B$163,"")</f>
        <v>RT 6 1800 YY 01 A4 02 N</v>
      </c>
      <c r="AA71" s="2" t="str" cm="1">
        <f t="array" ref="AA71">_xlfn.XLOOKUP(1,('IRSAP Original'!$A$6:$A$163=AA$2)*('IRSAP Original'!$C$6:$C$163=$B7),'IRSAP Original'!$B$6:$B$163,"")</f>
        <v>RT 6 2000 YY 01 A4 02 N</v>
      </c>
      <c r="AB71" s="2" t="str" cm="1">
        <f t="array" ref="AB71">_xlfn.XLOOKUP(1,('IRSAP Original'!$A$6:$A$163=AB$2)*('IRSAP Original'!$C$6:$C$163=$B7),'IRSAP Original'!$B$6:$B$163,"")</f>
        <v>RT 6 2200 YY 01 A4 02 N</v>
      </c>
      <c r="AC71" s="2" t="str" cm="1">
        <f t="array" ref="AC71">_xlfn.XLOOKUP(1,('IRSAP Original'!$A$6:$A$163=AC$2)*('IRSAP Original'!$C$6:$C$163=$B7),'IRSAP Original'!$B$6:$B$163,"")</f>
        <v>RT 6 2500 YY 01 A4 02 N</v>
      </c>
      <c r="AD71" s="2"/>
      <c r="AE71" s="2"/>
      <c r="AF71" s="2"/>
      <c r="AG71" s="2"/>
      <c r="AH71" s="2"/>
    </row>
    <row r="72" spans="1:34" x14ac:dyDescent="0.2">
      <c r="C72" s="8"/>
      <c r="D72" s="8"/>
      <c r="E72" s="8"/>
      <c r="F72" s="8"/>
      <c r="G72" s="8"/>
      <c r="H72" s="8"/>
      <c r="I72" s="8"/>
      <c r="J72" s="8"/>
      <c r="K72" s="8"/>
      <c r="L72" s="8"/>
      <c r="M72"/>
      <c r="N72"/>
      <c r="O72"/>
      <c r="P72"/>
      <c r="Q72"/>
    </row>
    <row r="73" spans="1:34" ht="13.5" x14ac:dyDescent="0.25">
      <c r="A73" s="1" t="s">
        <v>190</v>
      </c>
      <c r="C73" s="4" t="s">
        <v>2</v>
      </c>
      <c r="M73"/>
      <c r="N73"/>
      <c r="O73"/>
      <c r="P73"/>
      <c r="Q73"/>
    </row>
    <row r="74" spans="1:34" x14ac:dyDescent="0.2">
      <c r="C74" s="5">
        <f t="shared" ref="C74:AC74" si="8">C$2</f>
        <v>200</v>
      </c>
      <c r="D74" s="5">
        <f t="shared" si="8"/>
        <v>300</v>
      </c>
      <c r="E74" s="5">
        <f t="shared" si="8"/>
        <v>350</v>
      </c>
      <c r="F74" s="5">
        <f t="shared" si="8"/>
        <v>365</v>
      </c>
      <c r="G74" s="5">
        <f t="shared" si="8"/>
        <v>400</v>
      </c>
      <c r="H74" s="5">
        <f t="shared" si="8"/>
        <v>450</v>
      </c>
      <c r="I74" s="5">
        <f t="shared" si="8"/>
        <v>500</v>
      </c>
      <c r="J74" s="5">
        <f t="shared" si="8"/>
        <v>535</v>
      </c>
      <c r="K74" s="5">
        <f t="shared" si="8"/>
        <v>550</v>
      </c>
      <c r="L74" s="5">
        <f t="shared" si="8"/>
        <v>565</v>
      </c>
      <c r="M74" s="5">
        <f t="shared" si="8"/>
        <v>600</v>
      </c>
      <c r="N74" s="5">
        <f t="shared" si="8"/>
        <v>650</v>
      </c>
      <c r="O74" s="5">
        <f t="shared" si="8"/>
        <v>665</v>
      </c>
      <c r="P74" s="5">
        <f t="shared" si="8"/>
        <v>685</v>
      </c>
      <c r="Q74" s="5">
        <f t="shared" si="8"/>
        <v>750</v>
      </c>
      <c r="R74" s="5">
        <f t="shared" si="8"/>
        <v>765</v>
      </c>
      <c r="S74" s="5">
        <f t="shared" si="8"/>
        <v>815</v>
      </c>
      <c r="T74" s="5">
        <f t="shared" si="8"/>
        <v>865</v>
      </c>
      <c r="U74" s="5">
        <f t="shared" si="8"/>
        <v>885</v>
      </c>
      <c r="V74" s="5">
        <f t="shared" si="8"/>
        <v>900</v>
      </c>
      <c r="W74" s="5">
        <f t="shared" si="8"/>
        <v>1000</v>
      </c>
      <c r="X74" s="5">
        <f t="shared" si="8"/>
        <v>1200</v>
      </c>
      <c r="Y74" s="5">
        <f t="shared" si="8"/>
        <v>1500</v>
      </c>
      <c r="Z74" s="5">
        <f t="shared" si="8"/>
        <v>1800</v>
      </c>
      <c r="AA74" s="5">
        <f t="shared" si="8"/>
        <v>2000</v>
      </c>
      <c r="AB74" s="5">
        <f t="shared" si="8"/>
        <v>2200</v>
      </c>
      <c r="AC74" s="5">
        <f t="shared" si="8"/>
        <v>2500</v>
      </c>
      <c r="AD74" s="5"/>
      <c r="AE74" s="5"/>
      <c r="AF74" s="5"/>
      <c r="AG74" s="5"/>
      <c r="AH74" s="5"/>
    </row>
    <row r="75" spans="1:34" x14ac:dyDescent="0.2">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spans="1:34" ht="13.5" x14ac:dyDescent="0.25">
      <c r="A76" s="4" t="s">
        <v>3</v>
      </c>
      <c r="B76" s="2">
        <f>B3</f>
        <v>65</v>
      </c>
      <c r="C76" s="9" t="str">
        <f t="shared" ref="C76:V76" si="9">IF(C27="","",(C19-C27*$C$99/1000)*$B$98+C27*$B$99)</f>
        <v/>
      </c>
      <c r="D76" s="9" t="str">
        <f t="shared" si="9"/>
        <v/>
      </c>
      <c r="E76" s="9" t="str">
        <f t="shared" si="9"/>
        <v/>
      </c>
      <c r="F76" s="9" t="str">
        <f t="shared" si="9"/>
        <v/>
      </c>
      <c r="G76" s="9" t="str">
        <f t="shared" si="9"/>
        <v/>
      </c>
      <c r="H76" s="9" t="str">
        <f t="shared" si="9"/>
        <v/>
      </c>
      <c r="I76" s="9" t="str">
        <f t="shared" si="9"/>
        <v/>
      </c>
      <c r="J76" s="9" t="str">
        <f t="shared" si="9"/>
        <v/>
      </c>
      <c r="K76" s="9" t="str">
        <f t="shared" si="9"/>
        <v/>
      </c>
      <c r="L76" s="9" t="str">
        <f t="shared" si="9"/>
        <v/>
      </c>
      <c r="M76" s="9" t="str">
        <f t="shared" si="9"/>
        <v/>
      </c>
      <c r="N76" s="9" t="str">
        <f t="shared" si="9"/>
        <v/>
      </c>
      <c r="O76" s="9" t="str">
        <f t="shared" si="9"/>
        <v/>
      </c>
      <c r="P76" s="9" t="str">
        <f t="shared" si="9"/>
        <v/>
      </c>
      <c r="Q76" s="9" t="str">
        <f t="shared" si="9"/>
        <v/>
      </c>
      <c r="R76" s="9" t="str">
        <f t="shared" si="9"/>
        <v/>
      </c>
      <c r="S76" s="9" t="str">
        <f t="shared" si="9"/>
        <v/>
      </c>
      <c r="T76" s="9" t="str">
        <f t="shared" si="9"/>
        <v/>
      </c>
      <c r="U76" s="9" t="str">
        <f t="shared" si="9"/>
        <v/>
      </c>
      <c r="V76" s="9" t="str">
        <f t="shared" si="9"/>
        <v/>
      </c>
      <c r="W76" s="9" t="str">
        <f t="shared" ref="W76:AC76" si="10">IF(W27="","",(W19-W27*$C$99/1000)*$B$98+W27*$B$99)</f>
        <v/>
      </c>
      <c r="X76" s="9" t="str">
        <f t="shared" si="10"/>
        <v/>
      </c>
      <c r="Y76" s="9" t="str">
        <f t="shared" si="10"/>
        <v/>
      </c>
      <c r="Z76" s="9" t="str">
        <f t="shared" si="10"/>
        <v/>
      </c>
      <c r="AA76" s="9" t="str">
        <f t="shared" si="10"/>
        <v/>
      </c>
      <c r="AB76" s="9" t="str">
        <f t="shared" si="10"/>
        <v/>
      </c>
      <c r="AC76" s="9" t="str">
        <f t="shared" si="10"/>
        <v/>
      </c>
      <c r="AD76" s="9"/>
      <c r="AE76" s="9"/>
      <c r="AF76" s="9"/>
      <c r="AG76" s="9"/>
      <c r="AH76" s="9"/>
    </row>
    <row r="77" spans="1:34" x14ac:dyDescent="0.2">
      <c r="B77" s="2">
        <f>B4</f>
        <v>101</v>
      </c>
      <c r="C77" s="9" t="str">
        <f t="shared" ref="C77:V77" si="11">IF(C28="","",(C20-C28*$C$99/1000)*$B$98+C28*$B$99)</f>
        <v/>
      </c>
      <c r="D77" s="9" t="str">
        <f t="shared" si="11"/>
        <v/>
      </c>
      <c r="E77" s="9" t="str">
        <f t="shared" si="11"/>
        <v/>
      </c>
      <c r="F77" s="9" t="str">
        <f t="shared" si="11"/>
        <v/>
      </c>
      <c r="G77" s="9" t="str">
        <f t="shared" si="11"/>
        <v/>
      </c>
      <c r="H77" s="9" t="str">
        <f t="shared" si="11"/>
        <v/>
      </c>
      <c r="I77" s="9" t="str">
        <f t="shared" si="11"/>
        <v/>
      </c>
      <c r="J77" s="9" t="str">
        <f t="shared" si="11"/>
        <v/>
      </c>
      <c r="K77" s="9" t="str">
        <f t="shared" si="11"/>
        <v/>
      </c>
      <c r="L77" s="9" t="str">
        <f t="shared" si="11"/>
        <v/>
      </c>
      <c r="M77" s="9" t="str">
        <f t="shared" si="11"/>
        <v/>
      </c>
      <c r="N77" s="9" t="str">
        <f t="shared" si="11"/>
        <v/>
      </c>
      <c r="O77" s="9" t="str">
        <f t="shared" si="11"/>
        <v/>
      </c>
      <c r="P77" s="9" t="str">
        <f t="shared" si="11"/>
        <v/>
      </c>
      <c r="Q77" s="9" t="str">
        <f t="shared" si="11"/>
        <v/>
      </c>
      <c r="R77" s="9" t="str">
        <f t="shared" si="11"/>
        <v/>
      </c>
      <c r="S77" s="9" t="str">
        <f t="shared" si="11"/>
        <v/>
      </c>
      <c r="T77" s="9" t="str">
        <f t="shared" si="11"/>
        <v/>
      </c>
      <c r="U77" s="9" t="str">
        <f t="shared" si="11"/>
        <v/>
      </c>
      <c r="V77" s="9" t="str">
        <f t="shared" si="11"/>
        <v/>
      </c>
      <c r="W77" s="9" t="str">
        <f t="shared" ref="W77:AC77" si="12">IF(W28="","",(W20-W28*$C$99/1000)*$B$98+W28*$B$99)</f>
        <v/>
      </c>
      <c r="X77" s="9" t="str">
        <f t="shared" si="12"/>
        <v/>
      </c>
      <c r="Y77" s="9" t="str">
        <f t="shared" si="12"/>
        <v/>
      </c>
      <c r="Z77" s="9" t="str">
        <f t="shared" si="12"/>
        <v/>
      </c>
      <c r="AA77" s="9" t="str">
        <f t="shared" si="12"/>
        <v/>
      </c>
      <c r="AB77" s="9" t="str">
        <f t="shared" si="12"/>
        <v/>
      </c>
      <c r="AC77" s="9" t="str">
        <f t="shared" si="12"/>
        <v/>
      </c>
      <c r="AD77" s="9"/>
      <c r="AE77" s="9"/>
      <c r="AF77" s="9"/>
      <c r="AG77" s="9"/>
      <c r="AH77" s="9"/>
    </row>
    <row r="78" spans="1:34" x14ac:dyDescent="0.2">
      <c r="B78" s="2">
        <f>B5</f>
        <v>139</v>
      </c>
      <c r="C78" s="9" t="str">
        <f t="shared" ref="C78:V78" si="13">IF(C29="","",(C21-C29*$C$99/1000)*$B$98+C29*$B$99)</f>
        <v/>
      </c>
      <c r="D78" s="9" t="str">
        <f t="shared" si="13"/>
        <v/>
      </c>
      <c r="E78" s="9" t="str">
        <f t="shared" si="13"/>
        <v/>
      </c>
      <c r="F78" s="9" t="str">
        <f t="shared" si="13"/>
        <v/>
      </c>
      <c r="G78" s="9" t="str">
        <f t="shared" si="13"/>
        <v/>
      </c>
      <c r="H78" s="9" t="str">
        <f t="shared" si="13"/>
        <v/>
      </c>
      <c r="I78" s="9" t="str">
        <f t="shared" si="13"/>
        <v/>
      </c>
      <c r="J78" s="9" t="str">
        <f t="shared" si="13"/>
        <v/>
      </c>
      <c r="K78" s="9" t="str">
        <f t="shared" si="13"/>
        <v/>
      </c>
      <c r="L78" s="9" t="str">
        <f t="shared" si="13"/>
        <v/>
      </c>
      <c r="M78" s="9" t="str">
        <f t="shared" si="13"/>
        <v/>
      </c>
      <c r="N78" s="9" t="str">
        <f t="shared" si="13"/>
        <v/>
      </c>
      <c r="O78" s="9" t="str">
        <f t="shared" si="13"/>
        <v/>
      </c>
      <c r="P78" s="9" t="str">
        <f t="shared" si="13"/>
        <v/>
      </c>
      <c r="Q78" s="9" t="str">
        <f t="shared" si="13"/>
        <v/>
      </c>
      <c r="R78" s="9" t="str">
        <f t="shared" si="13"/>
        <v/>
      </c>
      <c r="S78" s="9" t="str">
        <f t="shared" si="13"/>
        <v/>
      </c>
      <c r="T78" s="9" t="str">
        <f t="shared" si="13"/>
        <v/>
      </c>
      <c r="U78" s="9" t="str">
        <f t="shared" si="13"/>
        <v/>
      </c>
      <c r="V78" s="9" t="str">
        <f t="shared" si="13"/>
        <v/>
      </c>
      <c r="W78" s="9" t="str">
        <f t="shared" ref="W78:AC78" si="14">IF(W29="","",(W21-W29*$C$99/1000)*$B$98+W29*$B$99)</f>
        <v/>
      </c>
      <c r="X78" s="9" t="str">
        <f t="shared" si="14"/>
        <v/>
      </c>
      <c r="Y78" s="9" t="str">
        <f t="shared" si="14"/>
        <v/>
      </c>
      <c r="Z78" s="9" t="str">
        <f t="shared" si="14"/>
        <v/>
      </c>
      <c r="AA78" s="9" t="str">
        <f t="shared" si="14"/>
        <v/>
      </c>
      <c r="AB78" s="9" t="str">
        <f t="shared" si="14"/>
        <v/>
      </c>
      <c r="AC78" s="9" t="str">
        <f t="shared" si="14"/>
        <v/>
      </c>
      <c r="AD78" s="9"/>
      <c r="AE78" s="9"/>
      <c r="AF78" s="9"/>
      <c r="AG78" s="9"/>
      <c r="AH78" s="9"/>
    </row>
    <row r="79" spans="1:34" x14ac:dyDescent="0.2">
      <c r="B79" s="2">
        <f>B6</f>
        <v>177</v>
      </c>
      <c r="C79" s="9" t="str">
        <f t="shared" ref="C79:V79" si="15">IF(C30="","",(C22-C30*$C$99/1000)*$B$98+C30*$B$99)</f>
        <v/>
      </c>
      <c r="D79" s="9" t="str">
        <f t="shared" si="15"/>
        <v/>
      </c>
      <c r="E79" s="9" t="str">
        <f t="shared" si="15"/>
        <v/>
      </c>
      <c r="F79" s="9" t="str">
        <f t="shared" si="15"/>
        <v/>
      </c>
      <c r="G79" s="9" t="str">
        <f t="shared" si="15"/>
        <v/>
      </c>
      <c r="H79" s="9" t="str">
        <f t="shared" si="15"/>
        <v/>
      </c>
      <c r="I79" s="9" t="str">
        <f t="shared" si="15"/>
        <v/>
      </c>
      <c r="J79" s="9" t="str">
        <f t="shared" si="15"/>
        <v/>
      </c>
      <c r="K79" s="9" t="str">
        <f t="shared" si="15"/>
        <v/>
      </c>
      <c r="L79" s="9" t="str">
        <f t="shared" si="15"/>
        <v/>
      </c>
      <c r="M79" s="9" t="str">
        <f t="shared" si="15"/>
        <v/>
      </c>
      <c r="N79" s="9" t="str">
        <f t="shared" si="15"/>
        <v/>
      </c>
      <c r="O79" s="9" t="str">
        <f t="shared" si="15"/>
        <v/>
      </c>
      <c r="P79" s="9" t="str">
        <f t="shared" si="15"/>
        <v/>
      </c>
      <c r="Q79" s="9" t="str">
        <f t="shared" si="15"/>
        <v/>
      </c>
      <c r="R79" s="9" t="str">
        <f t="shared" si="15"/>
        <v/>
      </c>
      <c r="S79" s="9" t="str">
        <f t="shared" si="15"/>
        <v/>
      </c>
      <c r="T79" s="9" t="str">
        <f t="shared" si="15"/>
        <v/>
      </c>
      <c r="U79" s="9" t="str">
        <f t="shared" si="15"/>
        <v/>
      </c>
      <c r="V79" s="9" t="str">
        <f t="shared" si="15"/>
        <v/>
      </c>
      <c r="W79" s="9" t="str">
        <f t="shared" ref="W79:AC79" si="16">IF(W30="","",(W22-W30*$C$99/1000)*$B$98+W30*$B$99)</f>
        <v/>
      </c>
      <c r="X79" s="9" t="str">
        <f t="shared" si="16"/>
        <v/>
      </c>
      <c r="Y79" s="9" t="str">
        <f t="shared" si="16"/>
        <v/>
      </c>
      <c r="Z79" s="9" t="str">
        <f t="shared" si="16"/>
        <v/>
      </c>
      <c r="AA79" s="9" t="str">
        <f t="shared" si="16"/>
        <v/>
      </c>
      <c r="AB79" s="9" t="str">
        <f t="shared" si="16"/>
        <v/>
      </c>
      <c r="AC79" s="9" t="str">
        <f t="shared" si="16"/>
        <v/>
      </c>
      <c r="AD79" s="9"/>
      <c r="AE79" s="9"/>
      <c r="AF79" s="9"/>
      <c r="AG79" s="9"/>
      <c r="AH79" s="9"/>
    </row>
    <row r="80" spans="1:34" x14ac:dyDescent="0.2">
      <c r="B80" s="2">
        <f>B7</f>
        <v>215</v>
      </c>
      <c r="C80" s="9" t="str">
        <f t="shared" ref="C80:V80" si="17">IF(C31="","",(C23-C31*$C$99/1000)*$B$98+C31*$B$99)</f>
        <v/>
      </c>
      <c r="D80" s="9" t="str">
        <f t="shared" si="17"/>
        <v/>
      </c>
      <c r="E80" s="9" t="str">
        <f t="shared" si="17"/>
        <v/>
      </c>
      <c r="F80" s="9" t="str">
        <f t="shared" si="17"/>
        <v/>
      </c>
      <c r="G80" s="9" t="str">
        <f t="shared" si="17"/>
        <v/>
      </c>
      <c r="H80" s="9" t="str">
        <f t="shared" si="17"/>
        <v/>
      </c>
      <c r="I80" s="9" t="str">
        <f t="shared" si="17"/>
        <v/>
      </c>
      <c r="J80" s="9" t="str">
        <f t="shared" si="17"/>
        <v/>
      </c>
      <c r="K80" s="9" t="str">
        <f t="shared" si="17"/>
        <v/>
      </c>
      <c r="L80" s="9" t="str">
        <f t="shared" si="17"/>
        <v/>
      </c>
      <c r="M80" s="9" t="str">
        <f t="shared" si="17"/>
        <v/>
      </c>
      <c r="N80" s="9" t="str">
        <f t="shared" si="17"/>
        <v/>
      </c>
      <c r="O80" s="9" t="str">
        <f t="shared" si="17"/>
        <v/>
      </c>
      <c r="P80" s="9" t="str">
        <f t="shared" si="17"/>
        <v/>
      </c>
      <c r="Q80" s="9" t="str">
        <f t="shared" si="17"/>
        <v/>
      </c>
      <c r="R80" s="9" t="str">
        <f t="shared" si="17"/>
        <v/>
      </c>
      <c r="S80" s="9" t="str">
        <f t="shared" si="17"/>
        <v/>
      </c>
      <c r="T80" s="9" t="str">
        <f t="shared" si="17"/>
        <v/>
      </c>
      <c r="U80" s="9" t="str">
        <f t="shared" si="17"/>
        <v/>
      </c>
      <c r="V80" s="9" t="str">
        <f t="shared" si="17"/>
        <v/>
      </c>
    </row>
    <row r="81" spans="1:35" x14ac:dyDescent="0.2">
      <c r="C81" s="8"/>
      <c r="D81" s="8"/>
      <c r="E81" s="8"/>
      <c r="F81" s="8"/>
      <c r="G81" s="8"/>
      <c r="H81" s="8"/>
      <c r="I81" s="8"/>
      <c r="J81" s="8"/>
    </row>
    <row r="83" spans="1:35" x14ac:dyDescent="0.2">
      <c r="A83" s="2">
        <f>Gliederradiator!$B$2</f>
        <v>500</v>
      </c>
      <c r="B83" s="2" t="str">
        <f>IFERROR(ADDRESS(ROW(C2), COLUMN(C2)-1 + _xlfn.XMATCH(A83, C2:L2, 1), 4), "Kein grösserer Wert")</f>
        <v>I2</v>
      </c>
      <c r="C83" s="2" cm="1">
        <f t="array" aca="1" ref="C83" ca="1">INDEX(A:Q, ROW(INDIRECT(B83)), COLUMN(INDIRECT(B83))-1)</f>
        <v>450</v>
      </c>
      <c r="D83" s="2" cm="1">
        <f t="array" aca="1" ref="D83" ca="1">INDIRECT(B83)</f>
        <v>500</v>
      </c>
      <c r="F83" s="2" t="str">
        <f>IFERROR(ADDRESS(ROW(C10), COLUMN(C10)-1 + _xlfn.XMATCH(A83, C10:L10, 1), 4), "Kein grösserer Wert")</f>
        <v>I10</v>
      </c>
      <c r="G83" s="2" cm="1">
        <f t="array" aca="1" ref="G83" ca="1">INDEX(A:Q, ROW(INDIRECT(F83)), COLUMN(INDIRECT(F83))-1)</f>
        <v>450</v>
      </c>
      <c r="H83" s="2" cm="1">
        <f t="array" aca="1" ref="H83" ca="1">INDIRECT(F83)</f>
        <v>500</v>
      </c>
      <c r="I83" s="2" t="str">
        <f>IFERROR(ADDRESS(ROW(C74), COLUMN(C74)-1 + _xlfn.XMATCH(A83, C74:L74, 1), 4), "Kein grösserer Wert")</f>
        <v>I74</v>
      </c>
      <c r="J83" s="2" cm="1">
        <f t="array" aca="1" ref="J83" ca="1">INDEX(A:Q, ROW(INDIRECT(I83)), COLUMN(INDIRECT(I83))-1)</f>
        <v>450</v>
      </c>
      <c r="K83" s="2" cm="1">
        <f t="array" aca="1" ref="K83" ca="1">INDIRECT(I83)</f>
        <v>500</v>
      </c>
    </row>
    <row r="84" spans="1:35" x14ac:dyDescent="0.2">
      <c r="A84" s="2">
        <f>Gliederradiator!$B$3</f>
        <v>136</v>
      </c>
      <c r="B84" s="2" t="str">
        <f>IFERROR(ADDRESS(ROW(B3)-1 + _xlfn.XMATCH(A84,B3:B7,1),COLUMN(B3),4),"Kein grösserer Wert")</f>
        <v>B5</v>
      </c>
      <c r="C84" s="2" cm="1">
        <f t="array" aca="1" ref="C84" ca="1">INDEX(A:Q, ROW(INDIRECT(B84)), COLUMN(INDIRECT(B83)))</f>
        <v>66.900000000000006</v>
      </c>
      <c r="D84" s="2" cm="1">
        <f t="array" aca="1" ref="D84" ca="1">INDIRECT(B84)</f>
        <v>139</v>
      </c>
      <c r="F84" s="2" t="str">
        <f>IFERROR(ADDRESS(ROW(B11)-1 + _xlfn.XMATCH(A84,B11:B15,1),COLUMN(B11),4),"Kein grösserer Wert")</f>
        <v>B13</v>
      </c>
      <c r="G84" s="2" cm="1">
        <f t="array" aca="1" ref="G84" ca="1">INDEX(A:Q, ROW(INDIRECT(F84))-1, COLUMN(INDIRECT(F84)))</f>
        <v>101</v>
      </c>
      <c r="H84" s="2" cm="1">
        <f t="array" aca="1" ref="H84" ca="1">INDIRECT(F84)</f>
        <v>139</v>
      </c>
      <c r="I84" s="2" t="str">
        <f>IFERROR(ADDRESS(ROW(B76)-1 + _xlfn.XMATCH(A84,B76:B80,1),COLUMN(B76),4),"Kein grösserer Wert")</f>
        <v>B78</v>
      </c>
      <c r="J84" s="2" cm="1">
        <f t="array" aca="1" ref="J84" ca="1">INDEX(A:Q, ROW(INDIRECT(I84))-1, COLUMN(INDIRECT(I84)))</f>
        <v>101</v>
      </c>
      <c r="K84" s="2" cm="1">
        <f t="array" aca="1" ref="K84" ca="1">INDIRECT(I84)</f>
        <v>139</v>
      </c>
    </row>
    <row r="85" spans="1:35" x14ac:dyDescent="0.2">
      <c r="A85" s="3">
        <f ca="1">C85 + (A83-C83)/(D83-C83)*(D85-C85)*0.5 + (A84-C84)/(D84-C84)*(D85-C85)*0.5</f>
        <v>66.479750346740644</v>
      </c>
      <c r="C85" s="2" cm="1">
        <f t="array" aca="1" ref="C85" ca="1">INDEX(A:Q, ROW(INDIRECT(B84))-1, COLUMN(INDIRECT(B83))-1)</f>
        <v>46.7</v>
      </c>
      <c r="D85" s="2" cm="1">
        <f t="array" aca="1" ref="D85" ca="1">INDEX(A:Q, ROW(INDIRECT(B84)), COLUMN(INDIRECT(B83)))</f>
        <v>66.900000000000006</v>
      </c>
      <c r="G85" s="2" cm="1">
        <f t="array" aca="1" ref="G85" ca="1">INDEX(A:Q, ROW(INDIRECT(F84))-1, COLUMN(INDIRECT(F83))-1)</f>
        <v>1.26</v>
      </c>
      <c r="H85" s="2" cm="1">
        <f t="array" aca="1" ref="H85" ca="1">INDEX(A:Q, ROW(INDIRECT(F84)), COLUMN(INDIRECT(F83)))</f>
        <v>1.286</v>
      </c>
      <c r="J85" s="2" t="str" cm="1">
        <f t="array" aca="1" ref="J85" ca="1">INDEX(A:Q, ROW(INDIRECT(I84))-1, COLUMN(INDIRECT(I83))-1)</f>
        <v/>
      </c>
      <c r="K85" s="2" t="str" cm="1">
        <f t="array" aca="1" ref="K85" ca="1">INDEX(A:Q, ROW(INDIRECT(I84)), COLUMN(INDIRECT(I83)))</f>
        <v/>
      </c>
    </row>
    <row r="86" spans="1:35" x14ac:dyDescent="0.2">
      <c r="A86" s="3">
        <f ca="1">C86 + (A83-C83)/(D83-C83)*(D86-C86)*0.5 + (A84-C84)/(D84-C84)*(D86-C86)*0.5</f>
        <v>1.2854590846047158</v>
      </c>
      <c r="C86" s="2" cm="1">
        <f t="array" aca="1" ref="C86" ca="1">INDEX(A:Q, ROW(INDIRECT(F84))-1, COLUMN(INDIRECT(F83))-1)</f>
        <v>1.26</v>
      </c>
      <c r="D86" s="2" cm="1">
        <f t="array" aca="1" ref="D86" ca="1">INDEX(A:S, ROW(INDIRECT(F84)), COLUMN(INDIRECT(F83)))</f>
        <v>1.286</v>
      </c>
    </row>
    <row r="87" spans="1:35" x14ac:dyDescent="0.2">
      <c r="A87" s="10" t="e">
        <f ca="1">C87 + (A83-C83)/(D83-C83)*(D87-C87)*0.5 + (A84-C84)/(D84-C84)*(D87-C87)*0.5</f>
        <v>#VALUE!</v>
      </c>
      <c r="C87" s="9" t="str">
        <f ca="1">J85</f>
        <v/>
      </c>
      <c r="D87" s="9" t="str">
        <f ca="1">K85</f>
        <v/>
      </c>
    </row>
    <row r="88" spans="1:35" s="2" customFormat="1" x14ac:dyDescent="0.2">
      <c r="A88" s="3"/>
      <c r="R88"/>
      <c r="S88"/>
      <c r="T88"/>
      <c r="U88"/>
      <c r="V88"/>
      <c r="W88"/>
      <c r="X88"/>
      <c r="Y88"/>
      <c r="Z88"/>
      <c r="AA88"/>
      <c r="AB88"/>
      <c r="AC88"/>
      <c r="AD88"/>
      <c r="AE88"/>
      <c r="AF88"/>
      <c r="AG88"/>
      <c r="AH88"/>
      <c r="AI88"/>
    </row>
    <row r="90" spans="1:35" s="2" customFormat="1" ht="12.75" customHeight="1" x14ac:dyDescent="0.2">
      <c r="A90" s="1" t="s">
        <v>1</v>
      </c>
      <c r="R90"/>
      <c r="S90"/>
      <c r="T90"/>
      <c r="U90"/>
      <c r="V90"/>
      <c r="W90"/>
      <c r="X90"/>
      <c r="Y90"/>
      <c r="Z90"/>
      <c r="AA90"/>
      <c r="AB90"/>
      <c r="AC90"/>
      <c r="AD90"/>
      <c r="AE90"/>
      <c r="AF90"/>
      <c r="AG90"/>
      <c r="AH90"/>
      <c r="AI90"/>
    </row>
    <row r="91" spans="1:35" s="2" customFormat="1" ht="15.75" customHeight="1" x14ac:dyDescent="0.3">
      <c r="A91" s="1" t="s">
        <v>8</v>
      </c>
      <c r="G91" s="2">
        <f>'Basis Radiator'!F10*((Gliederradiator!B8-Gliederradiator!B9)/'Basis Radiator'!B62)^Gliederradiator!B15</f>
        <v>24.135841372146224</v>
      </c>
      <c r="R91"/>
      <c r="S91"/>
      <c r="T91"/>
      <c r="U91"/>
      <c r="V91"/>
      <c r="W91"/>
      <c r="X91"/>
      <c r="Y91"/>
      <c r="Z91"/>
      <c r="AA91"/>
      <c r="AB91"/>
      <c r="AC91"/>
      <c r="AD91"/>
      <c r="AE91"/>
      <c r="AF91"/>
      <c r="AG91"/>
      <c r="AH91"/>
      <c r="AI91"/>
    </row>
    <row r="92" spans="1:35" s="2" customFormat="1" x14ac:dyDescent="0.2">
      <c r="E92" s="2">
        <v>75</v>
      </c>
      <c r="F92" s="2">
        <v>90</v>
      </c>
      <c r="R92"/>
      <c r="S92"/>
      <c r="T92"/>
      <c r="U92"/>
      <c r="V92"/>
      <c r="W92"/>
      <c r="X92"/>
      <c r="Y92"/>
      <c r="Z92"/>
      <c r="AA92"/>
      <c r="AB92"/>
      <c r="AC92"/>
      <c r="AD92"/>
      <c r="AE92"/>
      <c r="AF92"/>
      <c r="AG92"/>
      <c r="AH92"/>
      <c r="AI92"/>
    </row>
    <row r="93" spans="1:35" s="2" customFormat="1" ht="15.75" x14ac:dyDescent="0.3">
      <c r="A93" s="1" t="s">
        <v>9</v>
      </c>
      <c r="E93" s="2">
        <v>65</v>
      </c>
      <c r="F93" s="2">
        <v>70</v>
      </c>
      <c r="R93"/>
      <c r="S93"/>
      <c r="T93"/>
      <c r="U93"/>
      <c r="V93"/>
      <c r="W93"/>
      <c r="X93"/>
      <c r="Y93"/>
      <c r="Z93"/>
      <c r="AA93"/>
      <c r="AB93"/>
      <c r="AC93"/>
      <c r="AD93"/>
      <c r="AE93"/>
      <c r="AF93"/>
      <c r="AG93"/>
      <c r="AH93"/>
      <c r="AI93"/>
    </row>
    <row r="94" spans="1:35" s="2" customFormat="1" x14ac:dyDescent="0.2">
      <c r="E94" s="2">
        <v>20</v>
      </c>
      <c r="F94" s="2">
        <v>20</v>
      </c>
      <c r="R94"/>
      <c r="S94"/>
      <c r="T94"/>
      <c r="U94"/>
      <c r="V94"/>
      <c r="W94"/>
      <c r="X94"/>
      <c r="Y94"/>
      <c r="Z94"/>
      <c r="AA94"/>
      <c r="AB94"/>
      <c r="AC94"/>
      <c r="AD94"/>
      <c r="AE94"/>
      <c r="AF94"/>
      <c r="AG94"/>
      <c r="AH94"/>
      <c r="AI94"/>
    </row>
    <row r="95" spans="1:35" s="2" customFormat="1" ht="15.75" x14ac:dyDescent="0.3">
      <c r="A95" s="1" t="s">
        <v>10</v>
      </c>
      <c r="B95" s="2">
        <f>(E92-E93)/(LN((E92-E94)/(E93-E94)))</f>
        <v>49.83288654563971</v>
      </c>
      <c r="E95" s="11">
        <f>(E92-E93)/(LN((E92-E94)/(E93-E94)))</f>
        <v>49.83288654563971</v>
      </c>
      <c r="F95" s="11">
        <f>(F92-F93)/(LN((F92-F94)/(F93-F94)))</f>
        <v>59.440268239769239</v>
      </c>
      <c r="R95"/>
      <c r="S95"/>
      <c r="T95"/>
      <c r="U95"/>
      <c r="V95"/>
      <c r="W95"/>
      <c r="X95"/>
      <c r="Y95"/>
      <c r="Z95"/>
      <c r="AA95"/>
      <c r="AB95"/>
      <c r="AC95"/>
      <c r="AD95"/>
      <c r="AE95"/>
      <c r="AF95"/>
      <c r="AG95"/>
      <c r="AH95"/>
      <c r="AI95"/>
    </row>
    <row r="97" spans="1:35" s="2" customFormat="1" x14ac:dyDescent="0.2">
      <c r="A97" s="2" t="s">
        <v>5</v>
      </c>
      <c r="R97"/>
      <c r="S97"/>
      <c r="T97"/>
      <c r="U97"/>
      <c r="V97"/>
      <c r="W97"/>
      <c r="X97"/>
      <c r="Y97"/>
      <c r="Z97"/>
      <c r="AA97"/>
      <c r="AB97"/>
      <c r="AC97"/>
      <c r="AD97"/>
      <c r="AE97"/>
      <c r="AF97"/>
      <c r="AG97"/>
      <c r="AH97"/>
      <c r="AI97"/>
    </row>
    <row r="98" spans="1:35" s="2" customFormat="1" x14ac:dyDescent="0.2">
      <c r="A98" s="2" t="s">
        <v>7</v>
      </c>
      <c r="B98" s="2">
        <v>0.73</v>
      </c>
      <c r="R98"/>
      <c r="S98"/>
      <c r="T98"/>
      <c r="U98"/>
      <c r="V98"/>
      <c r="W98"/>
      <c r="X98"/>
      <c r="Y98"/>
      <c r="Z98"/>
      <c r="AA98"/>
      <c r="AB98"/>
      <c r="AC98"/>
      <c r="AD98"/>
      <c r="AE98"/>
      <c r="AF98"/>
      <c r="AG98"/>
      <c r="AH98"/>
      <c r="AI98"/>
    </row>
    <row r="99" spans="1:35" s="2" customFormat="1" x14ac:dyDescent="0.2">
      <c r="A99" s="2" t="s">
        <v>6</v>
      </c>
      <c r="B99" s="2">
        <v>4.38</v>
      </c>
      <c r="C99" s="2">
        <v>120</v>
      </c>
      <c r="D99" s="2" t="s">
        <v>12</v>
      </c>
      <c r="R99"/>
      <c r="S99"/>
      <c r="T99"/>
      <c r="U99"/>
      <c r="V99"/>
      <c r="W99"/>
      <c r="X99"/>
      <c r="Y99"/>
      <c r="Z99"/>
      <c r="AA99"/>
      <c r="AB99"/>
      <c r="AC99"/>
      <c r="AD99"/>
      <c r="AE99"/>
      <c r="AF99"/>
      <c r="AG99"/>
      <c r="AH99"/>
      <c r="AI99"/>
    </row>
    <row r="120" spans="13:35" s="2" customFormat="1" x14ac:dyDescent="0.2">
      <c r="M120" s="2">
        <v>0.56000000000000005</v>
      </c>
      <c r="R120"/>
      <c r="S120"/>
      <c r="T120"/>
      <c r="U120"/>
      <c r="V120"/>
      <c r="W120"/>
      <c r="X120"/>
      <c r="Y120"/>
      <c r="Z120"/>
      <c r="AA120"/>
      <c r="AB120"/>
      <c r="AC120"/>
      <c r="AD120"/>
      <c r="AE120"/>
      <c r="AF120"/>
      <c r="AG120"/>
      <c r="AH120"/>
      <c r="AI120"/>
    </row>
    <row r="121" spans="13:35" s="2" customFormat="1" x14ac:dyDescent="0.2">
      <c r="M121" s="2">
        <v>0.63</v>
      </c>
      <c r="R121"/>
      <c r="S121"/>
      <c r="T121"/>
      <c r="U121"/>
      <c r="V121"/>
      <c r="W121"/>
      <c r="X121"/>
      <c r="Y121"/>
      <c r="Z121"/>
      <c r="AA121"/>
      <c r="AB121"/>
      <c r="AC121"/>
      <c r="AD121"/>
      <c r="AE121"/>
      <c r="AF121"/>
      <c r="AG121"/>
      <c r="AH121"/>
      <c r="AI121"/>
    </row>
    <row r="122" spans="13:35" s="2" customFormat="1" x14ac:dyDescent="0.2">
      <c r="M122" s="2">
        <v>0.73</v>
      </c>
      <c r="R122"/>
      <c r="S122"/>
      <c r="T122"/>
      <c r="U122"/>
      <c r="V122"/>
      <c r="W122"/>
      <c r="X122"/>
      <c r="Y122"/>
      <c r="Z122"/>
      <c r="AA122"/>
      <c r="AB122"/>
      <c r="AC122"/>
      <c r="AD122"/>
      <c r="AE122"/>
      <c r="AF122"/>
      <c r="AG122"/>
      <c r="AH122"/>
      <c r="AI122"/>
    </row>
    <row r="123" spans="13:35" s="2" customFormat="1" x14ac:dyDescent="0.2">
      <c r="M123" s="2">
        <v>0.83</v>
      </c>
      <c r="R123"/>
      <c r="S123"/>
      <c r="T123"/>
      <c r="U123"/>
      <c r="V123"/>
      <c r="W123"/>
      <c r="X123"/>
      <c r="Y123"/>
      <c r="Z123"/>
      <c r="AA123"/>
      <c r="AB123"/>
      <c r="AC123"/>
      <c r="AD123"/>
      <c r="AE123"/>
      <c r="AF123"/>
      <c r="AG123"/>
      <c r="AH123"/>
      <c r="AI123"/>
    </row>
    <row r="124" spans="13:35" s="2" customFormat="1" x14ac:dyDescent="0.2">
      <c r="M124" s="2">
        <v>0.93</v>
      </c>
      <c r="R124"/>
      <c r="S124"/>
      <c r="T124"/>
      <c r="U124"/>
      <c r="V124"/>
      <c r="W124"/>
      <c r="X124"/>
      <c r="Y124"/>
      <c r="Z124"/>
      <c r="AA124"/>
      <c r="AB124"/>
      <c r="AC124"/>
      <c r="AD124"/>
      <c r="AE124"/>
      <c r="AF124"/>
      <c r="AG124"/>
      <c r="AH124"/>
      <c r="AI124"/>
    </row>
    <row r="125" spans="13:35" s="2" customFormat="1" x14ac:dyDescent="0.2">
      <c r="M125" s="2">
        <v>1.03</v>
      </c>
      <c r="R125"/>
      <c r="S125"/>
      <c r="T125"/>
      <c r="U125"/>
      <c r="V125"/>
      <c r="W125"/>
      <c r="X125"/>
      <c r="Y125"/>
      <c r="Z125"/>
      <c r="AA125"/>
      <c r="AB125"/>
      <c r="AC125"/>
      <c r="AD125"/>
      <c r="AE125"/>
      <c r="AF125"/>
      <c r="AG125"/>
      <c r="AH125"/>
      <c r="AI125"/>
    </row>
    <row r="126" spans="13:35" s="2" customFormat="1" x14ac:dyDescent="0.2">
      <c r="M126" s="2">
        <v>1.1299999999999999</v>
      </c>
      <c r="R126"/>
      <c r="S126"/>
      <c r="T126"/>
      <c r="U126"/>
      <c r="V126"/>
      <c r="W126"/>
      <c r="X126"/>
      <c r="Y126"/>
      <c r="Z126"/>
      <c r="AA126"/>
      <c r="AB126"/>
      <c r="AC126"/>
      <c r="AD126"/>
      <c r="AE126"/>
      <c r="AF126"/>
      <c r="AG126"/>
      <c r="AH126"/>
      <c r="AI126"/>
    </row>
    <row r="127" spans="13:35" s="2" customFormat="1" x14ac:dyDescent="0.2">
      <c r="M127" s="2">
        <v>1.23</v>
      </c>
      <c r="R127"/>
      <c r="S127"/>
      <c r="T127"/>
      <c r="U127"/>
      <c r="V127"/>
      <c r="W127"/>
      <c r="X127"/>
      <c r="Y127"/>
      <c r="Z127"/>
      <c r="AA127"/>
      <c r="AB127"/>
      <c r="AC127"/>
      <c r="AD127"/>
      <c r="AE127"/>
      <c r="AF127"/>
      <c r="AG127"/>
      <c r="AH127"/>
      <c r="AI127"/>
    </row>
    <row r="128" spans="13:35" s="2" customFormat="1" x14ac:dyDescent="0.2">
      <c r="M128" s="2">
        <v>1.52</v>
      </c>
      <c r="R128"/>
      <c r="S128"/>
      <c r="T128"/>
      <c r="U128"/>
      <c r="V128"/>
      <c r="W128"/>
      <c r="X128"/>
      <c r="Y128"/>
      <c r="Z128"/>
      <c r="AA128"/>
      <c r="AB128"/>
      <c r="AC128"/>
      <c r="AD128"/>
      <c r="AE128"/>
      <c r="AF128"/>
      <c r="AG128"/>
      <c r="AH128"/>
      <c r="AI128"/>
    </row>
    <row r="129" spans="13:35" s="2" customFormat="1" x14ac:dyDescent="0.2">
      <c r="M129" s="2">
        <v>1.81</v>
      </c>
      <c r="R129"/>
      <c r="S129"/>
      <c r="T129"/>
      <c r="U129"/>
      <c r="V129"/>
      <c r="W129"/>
      <c r="X129"/>
      <c r="Y129"/>
      <c r="Z129"/>
      <c r="AA129"/>
      <c r="AB129"/>
      <c r="AC129"/>
      <c r="AD129"/>
      <c r="AE129"/>
      <c r="AF129"/>
      <c r="AG129"/>
      <c r="AH129"/>
      <c r="AI129"/>
    </row>
    <row r="130" spans="13:35" s="2" customFormat="1" x14ac:dyDescent="0.2">
      <c r="M130" s="2">
        <v>2.0099999999999998</v>
      </c>
      <c r="R130"/>
      <c r="S130"/>
      <c r="T130"/>
      <c r="U130"/>
      <c r="V130"/>
      <c r="W130"/>
      <c r="X130"/>
      <c r="Y130"/>
      <c r="Z130"/>
      <c r="AA130"/>
      <c r="AB130"/>
      <c r="AC130"/>
      <c r="AD130"/>
      <c r="AE130"/>
      <c r="AF130"/>
      <c r="AG130"/>
      <c r="AH130"/>
      <c r="AI130"/>
    </row>
    <row r="131" spans="13:35" s="2" customFormat="1" x14ac:dyDescent="0.2">
      <c r="M131" s="2">
        <v>2.21</v>
      </c>
      <c r="R131"/>
      <c r="S131"/>
      <c r="T131"/>
      <c r="U131"/>
      <c r="V131"/>
      <c r="W131"/>
      <c r="X131"/>
      <c r="Y131"/>
      <c r="Z131"/>
      <c r="AA131"/>
      <c r="AB131"/>
      <c r="AC131"/>
      <c r="AD131"/>
      <c r="AE131"/>
      <c r="AF131"/>
      <c r="AG131"/>
      <c r="AH131"/>
      <c r="AI131"/>
    </row>
    <row r="132" spans="13:35" s="2" customFormat="1" x14ac:dyDescent="0.2">
      <c r="M132" s="2">
        <v>2.4</v>
      </c>
      <c r="R132"/>
      <c r="S132"/>
      <c r="T132"/>
      <c r="U132"/>
      <c r="V132"/>
      <c r="W132"/>
      <c r="X132"/>
      <c r="Y132"/>
      <c r="Z132"/>
      <c r="AA132"/>
      <c r="AB132"/>
      <c r="AC132"/>
      <c r="AD132"/>
      <c r="AE132"/>
      <c r="AF132"/>
      <c r="AG132"/>
      <c r="AH132"/>
      <c r="AI132"/>
    </row>
    <row r="133" spans="13:35" s="2" customFormat="1" x14ac:dyDescent="0.2">
      <c r="M133" s="2">
        <v>2.99</v>
      </c>
      <c r="R133"/>
      <c r="S133"/>
      <c r="T133"/>
      <c r="U133"/>
      <c r="V133"/>
      <c r="W133"/>
      <c r="X133"/>
      <c r="Y133"/>
      <c r="Z133"/>
      <c r="AA133"/>
      <c r="AB133"/>
      <c r="AC133"/>
      <c r="AD133"/>
      <c r="AE133"/>
      <c r="AF133"/>
      <c r="AG133"/>
      <c r="AH133"/>
      <c r="AI133"/>
    </row>
    <row r="134" spans="13:35" s="2" customFormat="1" x14ac:dyDescent="0.2">
      <c r="M134" s="2">
        <v>3.58</v>
      </c>
      <c r="R134"/>
      <c r="S134"/>
      <c r="T134"/>
      <c r="U134"/>
      <c r="V134"/>
      <c r="W134"/>
      <c r="X134"/>
      <c r="Y134"/>
      <c r="Z134"/>
      <c r="AA134"/>
      <c r="AB134"/>
      <c r="AC134"/>
      <c r="AD134"/>
      <c r="AE134"/>
      <c r="AF134"/>
      <c r="AG134"/>
      <c r="AH134"/>
      <c r="AI134"/>
    </row>
    <row r="135" spans="13:35" s="2" customFormat="1" x14ac:dyDescent="0.2">
      <c r="M135" s="2">
        <v>3.97</v>
      </c>
      <c r="R135"/>
      <c r="S135"/>
      <c r="T135"/>
      <c r="U135"/>
      <c r="V135"/>
      <c r="W135"/>
      <c r="X135"/>
      <c r="Y135"/>
      <c r="Z135"/>
      <c r="AA135"/>
      <c r="AB135"/>
      <c r="AC135"/>
      <c r="AD135"/>
      <c r="AE135"/>
      <c r="AF135"/>
      <c r="AG135"/>
      <c r="AH135"/>
      <c r="AI135"/>
    </row>
    <row r="136" spans="13:35" s="2" customFormat="1" x14ac:dyDescent="0.2">
      <c r="M136" s="2">
        <v>4.3600000000000003</v>
      </c>
      <c r="R136"/>
      <c r="S136"/>
      <c r="T136"/>
      <c r="U136"/>
      <c r="V136"/>
      <c r="W136"/>
      <c r="X136"/>
      <c r="Y136"/>
      <c r="Z136"/>
      <c r="AA136"/>
      <c r="AB136"/>
      <c r="AC136"/>
      <c r="AD136"/>
      <c r="AE136"/>
      <c r="AF136"/>
      <c r="AG136"/>
      <c r="AH136"/>
      <c r="AI136"/>
    </row>
    <row r="137" spans="13:35" s="2" customFormat="1" x14ac:dyDescent="0.2">
      <c r="M137" s="2">
        <v>4.95</v>
      </c>
      <c r="R137"/>
      <c r="S137"/>
      <c r="T137"/>
      <c r="U137"/>
      <c r="V137"/>
      <c r="W137"/>
      <c r="X137"/>
      <c r="Y137"/>
      <c r="Z137"/>
      <c r="AA137"/>
      <c r="AB137"/>
      <c r="AC137"/>
      <c r="AD137"/>
      <c r="AE137"/>
      <c r="AF137"/>
      <c r="AG137"/>
      <c r="AH137"/>
      <c r="AI137"/>
    </row>
    <row r="138" spans="13:35" s="2" customFormat="1" x14ac:dyDescent="0.2">
      <c r="M138" s="2">
        <v>5.54</v>
      </c>
      <c r="R138"/>
      <c r="S138"/>
      <c r="T138"/>
      <c r="U138"/>
      <c r="V138"/>
      <c r="W138"/>
      <c r="X138"/>
      <c r="Y138"/>
      <c r="Z138"/>
      <c r="AA138"/>
      <c r="AB138"/>
      <c r="AC138"/>
      <c r="AD138"/>
      <c r="AE138"/>
      <c r="AF138"/>
      <c r="AG138"/>
      <c r="AH138"/>
      <c r="AI138"/>
    </row>
    <row r="139" spans="13:35" s="2" customFormat="1" x14ac:dyDescent="0.2">
      <c r="M139" s="2">
        <v>5.93</v>
      </c>
      <c r="R139"/>
      <c r="S139"/>
      <c r="T139"/>
      <c r="U139"/>
      <c r="V139"/>
      <c r="W139"/>
      <c r="X139"/>
      <c r="Y139"/>
      <c r="Z139"/>
      <c r="AA139"/>
      <c r="AB139"/>
      <c r="AC139"/>
      <c r="AD139"/>
      <c r="AE139"/>
      <c r="AF139"/>
      <c r="AG139"/>
      <c r="AH139"/>
      <c r="AI139"/>
    </row>
    <row r="140" spans="13:35" s="2" customFormat="1" x14ac:dyDescent="0.2">
      <c r="M140" s="2">
        <v>0.77</v>
      </c>
      <c r="R140"/>
      <c r="S140"/>
      <c r="T140"/>
      <c r="U140"/>
      <c r="V140"/>
      <c r="W140"/>
      <c r="X140"/>
      <c r="Y140"/>
      <c r="Z140"/>
      <c r="AA140"/>
      <c r="AB140"/>
      <c r="AC140"/>
      <c r="AD140"/>
      <c r="AE140"/>
      <c r="AF140"/>
      <c r="AG140"/>
      <c r="AH140"/>
      <c r="AI140"/>
    </row>
    <row r="141" spans="13:35" s="2" customFormat="1" x14ac:dyDescent="0.2">
      <c r="M141" s="2">
        <v>0.88</v>
      </c>
      <c r="R141"/>
      <c r="S141"/>
      <c r="T141"/>
      <c r="U141"/>
      <c r="V141"/>
      <c r="W141"/>
      <c r="X141"/>
      <c r="Y141"/>
      <c r="Z141"/>
      <c r="AA141"/>
      <c r="AB141"/>
      <c r="AC141"/>
      <c r="AD141"/>
      <c r="AE141"/>
      <c r="AF141"/>
      <c r="AG141"/>
      <c r="AH141"/>
      <c r="AI141"/>
    </row>
    <row r="142" spans="13:35" s="2" customFormat="1" x14ac:dyDescent="0.2">
      <c r="M142" s="2">
        <v>1.01</v>
      </c>
      <c r="R142"/>
      <c r="S142"/>
      <c r="T142"/>
      <c r="U142"/>
      <c r="V142"/>
      <c r="W142"/>
      <c r="X142"/>
      <c r="Y142"/>
      <c r="Z142"/>
      <c r="AA142"/>
      <c r="AB142"/>
      <c r="AC142"/>
      <c r="AD142"/>
      <c r="AE142"/>
      <c r="AF142"/>
      <c r="AG142"/>
      <c r="AH142"/>
      <c r="AI142"/>
    </row>
    <row r="143" spans="13:35" s="2" customFormat="1" x14ac:dyDescent="0.2">
      <c r="M143" s="2">
        <v>1.1599999999999999</v>
      </c>
      <c r="R143"/>
      <c r="S143"/>
      <c r="T143"/>
      <c r="U143"/>
      <c r="V143"/>
      <c r="W143"/>
      <c r="X143"/>
      <c r="Y143"/>
      <c r="Z143"/>
      <c r="AA143"/>
      <c r="AB143"/>
      <c r="AC143"/>
      <c r="AD143"/>
      <c r="AE143"/>
      <c r="AF143"/>
      <c r="AG143"/>
      <c r="AH143"/>
      <c r="AI143"/>
    </row>
    <row r="144" spans="13:35" s="2" customFormat="1" x14ac:dyDescent="0.2">
      <c r="M144" s="2">
        <v>1.29</v>
      </c>
      <c r="R144"/>
      <c r="S144"/>
      <c r="T144"/>
      <c r="U144"/>
      <c r="V144"/>
      <c r="W144"/>
      <c r="X144"/>
      <c r="Y144"/>
      <c r="Z144"/>
      <c r="AA144"/>
      <c r="AB144"/>
      <c r="AC144"/>
      <c r="AD144"/>
      <c r="AE144"/>
      <c r="AF144"/>
      <c r="AG144"/>
      <c r="AH144"/>
      <c r="AI144"/>
    </row>
    <row r="145" spans="13:35" s="2" customFormat="1" x14ac:dyDescent="0.2">
      <c r="M145" s="2">
        <v>1.42</v>
      </c>
      <c r="R145"/>
      <c r="S145"/>
      <c r="T145"/>
      <c r="U145"/>
      <c r="V145"/>
      <c r="W145"/>
      <c r="X145"/>
      <c r="Y145"/>
      <c r="Z145"/>
      <c r="AA145"/>
      <c r="AB145"/>
      <c r="AC145"/>
      <c r="AD145"/>
      <c r="AE145"/>
      <c r="AF145"/>
      <c r="AG145"/>
      <c r="AH145"/>
      <c r="AI145"/>
    </row>
    <row r="146" spans="13:35" s="2" customFormat="1" x14ac:dyDescent="0.2">
      <c r="M146" s="2">
        <v>1.55</v>
      </c>
      <c r="R146"/>
      <c r="S146"/>
      <c r="T146"/>
      <c r="U146"/>
      <c r="V146"/>
      <c r="W146"/>
      <c r="X146"/>
      <c r="Y146"/>
      <c r="Z146"/>
      <c r="AA146"/>
      <c r="AB146"/>
      <c r="AC146"/>
      <c r="AD146"/>
      <c r="AE146"/>
      <c r="AF146"/>
      <c r="AG146"/>
      <c r="AH146"/>
      <c r="AI146"/>
    </row>
    <row r="147" spans="13:35" s="2" customFormat="1" x14ac:dyDescent="0.2">
      <c r="M147" s="2">
        <v>1.67</v>
      </c>
      <c r="R147"/>
      <c r="S147"/>
      <c r="T147"/>
      <c r="U147"/>
      <c r="V147"/>
      <c r="W147"/>
      <c r="X147"/>
      <c r="Y147"/>
      <c r="Z147"/>
      <c r="AA147"/>
      <c r="AB147"/>
      <c r="AC147"/>
      <c r="AD147"/>
      <c r="AE147"/>
      <c r="AF147"/>
      <c r="AG147"/>
      <c r="AH147"/>
      <c r="AI147"/>
    </row>
    <row r="148" spans="13:35" s="2" customFormat="1" x14ac:dyDescent="0.2">
      <c r="M148" s="2">
        <v>2.06</v>
      </c>
      <c r="R148"/>
      <c r="S148"/>
      <c r="T148"/>
      <c r="U148"/>
      <c r="V148"/>
      <c r="W148"/>
      <c r="X148"/>
      <c r="Y148"/>
      <c r="Z148"/>
      <c r="AA148"/>
      <c r="AB148"/>
      <c r="AC148"/>
      <c r="AD148"/>
      <c r="AE148"/>
      <c r="AF148"/>
      <c r="AG148"/>
      <c r="AH148"/>
      <c r="AI148"/>
    </row>
    <row r="149" spans="13:35" s="2" customFormat="1" x14ac:dyDescent="0.2">
      <c r="M149" s="2">
        <v>2.4500000000000002</v>
      </c>
      <c r="R149"/>
      <c r="S149"/>
      <c r="T149"/>
      <c r="U149"/>
      <c r="V149"/>
      <c r="W149"/>
      <c r="X149"/>
      <c r="Y149"/>
      <c r="Z149"/>
      <c r="AA149"/>
      <c r="AB149"/>
      <c r="AC149"/>
      <c r="AD149"/>
      <c r="AE149"/>
      <c r="AF149"/>
      <c r="AG149"/>
      <c r="AH149"/>
      <c r="AI149"/>
    </row>
    <row r="150" spans="13:35" s="2" customFormat="1" x14ac:dyDescent="0.2">
      <c r="M150" s="2">
        <v>2.7</v>
      </c>
      <c r="R150"/>
      <c r="S150"/>
      <c r="T150"/>
      <c r="U150"/>
      <c r="V150"/>
      <c r="W150"/>
      <c r="X150"/>
      <c r="Y150"/>
      <c r="Z150"/>
      <c r="AA150"/>
      <c r="AB150"/>
      <c r="AC150"/>
      <c r="AD150"/>
      <c r="AE150"/>
      <c r="AF150"/>
      <c r="AG150"/>
      <c r="AH150"/>
      <c r="AI150"/>
    </row>
    <row r="151" spans="13:35" s="2" customFormat="1" x14ac:dyDescent="0.2">
      <c r="M151" s="2">
        <v>2.96</v>
      </c>
      <c r="R151"/>
      <c r="S151"/>
      <c r="T151"/>
      <c r="U151"/>
      <c r="V151"/>
      <c r="W151"/>
      <c r="X151"/>
      <c r="Y151"/>
      <c r="Z151"/>
      <c r="AA151"/>
      <c r="AB151"/>
      <c r="AC151"/>
      <c r="AD151"/>
      <c r="AE151"/>
      <c r="AF151"/>
      <c r="AG151"/>
      <c r="AH151"/>
      <c r="AI151"/>
    </row>
    <row r="152" spans="13:35" s="2" customFormat="1" x14ac:dyDescent="0.2">
      <c r="M152" s="2">
        <v>3.22</v>
      </c>
      <c r="R152"/>
      <c r="S152"/>
      <c r="T152"/>
      <c r="U152"/>
      <c r="V152"/>
      <c r="W152"/>
      <c r="X152"/>
      <c r="Y152"/>
      <c r="Z152"/>
      <c r="AA152"/>
      <c r="AB152"/>
      <c r="AC152"/>
      <c r="AD152"/>
      <c r="AE152"/>
      <c r="AF152"/>
      <c r="AG152"/>
      <c r="AH152"/>
      <c r="AI152"/>
    </row>
    <row r="153" spans="13:35" s="2" customFormat="1" x14ac:dyDescent="0.2">
      <c r="M153" s="2">
        <v>3.99</v>
      </c>
      <c r="R153"/>
      <c r="S153"/>
      <c r="T153"/>
      <c r="U153"/>
      <c r="V153"/>
      <c r="W153"/>
      <c r="X153"/>
      <c r="Y153"/>
      <c r="Z153"/>
      <c r="AA153"/>
      <c r="AB153"/>
      <c r="AC153"/>
      <c r="AD153"/>
      <c r="AE153"/>
      <c r="AF153"/>
      <c r="AG153"/>
      <c r="AH153"/>
      <c r="AI153"/>
    </row>
    <row r="154" spans="13:35" s="2" customFormat="1" x14ac:dyDescent="0.2">
      <c r="M154" s="2">
        <v>4.76</v>
      </c>
      <c r="R154"/>
      <c r="S154"/>
      <c r="T154"/>
      <c r="U154"/>
      <c r="V154"/>
      <c r="W154"/>
      <c r="X154"/>
      <c r="Y154"/>
      <c r="Z154"/>
      <c r="AA154"/>
      <c r="AB154"/>
      <c r="AC154"/>
      <c r="AD154"/>
      <c r="AE154"/>
      <c r="AF154"/>
      <c r="AG154"/>
      <c r="AH154"/>
      <c r="AI154"/>
    </row>
    <row r="155" spans="13:35" s="2" customFormat="1" x14ac:dyDescent="0.2">
      <c r="M155" s="2">
        <v>5.28</v>
      </c>
      <c r="R155"/>
      <c r="S155"/>
      <c r="T155"/>
      <c r="U155"/>
      <c r="V155"/>
      <c r="W155"/>
      <c r="X155"/>
      <c r="Y155"/>
      <c r="Z155"/>
      <c r="AA155"/>
      <c r="AB155"/>
      <c r="AC155"/>
      <c r="AD155"/>
      <c r="AE155"/>
      <c r="AF155"/>
      <c r="AG155"/>
      <c r="AH155"/>
      <c r="AI155"/>
    </row>
    <row r="156" spans="13:35" s="2" customFormat="1" x14ac:dyDescent="0.2">
      <c r="M156" s="2">
        <v>5.79</v>
      </c>
      <c r="R156"/>
      <c r="S156"/>
      <c r="T156"/>
      <c r="U156"/>
      <c r="V156"/>
      <c r="W156"/>
      <c r="X156"/>
      <c r="Y156"/>
      <c r="Z156"/>
      <c r="AA156"/>
      <c r="AB156"/>
      <c r="AC156"/>
      <c r="AD156"/>
      <c r="AE156"/>
      <c r="AF156"/>
      <c r="AG156"/>
      <c r="AH156"/>
      <c r="AI156"/>
    </row>
    <row r="157" spans="13:35" s="2" customFormat="1" x14ac:dyDescent="0.2">
      <c r="M157" s="2">
        <v>5.56</v>
      </c>
      <c r="R157"/>
      <c r="S157"/>
      <c r="T157"/>
      <c r="U157"/>
      <c r="V157"/>
      <c r="W157"/>
      <c r="X157"/>
      <c r="Y157"/>
      <c r="Z157"/>
      <c r="AA157"/>
      <c r="AB157"/>
      <c r="AC157"/>
      <c r="AD157"/>
      <c r="AE157"/>
      <c r="AF157"/>
      <c r="AG157"/>
      <c r="AH157"/>
      <c r="AI157"/>
    </row>
    <row r="158" spans="13:35" s="2" customFormat="1" x14ac:dyDescent="0.2">
      <c r="M158" s="2">
        <v>7.33</v>
      </c>
      <c r="R158"/>
      <c r="S158"/>
      <c r="T158"/>
      <c r="U158"/>
      <c r="V158"/>
      <c r="W158"/>
      <c r="X158"/>
      <c r="Y158"/>
      <c r="Z158"/>
      <c r="AA158"/>
      <c r="AB158"/>
      <c r="AC158"/>
      <c r="AD158"/>
      <c r="AE158"/>
      <c r="AF158"/>
      <c r="AG158"/>
      <c r="AH158"/>
      <c r="AI158"/>
    </row>
    <row r="159" spans="13:35" s="2" customFormat="1" x14ac:dyDescent="0.2">
      <c r="M159" s="2">
        <v>7.85</v>
      </c>
      <c r="R159"/>
      <c r="S159"/>
      <c r="T159"/>
      <c r="U159"/>
      <c r="V159"/>
      <c r="W159"/>
      <c r="X159"/>
      <c r="Y159"/>
      <c r="Z159"/>
      <c r="AA159"/>
      <c r="AB159"/>
      <c r="AC159"/>
      <c r="AD159"/>
      <c r="AE159"/>
      <c r="AF159"/>
      <c r="AG159"/>
      <c r="AH159"/>
      <c r="AI159"/>
    </row>
    <row r="160" spans="13:35" s="2" customFormat="1" x14ac:dyDescent="0.2">
      <c r="M160" s="2">
        <v>0.88</v>
      </c>
      <c r="R160"/>
      <c r="S160"/>
      <c r="T160"/>
      <c r="U160"/>
      <c r="V160"/>
      <c r="W160"/>
      <c r="X160"/>
      <c r="Y160"/>
      <c r="Z160"/>
      <c r="AA160"/>
      <c r="AB160"/>
      <c r="AC160"/>
      <c r="AD160"/>
      <c r="AE160"/>
      <c r="AF160"/>
      <c r="AG160"/>
      <c r="AH160"/>
      <c r="AI160"/>
    </row>
    <row r="161" spans="13:35" s="2" customFormat="1" x14ac:dyDescent="0.2">
      <c r="M161" s="2">
        <v>1.01</v>
      </c>
      <c r="R161"/>
      <c r="S161"/>
      <c r="T161"/>
      <c r="U161"/>
      <c r="V161"/>
      <c r="W161"/>
      <c r="X161"/>
      <c r="Y161"/>
      <c r="Z161"/>
      <c r="AA161"/>
      <c r="AB161"/>
      <c r="AC161"/>
      <c r="AD161"/>
      <c r="AE161"/>
      <c r="AF161"/>
      <c r="AG161"/>
      <c r="AH161"/>
      <c r="AI161"/>
    </row>
    <row r="162" spans="13:35" s="2" customFormat="1" x14ac:dyDescent="0.2">
      <c r="M162" s="2">
        <v>1.18</v>
      </c>
      <c r="R162"/>
      <c r="S162"/>
      <c r="T162"/>
      <c r="U162"/>
      <c r="V162"/>
      <c r="W162"/>
      <c r="X162"/>
      <c r="Y162"/>
      <c r="Z162"/>
      <c r="AA162"/>
      <c r="AB162"/>
      <c r="AC162"/>
      <c r="AD162"/>
      <c r="AE162"/>
      <c r="AF162"/>
      <c r="AG162"/>
      <c r="AH162"/>
      <c r="AI162"/>
    </row>
    <row r="163" spans="13:35" s="2" customFormat="1" x14ac:dyDescent="0.2">
      <c r="M163" s="2">
        <v>1.51</v>
      </c>
      <c r="R163"/>
      <c r="S163"/>
      <c r="T163"/>
      <c r="U163"/>
      <c r="V163"/>
      <c r="W163"/>
      <c r="X163"/>
      <c r="Y163"/>
      <c r="Z163"/>
      <c r="AA163"/>
      <c r="AB163"/>
      <c r="AC163"/>
      <c r="AD163"/>
      <c r="AE163"/>
      <c r="AF163"/>
      <c r="AG163"/>
      <c r="AH163"/>
      <c r="AI163"/>
    </row>
    <row r="164" spans="13:35" s="2" customFormat="1" x14ac:dyDescent="0.2">
      <c r="M164" s="2">
        <v>1.67</v>
      </c>
      <c r="R164"/>
      <c r="S164"/>
      <c r="T164"/>
      <c r="U164"/>
      <c r="V164"/>
      <c r="W164"/>
      <c r="X164"/>
      <c r="Y164"/>
      <c r="Z164"/>
      <c r="AA164"/>
      <c r="AB164"/>
      <c r="AC164"/>
      <c r="AD164"/>
      <c r="AE164"/>
      <c r="AF164"/>
      <c r="AG164"/>
      <c r="AH164"/>
      <c r="AI164"/>
    </row>
    <row r="165" spans="13:35" s="2" customFormat="1" x14ac:dyDescent="0.2">
      <c r="M165" s="2">
        <v>1.83</v>
      </c>
      <c r="R165"/>
      <c r="S165"/>
      <c r="T165"/>
      <c r="U165"/>
      <c r="V165"/>
      <c r="W165"/>
      <c r="X165"/>
      <c r="Y165"/>
      <c r="Z165"/>
      <c r="AA165"/>
      <c r="AB165"/>
      <c r="AC165"/>
      <c r="AD165"/>
      <c r="AE165"/>
      <c r="AF165"/>
      <c r="AG165"/>
      <c r="AH165"/>
      <c r="AI165"/>
    </row>
    <row r="166" spans="13:35" s="2" customFormat="1" x14ac:dyDescent="0.2">
      <c r="M166" s="2">
        <v>2</v>
      </c>
      <c r="R166"/>
      <c r="S166"/>
      <c r="T166"/>
      <c r="U166"/>
      <c r="V166"/>
      <c r="W166"/>
      <c r="X166"/>
      <c r="Y166"/>
      <c r="Z166"/>
      <c r="AA166"/>
      <c r="AB166"/>
      <c r="AC166"/>
      <c r="AD166"/>
      <c r="AE166"/>
      <c r="AF166"/>
      <c r="AG166"/>
      <c r="AH166"/>
      <c r="AI166"/>
    </row>
    <row r="167" spans="13:35" s="2" customFormat="1" x14ac:dyDescent="0.2">
      <c r="M167" s="2">
        <v>2.16</v>
      </c>
      <c r="R167"/>
      <c r="S167"/>
      <c r="T167"/>
      <c r="U167"/>
      <c r="V167"/>
      <c r="W167"/>
      <c r="X167"/>
      <c r="Y167"/>
      <c r="Z167"/>
      <c r="AA167"/>
      <c r="AB167"/>
      <c r="AC167"/>
      <c r="AD167"/>
      <c r="AE167"/>
      <c r="AF167"/>
      <c r="AG167"/>
      <c r="AH167"/>
      <c r="AI167"/>
    </row>
    <row r="168" spans="13:35" s="2" customFormat="1" x14ac:dyDescent="0.2">
      <c r="M168" s="2">
        <v>2.65</v>
      </c>
      <c r="R168"/>
      <c r="S168"/>
      <c r="T168"/>
      <c r="U168"/>
      <c r="V168"/>
      <c r="W168"/>
      <c r="X168"/>
      <c r="Y168"/>
      <c r="Z168"/>
      <c r="AA168"/>
      <c r="AB168"/>
      <c r="AC168"/>
      <c r="AD168"/>
      <c r="AE168"/>
      <c r="AF168"/>
      <c r="AG168"/>
      <c r="AH168"/>
      <c r="AI168"/>
    </row>
    <row r="169" spans="13:35" s="2" customFormat="1" x14ac:dyDescent="0.2">
      <c r="M169" s="2">
        <v>3.14</v>
      </c>
      <c r="R169"/>
      <c r="S169"/>
      <c r="T169"/>
      <c r="U169"/>
      <c r="V169"/>
      <c r="W169"/>
      <c r="X169"/>
      <c r="Y169"/>
      <c r="Z169"/>
      <c r="AA169"/>
      <c r="AB169"/>
      <c r="AC169"/>
      <c r="AD169"/>
      <c r="AE169"/>
      <c r="AF169"/>
      <c r="AG169"/>
      <c r="AH169"/>
      <c r="AI169"/>
    </row>
    <row r="170" spans="13:35" s="2" customFormat="1" x14ac:dyDescent="0.2">
      <c r="M170" s="2">
        <v>3.47</v>
      </c>
      <c r="R170"/>
      <c r="S170"/>
      <c r="T170"/>
      <c r="U170"/>
      <c r="V170"/>
      <c r="W170"/>
      <c r="X170"/>
      <c r="Y170"/>
      <c r="Z170"/>
      <c r="AA170"/>
      <c r="AB170"/>
      <c r="AC170"/>
      <c r="AD170"/>
      <c r="AE170"/>
      <c r="AF170"/>
      <c r="AG170"/>
      <c r="AH170"/>
      <c r="AI170"/>
    </row>
    <row r="171" spans="13:35" s="2" customFormat="1" x14ac:dyDescent="0.2">
      <c r="M171" s="2">
        <v>3.79</v>
      </c>
      <c r="R171"/>
      <c r="S171"/>
      <c r="T171"/>
      <c r="U171"/>
      <c r="V171"/>
      <c r="W171"/>
      <c r="X171"/>
      <c r="Y171"/>
      <c r="Z171"/>
      <c r="AA171"/>
      <c r="AB171"/>
      <c r="AC171"/>
      <c r="AD171"/>
      <c r="AE171"/>
      <c r="AF171"/>
      <c r="AG171"/>
      <c r="AH171"/>
      <c r="AI171"/>
    </row>
    <row r="172" spans="13:35" s="2" customFormat="1" x14ac:dyDescent="0.2">
      <c r="M172" s="2">
        <v>4.12</v>
      </c>
      <c r="R172"/>
      <c r="S172"/>
      <c r="T172"/>
      <c r="U172"/>
      <c r="V172"/>
      <c r="W172"/>
      <c r="X172"/>
      <c r="Y172"/>
      <c r="Z172"/>
      <c r="AA172"/>
      <c r="AB172"/>
      <c r="AC172"/>
      <c r="AD172"/>
      <c r="AE172"/>
      <c r="AF172"/>
      <c r="AG172"/>
      <c r="AH172"/>
      <c r="AI172"/>
    </row>
    <row r="173" spans="13:35" s="2" customFormat="1" x14ac:dyDescent="0.2">
      <c r="M173" s="2">
        <v>5.0999999999999996</v>
      </c>
      <c r="R173"/>
      <c r="S173"/>
      <c r="T173"/>
      <c r="U173"/>
      <c r="V173"/>
      <c r="W173"/>
      <c r="X173"/>
      <c r="Y173"/>
      <c r="Z173"/>
      <c r="AA173"/>
      <c r="AB173"/>
      <c r="AC173"/>
      <c r="AD173"/>
      <c r="AE173"/>
      <c r="AF173"/>
      <c r="AG173"/>
      <c r="AH173"/>
      <c r="AI173"/>
    </row>
    <row r="174" spans="13:35" s="2" customFormat="1" x14ac:dyDescent="0.2">
      <c r="M174" s="2">
        <v>6.08</v>
      </c>
      <c r="R174"/>
      <c r="S174"/>
      <c r="T174"/>
      <c r="U174"/>
      <c r="V174"/>
      <c r="W174"/>
      <c r="X174"/>
      <c r="Y174"/>
      <c r="Z174"/>
      <c r="AA174"/>
      <c r="AB174"/>
      <c r="AC174"/>
      <c r="AD174"/>
      <c r="AE174"/>
      <c r="AF174"/>
      <c r="AG174"/>
      <c r="AH174"/>
      <c r="AI174"/>
    </row>
    <row r="175" spans="13:35" s="2" customFormat="1" x14ac:dyDescent="0.2">
      <c r="M175" s="2">
        <v>6.73</v>
      </c>
      <c r="R175"/>
      <c r="S175"/>
      <c r="T175"/>
      <c r="U175"/>
      <c r="V175"/>
      <c r="W175"/>
      <c r="X175"/>
      <c r="Y175"/>
      <c r="Z175"/>
      <c r="AA175"/>
      <c r="AB175"/>
      <c r="AC175"/>
      <c r="AD175"/>
      <c r="AE175"/>
      <c r="AF175"/>
      <c r="AG175"/>
      <c r="AH175"/>
      <c r="AI175"/>
    </row>
    <row r="176" spans="13:35" s="2" customFormat="1" x14ac:dyDescent="0.2">
      <c r="M176" s="2">
        <v>7.39</v>
      </c>
      <c r="R176"/>
      <c r="S176"/>
      <c r="T176"/>
      <c r="U176"/>
      <c r="V176"/>
      <c r="W176"/>
      <c r="X176"/>
      <c r="Y176"/>
      <c r="Z176"/>
      <c r="AA176"/>
      <c r="AB176"/>
      <c r="AC176"/>
      <c r="AD176"/>
      <c r="AE176"/>
      <c r="AF176"/>
      <c r="AG176"/>
      <c r="AH176"/>
      <c r="AI176"/>
    </row>
    <row r="177" spans="13:35" s="2" customFormat="1" x14ac:dyDescent="0.2">
      <c r="M177" s="2">
        <v>8.3699999999999992</v>
      </c>
      <c r="R177"/>
      <c r="S177"/>
      <c r="T177"/>
      <c r="U177"/>
      <c r="V177"/>
      <c r="W177"/>
      <c r="X177"/>
      <c r="Y177"/>
      <c r="Z177"/>
      <c r="AA177"/>
      <c r="AB177"/>
      <c r="AC177"/>
      <c r="AD177"/>
      <c r="AE177"/>
      <c r="AF177"/>
      <c r="AG177"/>
      <c r="AH177"/>
      <c r="AI177"/>
    </row>
    <row r="178" spans="13:35" s="2" customFormat="1" x14ac:dyDescent="0.2">
      <c r="M178" s="2">
        <v>9.35</v>
      </c>
      <c r="R178"/>
      <c r="S178"/>
      <c r="T178"/>
      <c r="U178"/>
      <c r="V178"/>
      <c r="W178"/>
      <c r="X178"/>
      <c r="Y178"/>
      <c r="Z178"/>
      <c r="AA178"/>
      <c r="AB178"/>
      <c r="AC178"/>
      <c r="AD178"/>
      <c r="AE178"/>
      <c r="AF178"/>
      <c r="AG178"/>
      <c r="AH178"/>
      <c r="AI178"/>
    </row>
    <row r="179" spans="13:35" s="2" customFormat="1" x14ac:dyDescent="0.2">
      <c r="M179" s="2">
        <v>10</v>
      </c>
      <c r="R179"/>
      <c r="S179"/>
      <c r="T179"/>
      <c r="U179"/>
      <c r="V179"/>
      <c r="W179"/>
      <c r="X179"/>
      <c r="Y179"/>
      <c r="Z179"/>
      <c r="AA179"/>
      <c r="AB179"/>
      <c r="AC179"/>
      <c r="AD179"/>
      <c r="AE179"/>
      <c r="AF179"/>
      <c r="AG179"/>
      <c r="AH179"/>
      <c r="AI179"/>
    </row>
    <row r="180" spans="13:35" s="2" customFormat="1" x14ac:dyDescent="0.2">
      <c r="M180" s="2">
        <v>1.26</v>
      </c>
      <c r="R180"/>
      <c r="S180"/>
      <c r="T180"/>
      <c r="U180"/>
      <c r="V180"/>
      <c r="W180"/>
      <c r="X180"/>
      <c r="Y180"/>
      <c r="Z180"/>
      <c r="AA180"/>
      <c r="AB180"/>
      <c r="AC180"/>
      <c r="AD180"/>
      <c r="AE180"/>
      <c r="AF180"/>
      <c r="AG180"/>
      <c r="AH180"/>
      <c r="AI180"/>
    </row>
    <row r="181" spans="13:35" s="2" customFormat="1" x14ac:dyDescent="0.2">
      <c r="M181" s="2">
        <v>1.42</v>
      </c>
      <c r="R181"/>
      <c r="S181"/>
      <c r="T181"/>
      <c r="U181"/>
      <c r="V181"/>
      <c r="W181"/>
      <c r="X181"/>
      <c r="Y181"/>
      <c r="Z181"/>
      <c r="AA181"/>
      <c r="AB181"/>
      <c r="AC181"/>
      <c r="AD181"/>
      <c r="AE181"/>
      <c r="AF181"/>
      <c r="AG181"/>
      <c r="AH181"/>
      <c r="AI181"/>
    </row>
    <row r="182" spans="13:35" s="2" customFormat="1" x14ac:dyDescent="0.2">
      <c r="M182" s="2">
        <v>1.62</v>
      </c>
      <c r="R182"/>
      <c r="S182"/>
      <c r="T182"/>
      <c r="U182"/>
      <c r="V182"/>
      <c r="W182"/>
      <c r="X182"/>
      <c r="Y182"/>
      <c r="Z182"/>
      <c r="AA182"/>
      <c r="AB182"/>
      <c r="AC182"/>
      <c r="AD182"/>
      <c r="AE182"/>
      <c r="AF182"/>
      <c r="AG182"/>
      <c r="AH182"/>
      <c r="AI182"/>
    </row>
    <row r="183" spans="13:35" s="2" customFormat="1" x14ac:dyDescent="0.2">
      <c r="M183" s="2">
        <v>1.79</v>
      </c>
      <c r="R183"/>
      <c r="S183"/>
      <c r="T183"/>
      <c r="U183"/>
      <c r="V183"/>
      <c r="W183"/>
      <c r="X183"/>
      <c r="Y183"/>
      <c r="Z183"/>
      <c r="AA183"/>
      <c r="AB183"/>
      <c r="AC183"/>
      <c r="AD183"/>
      <c r="AE183"/>
      <c r="AF183"/>
      <c r="AG183"/>
      <c r="AH183"/>
      <c r="AI183"/>
    </row>
    <row r="184" spans="13:35" s="2" customFormat="1" x14ac:dyDescent="0.2">
      <c r="M184" s="2">
        <v>1.99</v>
      </c>
      <c r="R184"/>
      <c r="S184"/>
      <c r="T184"/>
      <c r="U184"/>
      <c r="V184"/>
      <c r="W184"/>
      <c r="X184"/>
      <c r="Y184"/>
      <c r="Z184"/>
      <c r="AA184"/>
      <c r="AB184"/>
      <c r="AC184"/>
      <c r="AD184"/>
      <c r="AE184"/>
      <c r="AF184"/>
      <c r="AG184"/>
      <c r="AH184"/>
      <c r="AI184"/>
    </row>
    <row r="185" spans="13:35" s="2" customFormat="1" x14ac:dyDescent="0.2">
      <c r="M185" s="2">
        <v>2.19</v>
      </c>
      <c r="R185"/>
      <c r="S185"/>
      <c r="T185"/>
      <c r="U185"/>
      <c r="V185"/>
      <c r="W185"/>
      <c r="X185"/>
      <c r="Y185"/>
      <c r="Z185"/>
      <c r="AA185"/>
      <c r="AB185"/>
      <c r="AC185"/>
      <c r="AD185"/>
      <c r="AE185"/>
      <c r="AF185"/>
      <c r="AG185"/>
      <c r="AH185"/>
      <c r="AI185"/>
    </row>
    <row r="186" spans="13:35" s="2" customFormat="1" x14ac:dyDescent="0.2">
      <c r="M186" s="2">
        <v>2.38</v>
      </c>
      <c r="R186"/>
      <c r="S186"/>
      <c r="T186"/>
      <c r="U186"/>
      <c r="V186"/>
      <c r="W186"/>
      <c r="X186"/>
      <c r="Y186"/>
      <c r="Z186"/>
      <c r="AA186"/>
      <c r="AB186"/>
      <c r="AC186"/>
      <c r="AD186"/>
      <c r="AE186"/>
      <c r="AF186"/>
      <c r="AG186"/>
      <c r="AH186"/>
      <c r="AI186"/>
    </row>
    <row r="187" spans="13:35" s="2" customFormat="1" x14ac:dyDescent="0.2">
      <c r="M187" s="2">
        <v>2.58</v>
      </c>
      <c r="R187"/>
      <c r="S187"/>
      <c r="T187"/>
      <c r="U187"/>
      <c r="V187"/>
      <c r="W187"/>
      <c r="X187"/>
      <c r="Y187"/>
      <c r="Z187"/>
      <c r="AA187"/>
      <c r="AB187"/>
      <c r="AC187"/>
      <c r="AD187"/>
      <c r="AE187"/>
      <c r="AF187"/>
      <c r="AG187"/>
      <c r="AH187"/>
      <c r="AI187"/>
    </row>
    <row r="188" spans="13:35" s="2" customFormat="1" x14ac:dyDescent="0.2">
      <c r="M188" s="2">
        <v>3.17</v>
      </c>
      <c r="R188"/>
      <c r="S188"/>
      <c r="T188"/>
      <c r="U188"/>
      <c r="V188"/>
      <c r="W188"/>
      <c r="X188"/>
      <c r="Y188"/>
      <c r="Z188"/>
      <c r="AA188"/>
      <c r="AB188"/>
      <c r="AC188"/>
      <c r="AD188"/>
      <c r="AE188"/>
      <c r="AF188"/>
      <c r="AG188"/>
      <c r="AH188"/>
      <c r="AI188"/>
    </row>
    <row r="189" spans="13:35" s="2" customFormat="1" x14ac:dyDescent="0.2">
      <c r="M189" s="2">
        <v>3.76</v>
      </c>
      <c r="R189"/>
      <c r="S189"/>
      <c r="T189"/>
      <c r="U189"/>
      <c r="V189"/>
      <c r="W189"/>
      <c r="X189"/>
      <c r="Y189"/>
      <c r="Z189"/>
      <c r="AA189"/>
      <c r="AB189"/>
      <c r="AC189"/>
      <c r="AD189"/>
      <c r="AE189"/>
      <c r="AF189"/>
      <c r="AG189"/>
      <c r="AH189"/>
      <c r="AI189"/>
    </row>
    <row r="190" spans="13:35" s="2" customFormat="1" x14ac:dyDescent="0.2">
      <c r="M190" s="2">
        <v>4.16</v>
      </c>
      <c r="R190"/>
      <c r="S190"/>
      <c r="T190"/>
      <c r="U190"/>
      <c r="V190"/>
      <c r="W190"/>
      <c r="X190"/>
      <c r="Y190"/>
      <c r="Z190"/>
      <c r="AA190"/>
      <c r="AB190"/>
      <c r="AC190"/>
      <c r="AD190"/>
      <c r="AE190"/>
      <c r="AF190"/>
      <c r="AG190"/>
      <c r="AH190"/>
      <c r="AI190"/>
    </row>
    <row r="191" spans="13:35" s="2" customFormat="1" x14ac:dyDescent="0.2">
      <c r="M191" s="2">
        <v>4.55</v>
      </c>
      <c r="R191"/>
      <c r="S191"/>
      <c r="T191"/>
      <c r="U191"/>
      <c r="V191"/>
      <c r="W191"/>
      <c r="X191"/>
      <c r="Y191"/>
      <c r="Z191"/>
      <c r="AA191"/>
      <c r="AB191"/>
      <c r="AC191"/>
      <c r="AD191"/>
      <c r="AE191"/>
      <c r="AF191"/>
      <c r="AG191"/>
      <c r="AH191"/>
      <c r="AI191"/>
    </row>
    <row r="192" spans="13:35" s="2" customFormat="1" x14ac:dyDescent="0.2">
      <c r="M192" s="2">
        <v>4.95</v>
      </c>
      <c r="R192"/>
      <c r="S192"/>
      <c r="T192"/>
      <c r="U192"/>
      <c r="V192"/>
      <c r="W192"/>
      <c r="X192"/>
      <c r="Y192"/>
      <c r="Z192"/>
      <c r="AA192"/>
      <c r="AB192"/>
      <c r="AC192"/>
      <c r="AD192"/>
      <c r="AE192"/>
      <c r="AF192"/>
      <c r="AG192"/>
      <c r="AH192"/>
      <c r="AI192"/>
    </row>
    <row r="193" spans="13:35" s="2" customFormat="1" x14ac:dyDescent="0.2">
      <c r="M193" s="2">
        <v>6.13</v>
      </c>
      <c r="R193"/>
      <c r="S193"/>
      <c r="T193"/>
      <c r="U193"/>
      <c r="V193"/>
      <c r="W193"/>
      <c r="X193"/>
      <c r="Y193"/>
      <c r="Z193"/>
      <c r="AA193"/>
      <c r="AB193"/>
      <c r="AC193"/>
      <c r="AD193"/>
      <c r="AE193"/>
      <c r="AF193"/>
      <c r="AG193"/>
      <c r="AH193"/>
      <c r="AI193"/>
    </row>
    <row r="194" spans="13:35" s="2" customFormat="1" x14ac:dyDescent="0.2">
      <c r="M194" s="2">
        <v>7.31</v>
      </c>
      <c r="R194"/>
      <c r="S194"/>
      <c r="T194"/>
      <c r="U194"/>
      <c r="V194"/>
      <c r="W194"/>
      <c r="X194"/>
      <c r="Y194"/>
      <c r="Z194"/>
      <c r="AA194"/>
      <c r="AB194"/>
      <c r="AC194"/>
      <c r="AD194"/>
      <c r="AE194"/>
      <c r="AF194"/>
      <c r="AG194"/>
      <c r="AH194"/>
      <c r="AI194"/>
    </row>
    <row r="195" spans="13:35" s="2" customFormat="1" x14ac:dyDescent="0.2">
      <c r="M195" s="2">
        <v>8.1</v>
      </c>
      <c r="R195"/>
      <c r="S195"/>
      <c r="T195"/>
      <c r="U195"/>
      <c r="V195"/>
      <c r="W195"/>
      <c r="X195"/>
      <c r="Y195"/>
      <c r="Z195"/>
      <c r="AA195"/>
      <c r="AB195"/>
      <c r="AC195"/>
      <c r="AD195"/>
      <c r="AE195"/>
      <c r="AF195"/>
      <c r="AG195"/>
      <c r="AH195"/>
      <c r="AI195"/>
    </row>
    <row r="196" spans="13:35" s="2" customFormat="1" x14ac:dyDescent="0.2">
      <c r="M196" s="2">
        <v>8.89</v>
      </c>
      <c r="R196"/>
      <c r="S196"/>
      <c r="T196"/>
      <c r="U196"/>
      <c r="V196"/>
      <c r="W196"/>
      <c r="X196"/>
      <c r="Y196"/>
      <c r="Z196"/>
      <c r="AA196"/>
      <c r="AB196"/>
      <c r="AC196"/>
      <c r="AD196"/>
      <c r="AE196"/>
      <c r="AF196"/>
      <c r="AG196"/>
      <c r="AH196"/>
      <c r="AI196"/>
    </row>
    <row r="197" spans="13:35" s="2" customFormat="1" x14ac:dyDescent="0.2">
      <c r="M197" s="2">
        <v>10.07</v>
      </c>
      <c r="R197"/>
      <c r="S197"/>
      <c r="T197"/>
      <c r="U197"/>
      <c r="V197"/>
      <c r="W197"/>
      <c r="X197"/>
      <c r="Y197"/>
      <c r="Z197"/>
      <c r="AA197"/>
      <c r="AB197"/>
      <c r="AC197"/>
      <c r="AD197"/>
      <c r="AE197"/>
      <c r="AF197"/>
      <c r="AG197"/>
      <c r="AH197"/>
      <c r="AI197"/>
    </row>
    <row r="198" spans="13:35" s="2" customFormat="1" x14ac:dyDescent="0.2">
      <c r="M198" s="2">
        <v>11.25</v>
      </c>
      <c r="R198"/>
      <c r="S198"/>
      <c r="T198"/>
      <c r="U198"/>
      <c r="V198"/>
      <c r="W198"/>
      <c r="X198"/>
      <c r="Y198"/>
      <c r="Z198"/>
      <c r="AA198"/>
      <c r="AB198"/>
      <c r="AC198"/>
      <c r="AD198"/>
      <c r="AE198"/>
      <c r="AF198"/>
      <c r="AG198"/>
      <c r="AH198"/>
      <c r="AI198"/>
    </row>
    <row r="199" spans="13:35" s="2" customFormat="1" x14ac:dyDescent="0.2">
      <c r="M199" s="2">
        <v>12.04</v>
      </c>
      <c r="R199"/>
      <c r="S199"/>
      <c r="T199"/>
      <c r="U199"/>
      <c r="V199"/>
      <c r="W199"/>
      <c r="X199"/>
      <c r="Y199"/>
      <c r="Z199"/>
      <c r="AA199"/>
      <c r="AB199"/>
      <c r="AC199"/>
      <c r="AD199"/>
      <c r="AE199"/>
      <c r="AF199"/>
      <c r="AG199"/>
      <c r="AH199"/>
      <c r="AI199"/>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4542-D38A-4855-98B8-554F753D1B14}">
  <dimension ref="A1:O163"/>
  <sheetViews>
    <sheetView topLeftCell="A67" workbookViewId="0">
      <selection activeCell="G71" sqref="G71"/>
    </sheetView>
  </sheetViews>
  <sheetFormatPr baseColWidth="10" defaultRowHeight="12.75" x14ac:dyDescent="0.2"/>
  <cols>
    <col min="1" max="1" width="3.5703125" bestFit="1" customWidth="1"/>
    <col min="2" max="2" width="15.85546875" customWidth="1"/>
    <col min="3" max="3" width="3.140625" bestFit="1" customWidth="1"/>
    <col min="4" max="4" width="3.42578125" bestFit="1" customWidth="1"/>
    <col min="5" max="5" width="6.42578125" bestFit="1" customWidth="1"/>
    <col min="6" max="6" width="3.42578125" bestFit="1" customWidth="1"/>
    <col min="7" max="7" width="4.42578125" bestFit="1" customWidth="1"/>
    <col min="8" max="8" width="3.140625" bestFit="1" customWidth="1"/>
    <col min="9" max="9" width="4" bestFit="1" customWidth="1"/>
    <col min="10" max="12" width="4.5703125" bestFit="1" customWidth="1"/>
    <col min="13" max="13" width="4.7109375" style="185" bestFit="1" customWidth="1"/>
    <col min="14" max="14" width="9.85546875" customWidth="1"/>
  </cols>
  <sheetData>
    <row r="1" spans="1:15" ht="207" customHeight="1" x14ac:dyDescent="0.2"/>
    <row r="3" spans="1:15" x14ac:dyDescent="0.2">
      <c r="A3" s="175"/>
      <c r="B3" s="176"/>
      <c r="C3" s="177"/>
      <c r="D3" s="178"/>
      <c r="E3" s="177"/>
      <c r="F3" s="179"/>
      <c r="G3" s="180"/>
      <c r="H3" s="336" t="s">
        <v>442</v>
      </c>
      <c r="I3" s="335"/>
      <c r="J3" s="335"/>
      <c r="K3" s="335"/>
      <c r="L3" s="335"/>
      <c r="M3" s="186"/>
      <c r="N3" s="181"/>
      <c r="O3" s="174"/>
    </row>
    <row r="4" spans="1:15" ht="18" x14ac:dyDescent="0.2">
      <c r="A4" s="175" t="s">
        <v>162</v>
      </c>
      <c r="B4" s="176" t="s">
        <v>443</v>
      </c>
      <c r="C4" s="177" t="s">
        <v>444</v>
      </c>
      <c r="D4" s="178" t="s">
        <v>445</v>
      </c>
      <c r="E4" s="177" t="s">
        <v>446</v>
      </c>
      <c r="F4" s="179" t="s">
        <v>447</v>
      </c>
      <c r="G4" s="180" t="s">
        <v>448</v>
      </c>
      <c r="H4" s="335" t="s">
        <v>449</v>
      </c>
      <c r="I4" s="335"/>
      <c r="J4" s="180" t="s">
        <v>450</v>
      </c>
      <c r="K4" s="180" t="s">
        <v>451</v>
      </c>
      <c r="L4" s="180" t="s">
        <v>452</v>
      </c>
      <c r="M4" s="186" t="s">
        <v>453</v>
      </c>
      <c r="N4" s="181" t="s">
        <v>454</v>
      </c>
      <c r="O4" s="174"/>
    </row>
    <row r="5" spans="1:15" ht="18" x14ac:dyDescent="0.2">
      <c r="A5" s="175"/>
      <c r="B5" s="176"/>
      <c r="C5" s="177" t="s">
        <v>39</v>
      </c>
      <c r="D5" s="178" t="s">
        <v>455</v>
      </c>
      <c r="E5" s="177" t="s">
        <v>456</v>
      </c>
      <c r="F5" s="179" t="s">
        <v>41</v>
      </c>
      <c r="G5" s="180" t="s">
        <v>457</v>
      </c>
      <c r="H5" s="180" t="s">
        <v>458</v>
      </c>
      <c r="I5" s="182" t="s">
        <v>459</v>
      </c>
      <c r="J5" s="180" t="s">
        <v>459</v>
      </c>
      <c r="K5" s="180" t="s">
        <v>459</v>
      </c>
      <c r="L5" s="180" t="s">
        <v>459</v>
      </c>
      <c r="M5" s="186" t="s">
        <v>0</v>
      </c>
      <c r="N5" s="181"/>
      <c r="O5" s="174"/>
    </row>
    <row r="6" spans="1:15" ht="18" x14ac:dyDescent="0.2">
      <c r="A6" s="175">
        <v>200</v>
      </c>
      <c r="B6" s="176" t="s">
        <v>460</v>
      </c>
      <c r="C6" s="177">
        <v>65</v>
      </c>
      <c r="D6" s="178">
        <v>200</v>
      </c>
      <c r="E6" s="177">
        <v>127</v>
      </c>
      <c r="F6" s="179">
        <v>0.37</v>
      </c>
      <c r="G6" s="180">
        <v>0.32</v>
      </c>
      <c r="H6" s="180">
        <v>43.8</v>
      </c>
      <c r="I6" s="182">
        <v>14.9</v>
      </c>
      <c r="J6" s="180">
        <v>11.3</v>
      </c>
      <c r="K6" s="183">
        <v>7.9</v>
      </c>
      <c r="L6" s="180">
        <v>4.7</v>
      </c>
      <c r="M6" s="186">
        <v>1.25</v>
      </c>
      <c r="N6" s="181">
        <v>40</v>
      </c>
      <c r="O6" s="174"/>
    </row>
    <row r="7" spans="1:15" ht="18" x14ac:dyDescent="0.2">
      <c r="A7" s="175">
        <v>300</v>
      </c>
      <c r="B7" s="176" t="s">
        <v>461</v>
      </c>
      <c r="C7" s="177">
        <v>65</v>
      </c>
      <c r="D7" s="178">
        <v>300</v>
      </c>
      <c r="E7" s="177">
        <v>235</v>
      </c>
      <c r="F7" s="179">
        <v>0.51</v>
      </c>
      <c r="G7" s="180">
        <v>0.4</v>
      </c>
      <c r="H7" s="180">
        <v>68.8</v>
      </c>
      <c r="I7" s="182">
        <v>23.4</v>
      </c>
      <c r="J7" s="180">
        <v>17.8</v>
      </c>
      <c r="K7" s="183">
        <v>12.5</v>
      </c>
      <c r="L7" s="180">
        <v>7.5</v>
      </c>
      <c r="M7" s="186">
        <v>1.24</v>
      </c>
      <c r="N7" s="181">
        <v>40</v>
      </c>
      <c r="O7" s="174"/>
    </row>
    <row r="8" spans="1:15" ht="18" x14ac:dyDescent="0.2">
      <c r="A8" s="175">
        <v>350</v>
      </c>
      <c r="B8" s="176" t="s">
        <v>462</v>
      </c>
      <c r="C8" s="177">
        <v>65</v>
      </c>
      <c r="D8" s="178">
        <v>350</v>
      </c>
      <c r="E8" s="177">
        <v>285</v>
      </c>
      <c r="F8" s="179">
        <v>0.57999999999999996</v>
      </c>
      <c r="G8" s="180">
        <v>0.44</v>
      </c>
      <c r="H8" s="180">
        <v>78.599999999999994</v>
      </c>
      <c r="I8" s="182">
        <v>26.8</v>
      </c>
      <c r="J8" s="180">
        <v>20.3</v>
      </c>
      <c r="K8" s="183">
        <v>14.2</v>
      </c>
      <c r="L8" s="180">
        <v>8.6</v>
      </c>
      <c r="M8" s="186">
        <v>1.24</v>
      </c>
      <c r="N8" s="181">
        <v>40</v>
      </c>
      <c r="O8" s="174"/>
    </row>
    <row r="9" spans="1:15" ht="18" x14ac:dyDescent="0.2">
      <c r="A9" s="175">
        <v>365</v>
      </c>
      <c r="B9" s="176" t="s">
        <v>463</v>
      </c>
      <c r="C9" s="177">
        <v>65</v>
      </c>
      <c r="D9" s="178">
        <v>365</v>
      </c>
      <c r="E9" s="177">
        <v>300</v>
      </c>
      <c r="F9" s="179">
        <v>0.61</v>
      </c>
      <c r="G9" s="180">
        <v>0.45</v>
      </c>
      <c r="H9" s="180">
        <v>81.5</v>
      </c>
      <c r="I9" s="182">
        <v>27.8</v>
      </c>
      <c r="J9" s="180">
        <v>21.1</v>
      </c>
      <c r="K9" s="183">
        <v>14.7</v>
      </c>
      <c r="L9" s="180">
        <v>8.9</v>
      </c>
      <c r="M9" s="186">
        <v>1.24</v>
      </c>
      <c r="N9" s="181">
        <v>40</v>
      </c>
      <c r="O9" s="174"/>
    </row>
    <row r="10" spans="1:15" ht="18" x14ac:dyDescent="0.2">
      <c r="A10" s="175">
        <v>400</v>
      </c>
      <c r="B10" s="176" t="s">
        <v>464</v>
      </c>
      <c r="C10" s="177">
        <v>65</v>
      </c>
      <c r="D10" s="178">
        <v>400</v>
      </c>
      <c r="E10" s="177">
        <v>335</v>
      </c>
      <c r="F10" s="179">
        <v>0.66</v>
      </c>
      <c r="G10" s="180">
        <v>0.48</v>
      </c>
      <c r="H10" s="180">
        <v>88.3</v>
      </c>
      <c r="I10" s="182">
        <v>30.1</v>
      </c>
      <c r="J10" s="180">
        <v>22.8</v>
      </c>
      <c r="K10" s="183">
        <v>15.9</v>
      </c>
      <c r="L10" s="180">
        <v>9.6</v>
      </c>
      <c r="M10" s="186">
        <v>1.25</v>
      </c>
      <c r="N10" s="181">
        <v>40</v>
      </c>
      <c r="O10" s="174"/>
    </row>
    <row r="11" spans="1:15" ht="18" x14ac:dyDescent="0.2">
      <c r="A11" s="175">
        <v>450</v>
      </c>
      <c r="B11" s="176" t="s">
        <v>465</v>
      </c>
      <c r="C11" s="177">
        <v>65</v>
      </c>
      <c r="D11" s="178">
        <v>450</v>
      </c>
      <c r="E11" s="177">
        <v>385</v>
      </c>
      <c r="F11" s="179">
        <v>0.73</v>
      </c>
      <c r="G11" s="180">
        <v>0.51</v>
      </c>
      <c r="H11" s="180">
        <v>97.9</v>
      </c>
      <c r="I11" s="182">
        <v>33.4</v>
      </c>
      <c r="J11" s="180">
        <v>25.3</v>
      </c>
      <c r="K11" s="183">
        <v>17.600000000000001</v>
      </c>
      <c r="L11" s="180">
        <v>10.6</v>
      </c>
      <c r="M11" s="186">
        <v>1.25</v>
      </c>
      <c r="N11" s="181">
        <v>40</v>
      </c>
      <c r="O11" s="174"/>
    </row>
    <row r="12" spans="1:15" ht="18" x14ac:dyDescent="0.2">
      <c r="A12" s="175">
        <v>500</v>
      </c>
      <c r="B12" s="176" t="s">
        <v>466</v>
      </c>
      <c r="C12" s="177">
        <v>65</v>
      </c>
      <c r="D12" s="178">
        <v>500</v>
      </c>
      <c r="E12" s="177">
        <v>435</v>
      </c>
      <c r="F12" s="179">
        <v>0.8</v>
      </c>
      <c r="G12" s="180">
        <v>0.55000000000000004</v>
      </c>
      <c r="H12" s="180">
        <v>107.5</v>
      </c>
      <c r="I12" s="182">
        <v>36.700000000000003</v>
      </c>
      <c r="J12" s="180">
        <v>27.7</v>
      </c>
      <c r="K12" s="183">
        <v>19.3</v>
      </c>
      <c r="L12" s="180">
        <v>11.6</v>
      </c>
      <c r="M12" s="186">
        <v>1.25</v>
      </c>
      <c r="N12" s="181">
        <v>40</v>
      </c>
      <c r="O12" s="174"/>
    </row>
    <row r="13" spans="1:15" ht="18" x14ac:dyDescent="0.2">
      <c r="A13" s="175">
        <v>535</v>
      </c>
      <c r="B13" s="176" t="s">
        <v>467</v>
      </c>
      <c r="C13" s="177">
        <v>65</v>
      </c>
      <c r="D13" s="178">
        <v>535</v>
      </c>
      <c r="E13" s="177">
        <v>470</v>
      </c>
      <c r="F13" s="179">
        <v>0.85</v>
      </c>
      <c r="G13" s="180">
        <v>0.57999999999999996</v>
      </c>
      <c r="H13" s="180">
        <v>114.2</v>
      </c>
      <c r="I13" s="182">
        <v>38.9</v>
      </c>
      <c r="J13" s="180">
        <v>29.4</v>
      </c>
      <c r="K13" s="183">
        <v>20.5</v>
      </c>
      <c r="L13" s="180">
        <v>12.3</v>
      </c>
      <c r="M13" s="186">
        <v>1.26</v>
      </c>
      <c r="N13" s="181">
        <v>40</v>
      </c>
      <c r="O13" s="174"/>
    </row>
    <row r="14" spans="1:15" ht="18" x14ac:dyDescent="0.2">
      <c r="A14" s="175">
        <v>550</v>
      </c>
      <c r="B14" s="176" t="s">
        <v>468</v>
      </c>
      <c r="C14" s="177">
        <v>65</v>
      </c>
      <c r="D14" s="178">
        <v>550</v>
      </c>
      <c r="E14" s="177">
        <v>485</v>
      </c>
      <c r="F14" s="179">
        <v>0.87</v>
      </c>
      <c r="G14" s="180">
        <v>0.59</v>
      </c>
      <c r="H14" s="180">
        <v>117.1</v>
      </c>
      <c r="I14" s="182">
        <v>39.9</v>
      </c>
      <c r="J14" s="180">
        <v>30.1</v>
      </c>
      <c r="K14" s="183">
        <v>21</v>
      </c>
      <c r="L14" s="180">
        <v>12.6</v>
      </c>
      <c r="M14" s="186">
        <v>1.26</v>
      </c>
      <c r="N14" s="181">
        <v>40</v>
      </c>
      <c r="O14" s="174"/>
    </row>
    <row r="15" spans="1:15" ht="18" x14ac:dyDescent="0.2">
      <c r="A15" s="175">
        <v>565</v>
      </c>
      <c r="B15" s="176" t="s">
        <v>469</v>
      </c>
      <c r="C15" s="177">
        <v>65</v>
      </c>
      <c r="D15" s="178">
        <v>565</v>
      </c>
      <c r="E15" s="177">
        <v>500</v>
      </c>
      <c r="F15" s="179">
        <v>0.89</v>
      </c>
      <c r="G15" s="180">
        <v>0.6</v>
      </c>
      <c r="H15" s="180">
        <v>120</v>
      </c>
      <c r="I15" s="182">
        <v>40.9</v>
      </c>
      <c r="J15" s="180">
        <v>30.9</v>
      </c>
      <c r="K15" s="183">
        <v>21.5</v>
      </c>
      <c r="L15" s="180">
        <v>12.9</v>
      </c>
      <c r="M15" s="186">
        <v>1.26</v>
      </c>
      <c r="N15" s="181">
        <v>40</v>
      </c>
      <c r="O15" s="174"/>
    </row>
    <row r="16" spans="1:15" ht="18" x14ac:dyDescent="0.2">
      <c r="A16" s="175">
        <v>600</v>
      </c>
      <c r="B16" s="176" t="s">
        <v>470</v>
      </c>
      <c r="C16" s="177">
        <v>65</v>
      </c>
      <c r="D16" s="178">
        <v>600</v>
      </c>
      <c r="E16" s="177">
        <v>535</v>
      </c>
      <c r="F16" s="179">
        <v>0.95</v>
      </c>
      <c r="G16" s="180">
        <v>0.63</v>
      </c>
      <c r="H16" s="180">
        <v>126.6</v>
      </c>
      <c r="I16" s="182">
        <v>43.2</v>
      </c>
      <c r="J16" s="180">
        <v>32.6</v>
      </c>
      <c r="K16" s="183">
        <v>22.6</v>
      </c>
      <c r="L16" s="180">
        <v>13.6</v>
      </c>
      <c r="M16" s="186">
        <v>1.26</v>
      </c>
      <c r="N16" s="181">
        <v>40</v>
      </c>
      <c r="O16" s="174"/>
    </row>
    <row r="17" spans="1:15" ht="18" x14ac:dyDescent="0.2">
      <c r="A17" s="175">
        <v>650</v>
      </c>
      <c r="B17" s="176" t="s">
        <v>471</v>
      </c>
      <c r="C17" s="177">
        <v>65</v>
      </c>
      <c r="D17" s="178">
        <v>650</v>
      </c>
      <c r="E17" s="177">
        <v>585</v>
      </c>
      <c r="F17" s="179">
        <v>1.02</v>
      </c>
      <c r="G17" s="180">
        <v>0.67</v>
      </c>
      <c r="H17" s="180">
        <v>136.19999999999999</v>
      </c>
      <c r="I17" s="182">
        <v>46.4</v>
      </c>
      <c r="J17" s="180">
        <v>35</v>
      </c>
      <c r="K17" s="183">
        <v>24.3</v>
      </c>
      <c r="L17" s="180">
        <v>14.5</v>
      </c>
      <c r="M17" s="186">
        <v>1.27</v>
      </c>
      <c r="N17" s="181">
        <v>40</v>
      </c>
      <c r="O17" s="174"/>
    </row>
    <row r="18" spans="1:15" ht="18" x14ac:dyDescent="0.2">
      <c r="A18" s="175">
        <v>665</v>
      </c>
      <c r="B18" s="176" t="s">
        <v>472</v>
      </c>
      <c r="C18" s="177">
        <v>65</v>
      </c>
      <c r="D18" s="178">
        <v>665</v>
      </c>
      <c r="E18" s="177">
        <v>600</v>
      </c>
      <c r="F18" s="179">
        <v>1.04</v>
      </c>
      <c r="G18" s="180">
        <v>0.68</v>
      </c>
      <c r="H18" s="180">
        <v>139</v>
      </c>
      <c r="I18" s="182">
        <v>47.4</v>
      </c>
      <c r="J18" s="180">
        <v>35.700000000000003</v>
      </c>
      <c r="K18" s="183">
        <v>24.8</v>
      </c>
      <c r="L18" s="180">
        <v>14.8</v>
      </c>
      <c r="M18" s="186">
        <v>1.27</v>
      </c>
      <c r="N18" s="181">
        <v>40</v>
      </c>
      <c r="O18" s="174"/>
    </row>
    <row r="19" spans="1:15" ht="18" x14ac:dyDescent="0.2">
      <c r="A19" s="175">
        <v>685</v>
      </c>
      <c r="B19" s="176" t="s">
        <v>473</v>
      </c>
      <c r="C19" s="177">
        <v>65</v>
      </c>
      <c r="D19" s="178">
        <v>685</v>
      </c>
      <c r="E19" s="177">
        <v>620</v>
      </c>
      <c r="F19" s="179">
        <v>1.07</v>
      </c>
      <c r="G19" s="180">
        <v>0.7</v>
      </c>
      <c r="H19" s="180">
        <v>142.80000000000001</v>
      </c>
      <c r="I19" s="182">
        <v>48.7</v>
      </c>
      <c r="J19" s="180">
        <v>36.700000000000003</v>
      </c>
      <c r="K19" s="183">
        <v>25.5</v>
      </c>
      <c r="L19" s="180">
        <v>15.2</v>
      </c>
      <c r="M19" s="186">
        <v>1.27</v>
      </c>
      <c r="N19" s="181">
        <v>40</v>
      </c>
      <c r="O19" s="174"/>
    </row>
    <row r="20" spans="1:15" ht="18" x14ac:dyDescent="0.2">
      <c r="A20" s="175">
        <v>750</v>
      </c>
      <c r="B20" s="176" t="s">
        <v>474</v>
      </c>
      <c r="C20" s="177">
        <v>65</v>
      </c>
      <c r="D20" s="178">
        <v>750</v>
      </c>
      <c r="E20" s="177">
        <v>685</v>
      </c>
      <c r="F20" s="179">
        <v>1.1599999999999999</v>
      </c>
      <c r="G20" s="180">
        <v>0.75</v>
      </c>
      <c r="H20" s="180">
        <v>155.19999999999999</v>
      </c>
      <c r="I20" s="182">
        <v>52.9</v>
      </c>
      <c r="J20" s="180">
        <v>39.799999999999997</v>
      </c>
      <c r="K20" s="183">
        <v>27.6</v>
      </c>
      <c r="L20" s="180">
        <v>16.5</v>
      </c>
      <c r="M20" s="186">
        <v>1.27</v>
      </c>
      <c r="N20" s="181">
        <v>40</v>
      </c>
      <c r="O20" s="174"/>
    </row>
    <row r="21" spans="1:15" ht="18" x14ac:dyDescent="0.2">
      <c r="A21" s="175">
        <v>765</v>
      </c>
      <c r="B21" s="176" t="s">
        <v>475</v>
      </c>
      <c r="C21" s="177">
        <v>65</v>
      </c>
      <c r="D21" s="178">
        <v>765</v>
      </c>
      <c r="E21" s="177">
        <v>700</v>
      </c>
      <c r="F21" s="179">
        <v>1.18</v>
      </c>
      <c r="G21" s="180">
        <v>0.76</v>
      </c>
      <c r="H21" s="180">
        <v>158</v>
      </c>
      <c r="I21" s="182">
        <v>53.9</v>
      </c>
      <c r="J21" s="180">
        <v>40.5</v>
      </c>
      <c r="K21" s="183">
        <v>28.1</v>
      </c>
      <c r="L21" s="180">
        <v>16.7</v>
      </c>
      <c r="M21" s="186">
        <v>1.28</v>
      </c>
      <c r="N21" s="181">
        <v>40</v>
      </c>
      <c r="O21" s="174"/>
    </row>
    <row r="22" spans="1:15" ht="18" x14ac:dyDescent="0.2">
      <c r="A22" s="175">
        <v>815</v>
      </c>
      <c r="B22" s="176" t="s">
        <v>476</v>
      </c>
      <c r="C22" s="177">
        <v>65</v>
      </c>
      <c r="D22" s="178">
        <v>815</v>
      </c>
      <c r="E22" s="177">
        <v>750</v>
      </c>
      <c r="F22" s="179">
        <v>1.26</v>
      </c>
      <c r="G22" s="180">
        <v>0.8</v>
      </c>
      <c r="H22" s="180">
        <v>167.6</v>
      </c>
      <c r="I22" s="182">
        <v>57.1</v>
      </c>
      <c r="J22" s="180">
        <v>42.9</v>
      </c>
      <c r="K22" s="183">
        <v>29.7</v>
      </c>
      <c r="L22" s="180">
        <v>17.7</v>
      </c>
      <c r="M22" s="186">
        <v>1.28</v>
      </c>
      <c r="N22" s="181">
        <v>40</v>
      </c>
      <c r="O22" s="174"/>
    </row>
    <row r="23" spans="1:15" ht="18" x14ac:dyDescent="0.2">
      <c r="A23" s="175">
        <v>865</v>
      </c>
      <c r="B23" s="176" t="s">
        <v>477</v>
      </c>
      <c r="C23" s="177">
        <v>65</v>
      </c>
      <c r="D23" s="178">
        <v>865</v>
      </c>
      <c r="E23" s="177">
        <v>800</v>
      </c>
      <c r="F23" s="179">
        <v>1.33</v>
      </c>
      <c r="G23" s="180">
        <v>0.84</v>
      </c>
      <c r="H23" s="180">
        <v>177.1</v>
      </c>
      <c r="I23" s="182">
        <v>60.4</v>
      </c>
      <c r="J23" s="180">
        <v>45.3</v>
      </c>
      <c r="K23" s="183">
        <v>31.3</v>
      </c>
      <c r="L23" s="180">
        <v>18.600000000000001</v>
      </c>
      <c r="M23" s="186">
        <v>1.28</v>
      </c>
      <c r="N23" s="181">
        <v>40</v>
      </c>
      <c r="O23" s="174"/>
    </row>
    <row r="24" spans="1:15" ht="18" x14ac:dyDescent="0.2">
      <c r="A24" s="175">
        <v>885</v>
      </c>
      <c r="B24" s="176" t="s">
        <v>478</v>
      </c>
      <c r="C24" s="177">
        <v>65</v>
      </c>
      <c r="D24" s="178">
        <v>885</v>
      </c>
      <c r="E24" s="177">
        <v>820</v>
      </c>
      <c r="F24" s="179">
        <v>1.36</v>
      </c>
      <c r="G24" s="180">
        <v>0.85</v>
      </c>
      <c r="H24" s="180">
        <v>181</v>
      </c>
      <c r="I24" s="182">
        <v>61.7</v>
      </c>
      <c r="J24" s="180">
        <v>46.3</v>
      </c>
      <c r="K24" s="183">
        <v>32</v>
      </c>
      <c r="L24" s="180">
        <v>19</v>
      </c>
      <c r="M24" s="186">
        <v>1.29</v>
      </c>
      <c r="N24" s="181">
        <v>40</v>
      </c>
      <c r="O24" s="174"/>
    </row>
    <row r="25" spans="1:15" ht="18" x14ac:dyDescent="0.2">
      <c r="A25" s="175">
        <v>900</v>
      </c>
      <c r="B25" s="176" t="s">
        <v>479</v>
      </c>
      <c r="C25" s="177">
        <v>65</v>
      </c>
      <c r="D25" s="178">
        <v>900</v>
      </c>
      <c r="E25" s="177">
        <v>835</v>
      </c>
      <c r="F25" s="179">
        <v>1.38</v>
      </c>
      <c r="G25" s="180">
        <v>0.87</v>
      </c>
      <c r="H25" s="180">
        <v>183.9</v>
      </c>
      <c r="I25" s="182">
        <v>62.7</v>
      </c>
      <c r="J25" s="180">
        <v>47</v>
      </c>
      <c r="K25" s="183">
        <v>32.5</v>
      </c>
      <c r="L25" s="180">
        <v>19.3</v>
      </c>
      <c r="M25" s="186">
        <v>1.29</v>
      </c>
      <c r="N25" s="181">
        <v>40</v>
      </c>
      <c r="O25" s="174"/>
    </row>
    <row r="26" spans="1:15" ht="18" x14ac:dyDescent="0.2">
      <c r="A26" s="175">
        <v>1000</v>
      </c>
      <c r="B26" s="176" t="s">
        <v>480</v>
      </c>
      <c r="C26" s="177">
        <v>65</v>
      </c>
      <c r="D26" s="178">
        <v>1000</v>
      </c>
      <c r="E26" s="177">
        <v>935</v>
      </c>
      <c r="F26" s="179">
        <v>1.52</v>
      </c>
      <c r="G26" s="180">
        <v>0.95</v>
      </c>
      <c r="H26" s="180">
        <v>203.1</v>
      </c>
      <c r="I26" s="182">
        <v>69.2</v>
      </c>
      <c r="J26" s="180">
        <v>51.9</v>
      </c>
      <c r="K26" s="183">
        <v>35.700000000000003</v>
      </c>
      <c r="L26" s="180">
        <v>21.2</v>
      </c>
      <c r="M26" s="186">
        <v>1.29</v>
      </c>
      <c r="N26" s="181">
        <v>40</v>
      </c>
      <c r="O26" s="174"/>
    </row>
    <row r="27" spans="1:15" ht="18" x14ac:dyDescent="0.2">
      <c r="A27" s="175">
        <v>1200</v>
      </c>
      <c r="B27" s="176" t="s">
        <v>481</v>
      </c>
      <c r="C27" s="177">
        <v>65</v>
      </c>
      <c r="D27" s="178">
        <v>1200</v>
      </c>
      <c r="E27" s="177">
        <v>1135</v>
      </c>
      <c r="F27" s="179">
        <v>1.81</v>
      </c>
      <c r="G27" s="180">
        <v>1.1100000000000001</v>
      </c>
      <c r="H27" s="180">
        <v>242.1</v>
      </c>
      <c r="I27" s="182">
        <v>82.5</v>
      </c>
      <c r="J27" s="180">
        <v>61.6</v>
      </c>
      <c r="K27" s="183">
        <v>42.3</v>
      </c>
      <c r="L27" s="180">
        <v>24.9</v>
      </c>
      <c r="M27" s="186">
        <v>1.31</v>
      </c>
      <c r="N27" s="181">
        <v>30</v>
      </c>
      <c r="O27" s="174"/>
    </row>
    <row r="28" spans="1:15" ht="18" x14ac:dyDescent="0.2">
      <c r="A28" s="175">
        <v>1500</v>
      </c>
      <c r="B28" s="176" t="s">
        <v>482</v>
      </c>
      <c r="C28" s="177">
        <v>65</v>
      </c>
      <c r="D28" s="178">
        <v>1500</v>
      </c>
      <c r="E28" s="177">
        <v>1435</v>
      </c>
      <c r="F28" s="179">
        <v>2.2400000000000002</v>
      </c>
      <c r="G28" s="180">
        <v>1.35</v>
      </c>
      <c r="H28" s="180">
        <v>302.2</v>
      </c>
      <c r="I28" s="182">
        <v>103</v>
      </c>
      <c r="J28" s="180">
        <v>76.5</v>
      </c>
      <c r="K28" s="183">
        <v>52.2</v>
      </c>
      <c r="L28" s="180">
        <v>30.4</v>
      </c>
      <c r="M28" s="186">
        <v>1.33</v>
      </c>
      <c r="N28" s="181">
        <v>26</v>
      </c>
      <c r="O28" s="174"/>
    </row>
    <row r="29" spans="1:15" ht="18" x14ac:dyDescent="0.2">
      <c r="A29" s="175">
        <v>1800</v>
      </c>
      <c r="B29" s="176" t="s">
        <v>483</v>
      </c>
      <c r="C29" s="177">
        <v>65</v>
      </c>
      <c r="D29" s="178">
        <v>1800</v>
      </c>
      <c r="E29" s="177">
        <v>1735</v>
      </c>
      <c r="F29" s="179">
        <v>2.69</v>
      </c>
      <c r="G29" s="180">
        <v>1.58</v>
      </c>
      <c r="H29" s="180">
        <v>364.7</v>
      </c>
      <c r="I29" s="182">
        <v>124.3</v>
      </c>
      <c r="J29" s="180">
        <v>92.4</v>
      </c>
      <c r="K29" s="183">
        <v>63</v>
      </c>
      <c r="L29" s="180">
        <v>36.799999999999997</v>
      </c>
      <c r="M29" s="186">
        <v>1.33</v>
      </c>
      <c r="N29" s="181">
        <v>22</v>
      </c>
      <c r="O29" s="174"/>
    </row>
    <row r="30" spans="1:15" ht="18" x14ac:dyDescent="0.2">
      <c r="A30" s="175">
        <v>2000</v>
      </c>
      <c r="B30" s="176" t="s">
        <v>484</v>
      </c>
      <c r="C30" s="177">
        <v>65</v>
      </c>
      <c r="D30" s="178">
        <v>2000</v>
      </c>
      <c r="E30" s="177">
        <v>1935</v>
      </c>
      <c r="F30" s="179">
        <v>3.01</v>
      </c>
      <c r="G30" s="180">
        <v>1.72</v>
      </c>
      <c r="H30" s="180">
        <v>407.9</v>
      </c>
      <c r="I30" s="182">
        <v>139</v>
      </c>
      <c r="J30" s="180">
        <v>103.6</v>
      </c>
      <c r="K30" s="183">
        <v>70.900000000000006</v>
      </c>
      <c r="L30" s="180">
        <v>41.5</v>
      </c>
      <c r="M30" s="186">
        <v>1.32</v>
      </c>
      <c r="N30" s="181">
        <v>22</v>
      </c>
      <c r="O30" s="174"/>
    </row>
    <row r="31" spans="1:15" ht="18" x14ac:dyDescent="0.2">
      <c r="A31" s="175">
        <v>2200</v>
      </c>
      <c r="B31" s="176" t="s">
        <v>485</v>
      </c>
      <c r="C31" s="177">
        <v>65</v>
      </c>
      <c r="D31" s="178">
        <v>2200</v>
      </c>
      <c r="E31" s="177">
        <v>2135</v>
      </c>
      <c r="F31" s="179">
        <v>3.32</v>
      </c>
      <c r="G31" s="180">
        <v>1.86</v>
      </c>
      <c r="H31" s="180">
        <v>452.3</v>
      </c>
      <c r="I31" s="182">
        <v>154.19999999999999</v>
      </c>
      <c r="J31" s="180">
        <v>115.1</v>
      </c>
      <c r="K31" s="183">
        <v>79</v>
      </c>
      <c r="L31" s="180">
        <v>46.5</v>
      </c>
      <c r="M31" s="186">
        <v>1.31</v>
      </c>
      <c r="N31" s="181">
        <v>18</v>
      </c>
      <c r="O31" s="174"/>
    </row>
    <row r="32" spans="1:15" ht="18" x14ac:dyDescent="0.2">
      <c r="A32" s="175">
        <v>2500</v>
      </c>
      <c r="B32" s="176" t="s">
        <v>486</v>
      </c>
      <c r="C32" s="177">
        <v>65</v>
      </c>
      <c r="D32" s="178">
        <v>2500</v>
      </c>
      <c r="E32" s="177">
        <v>2435</v>
      </c>
      <c r="F32" s="179">
        <v>3.79</v>
      </c>
      <c r="G32" s="180">
        <v>2.08</v>
      </c>
      <c r="H32" s="180">
        <v>521.70000000000005</v>
      </c>
      <c r="I32" s="182">
        <v>177.8</v>
      </c>
      <c r="J32" s="180">
        <v>133.19999999999999</v>
      </c>
      <c r="K32" s="183">
        <v>91.9</v>
      </c>
      <c r="L32" s="180">
        <v>54.4</v>
      </c>
      <c r="M32" s="186">
        <v>1.29</v>
      </c>
      <c r="N32" s="181">
        <v>18</v>
      </c>
      <c r="O32" s="174"/>
    </row>
    <row r="34" spans="1:14" ht="252.6" customHeight="1" x14ac:dyDescent="0.2"/>
    <row r="36" spans="1:14" x14ac:dyDescent="0.2">
      <c r="A36" s="175"/>
      <c r="B36" s="176"/>
      <c r="C36" s="177"/>
      <c r="D36" s="178"/>
      <c r="E36" s="177"/>
      <c r="F36" s="179"/>
      <c r="G36" s="180"/>
      <c r="H36" s="336" t="s">
        <v>442</v>
      </c>
      <c r="I36" s="335"/>
      <c r="J36" s="335"/>
      <c r="K36" s="335"/>
      <c r="L36" s="335"/>
      <c r="M36" s="186"/>
      <c r="N36" s="181"/>
    </row>
    <row r="37" spans="1:14" ht="18" x14ac:dyDescent="0.2">
      <c r="A37" s="175" t="s">
        <v>162</v>
      </c>
      <c r="B37" s="176" t="s">
        <v>443</v>
      </c>
      <c r="C37" s="177" t="s">
        <v>444</v>
      </c>
      <c r="D37" s="178" t="s">
        <v>445</v>
      </c>
      <c r="E37" s="177" t="s">
        <v>446</v>
      </c>
      <c r="F37" s="179" t="s">
        <v>447</v>
      </c>
      <c r="G37" s="180" t="s">
        <v>448</v>
      </c>
      <c r="H37" s="335" t="s">
        <v>449</v>
      </c>
      <c r="I37" s="335"/>
      <c r="J37" s="180" t="s">
        <v>450</v>
      </c>
      <c r="K37" s="180" t="s">
        <v>451</v>
      </c>
      <c r="L37" s="180" t="s">
        <v>452</v>
      </c>
      <c r="M37" s="186" t="s">
        <v>453</v>
      </c>
      <c r="N37" s="181" t="s">
        <v>454</v>
      </c>
    </row>
    <row r="38" spans="1:14" ht="18" x14ac:dyDescent="0.2">
      <c r="A38" s="175"/>
      <c r="B38" s="176"/>
      <c r="C38" s="177" t="s">
        <v>39</v>
      </c>
      <c r="D38" s="178" t="s">
        <v>455</v>
      </c>
      <c r="E38" s="177" t="s">
        <v>456</v>
      </c>
      <c r="F38" s="179" t="s">
        <v>41</v>
      </c>
      <c r="G38" s="180" t="s">
        <v>457</v>
      </c>
      <c r="H38" s="180" t="s">
        <v>458</v>
      </c>
      <c r="I38" s="182" t="s">
        <v>459</v>
      </c>
      <c r="J38" s="180" t="s">
        <v>459</v>
      </c>
      <c r="K38" s="180" t="s">
        <v>459</v>
      </c>
      <c r="L38" s="180" t="s">
        <v>459</v>
      </c>
      <c r="M38" s="186" t="s">
        <v>0</v>
      </c>
      <c r="N38" s="181"/>
    </row>
    <row r="39" spans="1:14" ht="18" x14ac:dyDescent="0.2">
      <c r="A39" s="175">
        <v>200</v>
      </c>
      <c r="B39" s="176" t="s">
        <v>487</v>
      </c>
      <c r="C39" s="177">
        <v>101</v>
      </c>
      <c r="D39" s="178">
        <v>200</v>
      </c>
      <c r="E39" s="177">
        <v>127</v>
      </c>
      <c r="F39" s="179">
        <v>0.41</v>
      </c>
      <c r="G39" s="180">
        <v>0.46</v>
      </c>
      <c r="H39" s="184">
        <v>59.5</v>
      </c>
      <c r="I39" s="182">
        <v>20.3</v>
      </c>
      <c r="J39" s="180">
        <v>15.2</v>
      </c>
      <c r="K39" s="183">
        <v>10.5</v>
      </c>
      <c r="L39" s="180">
        <v>6.2</v>
      </c>
      <c r="M39" s="186">
        <v>1.29</v>
      </c>
      <c r="N39" s="181">
        <v>40</v>
      </c>
    </row>
    <row r="40" spans="1:14" ht="18" x14ac:dyDescent="0.2">
      <c r="A40" s="175">
        <v>300</v>
      </c>
      <c r="B40" s="176" t="s">
        <v>488</v>
      </c>
      <c r="C40" s="177">
        <v>101</v>
      </c>
      <c r="D40" s="178">
        <v>300</v>
      </c>
      <c r="E40" s="177">
        <v>235</v>
      </c>
      <c r="F40" s="179">
        <v>0.6</v>
      </c>
      <c r="G40" s="180">
        <v>0.6</v>
      </c>
      <c r="H40" s="184">
        <v>95.4</v>
      </c>
      <c r="I40" s="182">
        <v>32.5</v>
      </c>
      <c r="J40" s="180">
        <v>24.6</v>
      </c>
      <c r="K40" s="183">
        <v>17.2</v>
      </c>
      <c r="L40" s="180">
        <v>10.4</v>
      </c>
      <c r="M40" s="186">
        <v>1.25</v>
      </c>
      <c r="N40" s="181">
        <v>40</v>
      </c>
    </row>
    <row r="41" spans="1:14" ht="18" x14ac:dyDescent="0.2">
      <c r="A41" s="175">
        <v>350</v>
      </c>
      <c r="B41" s="176" t="s">
        <v>489</v>
      </c>
      <c r="C41" s="177">
        <v>101</v>
      </c>
      <c r="D41" s="178">
        <v>350</v>
      </c>
      <c r="E41" s="177">
        <v>285</v>
      </c>
      <c r="F41" s="179">
        <v>0.69</v>
      </c>
      <c r="G41" s="180">
        <v>0.66</v>
      </c>
      <c r="H41" s="184">
        <v>109.5</v>
      </c>
      <c r="I41" s="182">
        <v>37.299999999999997</v>
      </c>
      <c r="J41" s="180">
        <v>28.2</v>
      </c>
      <c r="K41" s="183">
        <v>19.7</v>
      </c>
      <c r="L41" s="180">
        <v>11.8</v>
      </c>
      <c r="M41" s="186">
        <v>1.25</v>
      </c>
      <c r="N41" s="181">
        <v>40</v>
      </c>
    </row>
    <row r="42" spans="1:14" ht="18" x14ac:dyDescent="0.2">
      <c r="A42" s="175">
        <v>365</v>
      </c>
      <c r="B42" s="176" t="s">
        <v>490</v>
      </c>
      <c r="C42" s="177">
        <v>101</v>
      </c>
      <c r="D42" s="178">
        <v>365</v>
      </c>
      <c r="E42" s="177">
        <v>300</v>
      </c>
      <c r="F42" s="179">
        <v>0.72</v>
      </c>
      <c r="G42" s="180">
        <v>0.68</v>
      </c>
      <c r="H42" s="184">
        <v>113.6</v>
      </c>
      <c r="I42" s="182">
        <v>38.700000000000003</v>
      </c>
      <c r="J42" s="180">
        <v>29.3</v>
      </c>
      <c r="K42" s="183">
        <v>20.399999999999999</v>
      </c>
      <c r="L42" s="180">
        <v>12.3</v>
      </c>
      <c r="M42" s="186">
        <v>1.26</v>
      </c>
      <c r="N42" s="181">
        <v>40</v>
      </c>
    </row>
    <row r="43" spans="1:14" ht="18" x14ac:dyDescent="0.2">
      <c r="A43" s="175">
        <v>400</v>
      </c>
      <c r="B43" s="176" t="s">
        <v>491</v>
      </c>
      <c r="C43" s="177">
        <v>101</v>
      </c>
      <c r="D43" s="178">
        <v>400</v>
      </c>
      <c r="E43" s="177">
        <v>335</v>
      </c>
      <c r="F43" s="179">
        <v>0.78</v>
      </c>
      <c r="G43" s="180">
        <v>0.72</v>
      </c>
      <c r="H43" s="184">
        <v>123.3</v>
      </c>
      <c r="I43" s="182">
        <v>42</v>
      </c>
      <c r="J43" s="180">
        <v>31.7</v>
      </c>
      <c r="K43" s="183">
        <v>22.1</v>
      </c>
      <c r="L43" s="180">
        <v>13.3</v>
      </c>
      <c r="M43" s="186">
        <v>1.26</v>
      </c>
      <c r="N43" s="181">
        <v>40</v>
      </c>
    </row>
    <row r="44" spans="1:14" ht="18" x14ac:dyDescent="0.2">
      <c r="A44" s="175">
        <v>450</v>
      </c>
      <c r="B44" s="176" t="s">
        <v>492</v>
      </c>
      <c r="C44" s="177">
        <v>101</v>
      </c>
      <c r="D44" s="178">
        <v>450</v>
      </c>
      <c r="E44" s="177">
        <v>385</v>
      </c>
      <c r="F44" s="179">
        <v>0.87</v>
      </c>
      <c r="G44" s="180">
        <v>0.79</v>
      </c>
      <c r="H44" s="184">
        <v>137.1</v>
      </c>
      <c r="I44" s="182">
        <v>46.7</v>
      </c>
      <c r="J44" s="180">
        <v>35.200000000000003</v>
      </c>
      <c r="K44" s="183">
        <v>24.5</v>
      </c>
      <c r="L44" s="180">
        <v>14.7</v>
      </c>
      <c r="M44" s="186">
        <v>1.26</v>
      </c>
      <c r="N44" s="181">
        <v>40</v>
      </c>
    </row>
    <row r="45" spans="1:14" ht="18" x14ac:dyDescent="0.2">
      <c r="A45" s="175">
        <v>500</v>
      </c>
      <c r="B45" s="176" t="s">
        <v>493</v>
      </c>
      <c r="C45" s="177">
        <v>101</v>
      </c>
      <c r="D45" s="178">
        <v>500</v>
      </c>
      <c r="E45" s="177">
        <v>435</v>
      </c>
      <c r="F45" s="179">
        <v>0.96</v>
      </c>
      <c r="G45" s="180">
        <v>0.85</v>
      </c>
      <c r="H45" s="184">
        <v>150.69999999999999</v>
      </c>
      <c r="I45" s="182">
        <v>51.4</v>
      </c>
      <c r="J45" s="180">
        <v>38.700000000000003</v>
      </c>
      <c r="K45" s="183">
        <v>26.9</v>
      </c>
      <c r="L45" s="180">
        <v>16</v>
      </c>
      <c r="M45" s="186">
        <v>1.27</v>
      </c>
      <c r="N45" s="181">
        <v>40</v>
      </c>
    </row>
    <row r="46" spans="1:14" ht="18" x14ac:dyDescent="0.2">
      <c r="A46" s="175">
        <v>535</v>
      </c>
      <c r="B46" s="176" t="s">
        <v>494</v>
      </c>
      <c r="C46" s="177">
        <v>101</v>
      </c>
      <c r="D46" s="178">
        <v>535</v>
      </c>
      <c r="E46" s="177">
        <v>470</v>
      </c>
      <c r="F46" s="179">
        <v>1.02</v>
      </c>
      <c r="G46" s="180">
        <v>0.89</v>
      </c>
      <c r="H46" s="184">
        <v>160.19999999999999</v>
      </c>
      <c r="I46" s="182">
        <v>54.6</v>
      </c>
      <c r="J46" s="180">
        <v>41.1</v>
      </c>
      <c r="K46" s="183">
        <v>28.5</v>
      </c>
      <c r="L46" s="180">
        <v>17</v>
      </c>
      <c r="M46" s="186">
        <v>1.27</v>
      </c>
      <c r="N46" s="181">
        <v>40</v>
      </c>
    </row>
    <row r="47" spans="1:14" ht="18" x14ac:dyDescent="0.2">
      <c r="A47" s="175">
        <v>550</v>
      </c>
      <c r="B47" s="176" t="s">
        <v>495</v>
      </c>
      <c r="C47" s="177">
        <v>101</v>
      </c>
      <c r="D47" s="178">
        <v>550</v>
      </c>
      <c r="E47" s="177">
        <v>485</v>
      </c>
      <c r="F47" s="179">
        <v>1.05</v>
      </c>
      <c r="G47" s="180">
        <v>0.91</v>
      </c>
      <c r="H47" s="184">
        <v>164</v>
      </c>
      <c r="I47" s="182">
        <v>55.9</v>
      </c>
      <c r="J47" s="180">
        <v>42.1</v>
      </c>
      <c r="K47" s="183">
        <v>29.1</v>
      </c>
      <c r="L47" s="180">
        <v>17.399999999999999</v>
      </c>
      <c r="M47" s="186">
        <v>1.28</v>
      </c>
      <c r="N47" s="181">
        <v>40</v>
      </c>
    </row>
    <row r="48" spans="1:14" ht="18" x14ac:dyDescent="0.2">
      <c r="A48" s="175">
        <v>565</v>
      </c>
      <c r="B48" s="176" t="s">
        <v>496</v>
      </c>
      <c r="C48" s="177">
        <v>101</v>
      </c>
      <c r="D48" s="178">
        <v>565</v>
      </c>
      <c r="E48" s="177">
        <v>500</v>
      </c>
      <c r="F48" s="179">
        <v>1.07</v>
      </c>
      <c r="G48" s="180">
        <v>0.93</v>
      </c>
      <c r="H48" s="184">
        <v>168.3</v>
      </c>
      <c r="I48" s="182">
        <v>57.4</v>
      </c>
      <c r="J48" s="180">
        <v>43.1</v>
      </c>
      <c r="K48" s="183">
        <v>29.9</v>
      </c>
      <c r="L48" s="180">
        <v>17.8</v>
      </c>
      <c r="M48" s="186">
        <v>1.28</v>
      </c>
      <c r="N48" s="181">
        <v>40</v>
      </c>
    </row>
    <row r="49" spans="1:14" ht="18" x14ac:dyDescent="0.2">
      <c r="A49" s="175">
        <v>600</v>
      </c>
      <c r="B49" s="176" t="s">
        <v>497</v>
      </c>
      <c r="C49" s="177">
        <v>101</v>
      </c>
      <c r="D49" s="178">
        <v>600</v>
      </c>
      <c r="E49" s="177">
        <v>535</v>
      </c>
      <c r="F49" s="179">
        <v>1.1399999999999999</v>
      </c>
      <c r="G49" s="180">
        <v>0.97</v>
      </c>
      <c r="H49" s="184">
        <v>177.8</v>
      </c>
      <c r="I49" s="182">
        <v>60.6</v>
      </c>
      <c r="J49" s="180">
        <v>45.5</v>
      </c>
      <c r="K49" s="183">
        <v>31.5</v>
      </c>
      <c r="L49" s="180">
        <v>18.7</v>
      </c>
      <c r="M49" s="186">
        <v>1.28</v>
      </c>
      <c r="N49" s="181">
        <v>40</v>
      </c>
    </row>
    <row r="50" spans="1:14" ht="18" x14ac:dyDescent="0.2">
      <c r="A50" s="175">
        <v>650</v>
      </c>
      <c r="B50" s="176" t="s">
        <v>498</v>
      </c>
      <c r="C50" s="177">
        <v>101</v>
      </c>
      <c r="D50" s="178">
        <v>650</v>
      </c>
      <c r="E50" s="177">
        <v>585</v>
      </c>
      <c r="F50" s="179">
        <v>1.23</v>
      </c>
      <c r="G50" s="180">
        <v>1.03</v>
      </c>
      <c r="H50" s="184">
        <v>191.2</v>
      </c>
      <c r="I50" s="182">
        <v>65.2</v>
      </c>
      <c r="J50" s="180">
        <v>48.9</v>
      </c>
      <c r="K50" s="183">
        <v>33.799999999999997</v>
      </c>
      <c r="L50" s="180">
        <v>20</v>
      </c>
      <c r="M50" s="186">
        <v>1.29</v>
      </c>
      <c r="N50" s="181">
        <v>40</v>
      </c>
    </row>
    <row r="51" spans="1:14" ht="18" x14ac:dyDescent="0.2">
      <c r="A51" s="175">
        <v>665</v>
      </c>
      <c r="B51" s="176" t="s">
        <v>499</v>
      </c>
      <c r="C51" s="177">
        <v>101</v>
      </c>
      <c r="D51" s="178">
        <v>665</v>
      </c>
      <c r="E51" s="177">
        <v>600</v>
      </c>
      <c r="F51" s="179">
        <v>1.25</v>
      </c>
      <c r="G51" s="180">
        <v>1.05</v>
      </c>
      <c r="H51" s="184">
        <v>195.2</v>
      </c>
      <c r="I51" s="182">
        <v>66.5</v>
      </c>
      <c r="J51" s="180">
        <v>49.9</v>
      </c>
      <c r="K51" s="183">
        <v>34.5</v>
      </c>
      <c r="L51" s="180">
        <v>20.399999999999999</v>
      </c>
      <c r="M51" s="186">
        <v>1.29</v>
      </c>
      <c r="N51" s="181">
        <v>40</v>
      </c>
    </row>
    <row r="52" spans="1:14" ht="18" x14ac:dyDescent="0.2">
      <c r="A52" s="175">
        <v>685</v>
      </c>
      <c r="B52" s="176" t="s">
        <v>500</v>
      </c>
      <c r="C52" s="177">
        <v>101</v>
      </c>
      <c r="D52" s="178">
        <v>685</v>
      </c>
      <c r="E52" s="177">
        <v>620</v>
      </c>
      <c r="F52" s="179">
        <v>1.29</v>
      </c>
      <c r="G52" s="180">
        <v>1.08</v>
      </c>
      <c r="H52" s="184">
        <v>200.5</v>
      </c>
      <c r="I52" s="182">
        <v>68.3</v>
      </c>
      <c r="J52" s="180">
        <v>51.2</v>
      </c>
      <c r="K52" s="183">
        <v>35.4</v>
      </c>
      <c r="L52" s="180">
        <v>21</v>
      </c>
      <c r="M52" s="186">
        <v>1.29</v>
      </c>
      <c r="N52" s="181">
        <v>40</v>
      </c>
    </row>
    <row r="53" spans="1:14" ht="18" x14ac:dyDescent="0.2">
      <c r="A53" s="175">
        <v>750</v>
      </c>
      <c r="B53" s="176" t="s">
        <v>501</v>
      </c>
      <c r="C53" s="177">
        <v>101</v>
      </c>
      <c r="D53" s="178">
        <v>750</v>
      </c>
      <c r="E53" s="177">
        <v>685</v>
      </c>
      <c r="F53" s="179">
        <v>1.4</v>
      </c>
      <c r="G53" s="180">
        <v>1.1599999999999999</v>
      </c>
      <c r="H53" s="184">
        <v>218.2</v>
      </c>
      <c r="I53" s="182">
        <v>74.400000000000006</v>
      </c>
      <c r="J53" s="180">
        <v>55.7</v>
      </c>
      <c r="K53" s="183">
        <v>38.299999999999997</v>
      </c>
      <c r="L53" s="180">
        <v>22.7</v>
      </c>
      <c r="M53" s="186">
        <v>1.3</v>
      </c>
      <c r="N53" s="181">
        <v>40</v>
      </c>
    </row>
    <row r="54" spans="1:14" ht="18" x14ac:dyDescent="0.2">
      <c r="A54" s="175">
        <v>765</v>
      </c>
      <c r="B54" s="176" t="s">
        <v>502</v>
      </c>
      <c r="C54" s="177">
        <v>101</v>
      </c>
      <c r="D54" s="178">
        <v>765</v>
      </c>
      <c r="E54" s="177">
        <v>700</v>
      </c>
      <c r="F54" s="179">
        <v>1.43</v>
      </c>
      <c r="G54" s="180">
        <v>1.18</v>
      </c>
      <c r="H54" s="184">
        <v>221.8</v>
      </c>
      <c r="I54" s="182">
        <v>75.599999999999994</v>
      </c>
      <c r="J54" s="180">
        <v>56.6</v>
      </c>
      <c r="K54" s="183">
        <v>38.9</v>
      </c>
      <c r="L54" s="180">
        <v>23</v>
      </c>
      <c r="M54" s="186">
        <v>1.3</v>
      </c>
      <c r="N54" s="181">
        <v>40</v>
      </c>
    </row>
    <row r="55" spans="1:14" ht="18" x14ac:dyDescent="0.2">
      <c r="A55" s="175">
        <v>815</v>
      </c>
      <c r="B55" s="176" t="s">
        <v>503</v>
      </c>
      <c r="C55" s="177">
        <v>101</v>
      </c>
      <c r="D55" s="178">
        <v>815</v>
      </c>
      <c r="E55" s="177">
        <v>750</v>
      </c>
      <c r="F55" s="179">
        <v>1.52</v>
      </c>
      <c r="G55" s="180">
        <v>1.24</v>
      </c>
      <c r="H55" s="184">
        <v>235.1</v>
      </c>
      <c r="I55" s="182">
        <v>80.099999999999994</v>
      </c>
      <c r="J55" s="180">
        <v>59.9</v>
      </c>
      <c r="K55" s="183">
        <v>41.2</v>
      </c>
      <c r="L55" s="180">
        <v>24.3</v>
      </c>
      <c r="M55" s="186">
        <v>1.3</v>
      </c>
      <c r="N55" s="181">
        <v>40</v>
      </c>
    </row>
    <row r="56" spans="1:14" ht="18" x14ac:dyDescent="0.2">
      <c r="A56" s="175">
        <v>865</v>
      </c>
      <c r="B56" s="176" t="s">
        <v>504</v>
      </c>
      <c r="C56" s="177">
        <v>101</v>
      </c>
      <c r="D56" s="178">
        <v>865</v>
      </c>
      <c r="E56" s="177">
        <v>800</v>
      </c>
      <c r="F56" s="179">
        <v>1.61</v>
      </c>
      <c r="G56" s="180">
        <v>1.3</v>
      </c>
      <c r="H56" s="184">
        <v>248.4</v>
      </c>
      <c r="I56" s="182">
        <v>84.6</v>
      </c>
      <c r="J56" s="180">
        <v>63.2</v>
      </c>
      <c r="K56" s="183">
        <v>43.4</v>
      </c>
      <c r="L56" s="180">
        <v>25.5</v>
      </c>
      <c r="M56" s="186">
        <v>1.31</v>
      </c>
      <c r="N56" s="181">
        <v>40</v>
      </c>
    </row>
    <row r="57" spans="1:14" ht="18" x14ac:dyDescent="0.2">
      <c r="A57" s="175">
        <v>885</v>
      </c>
      <c r="B57" s="176" t="s">
        <v>505</v>
      </c>
      <c r="C57" s="177">
        <v>101</v>
      </c>
      <c r="D57" s="178">
        <v>885</v>
      </c>
      <c r="E57" s="177">
        <v>820</v>
      </c>
      <c r="F57" s="179">
        <v>1.64</v>
      </c>
      <c r="G57" s="180">
        <v>1.33</v>
      </c>
      <c r="H57" s="184">
        <v>253.6</v>
      </c>
      <c r="I57" s="182">
        <v>86.4</v>
      </c>
      <c r="J57" s="180">
        <v>64.5</v>
      </c>
      <c r="K57" s="183">
        <v>44.2</v>
      </c>
      <c r="L57" s="180">
        <v>26</v>
      </c>
      <c r="M57" s="186">
        <v>1.31</v>
      </c>
      <c r="N57" s="181">
        <v>40</v>
      </c>
    </row>
    <row r="58" spans="1:14" ht="18" x14ac:dyDescent="0.2">
      <c r="A58" s="175">
        <v>900</v>
      </c>
      <c r="B58" s="176" t="s">
        <v>506</v>
      </c>
      <c r="C58" s="177">
        <v>101</v>
      </c>
      <c r="D58" s="178">
        <v>900</v>
      </c>
      <c r="E58" s="177">
        <v>835</v>
      </c>
      <c r="F58" s="179">
        <v>1.67</v>
      </c>
      <c r="G58" s="180">
        <v>1.35</v>
      </c>
      <c r="H58" s="184">
        <v>257.60000000000002</v>
      </c>
      <c r="I58" s="182">
        <v>87.8</v>
      </c>
      <c r="J58" s="180">
        <v>65.5</v>
      </c>
      <c r="K58" s="183">
        <v>44.9</v>
      </c>
      <c r="L58" s="180">
        <v>26.3</v>
      </c>
      <c r="M58" s="186">
        <v>1.31</v>
      </c>
      <c r="N58" s="181">
        <v>40</v>
      </c>
    </row>
    <row r="59" spans="1:14" ht="18" x14ac:dyDescent="0.2">
      <c r="A59" s="175">
        <v>1000</v>
      </c>
      <c r="B59" s="176" t="s">
        <v>507</v>
      </c>
      <c r="C59" s="177">
        <v>101</v>
      </c>
      <c r="D59" s="178">
        <v>1000</v>
      </c>
      <c r="E59" s="177">
        <v>935</v>
      </c>
      <c r="F59" s="179">
        <v>1.85</v>
      </c>
      <c r="G59" s="180">
        <v>1.47</v>
      </c>
      <c r="H59" s="184">
        <v>284</v>
      </c>
      <c r="I59" s="182">
        <v>96.8</v>
      </c>
      <c r="J59" s="180">
        <v>72.2</v>
      </c>
      <c r="K59" s="183">
        <v>49.4</v>
      </c>
      <c r="L59" s="180">
        <v>29</v>
      </c>
      <c r="M59" s="186">
        <v>1.32</v>
      </c>
      <c r="N59" s="181">
        <v>40</v>
      </c>
    </row>
    <row r="60" spans="1:14" ht="18" x14ac:dyDescent="0.2">
      <c r="A60" s="175">
        <v>1200</v>
      </c>
      <c r="B60" s="176" t="s">
        <v>508</v>
      </c>
      <c r="C60" s="177">
        <v>101</v>
      </c>
      <c r="D60" s="178">
        <v>1200</v>
      </c>
      <c r="E60" s="177">
        <v>1135</v>
      </c>
      <c r="F60" s="179">
        <v>2.37</v>
      </c>
      <c r="G60" s="180">
        <v>1.7</v>
      </c>
      <c r="H60" s="184">
        <v>336.7</v>
      </c>
      <c r="I60" s="182">
        <v>114.8</v>
      </c>
      <c r="J60" s="180">
        <v>85.5</v>
      </c>
      <c r="K60" s="183">
        <v>58.4</v>
      </c>
      <c r="L60" s="180">
        <v>34.200000000000003</v>
      </c>
      <c r="M60" s="186">
        <v>1.32</v>
      </c>
      <c r="N60" s="181">
        <v>25</v>
      </c>
    </row>
    <row r="61" spans="1:14" ht="18" x14ac:dyDescent="0.2">
      <c r="A61" s="175">
        <v>1500</v>
      </c>
      <c r="B61" s="176" t="s">
        <v>509</v>
      </c>
      <c r="C61" s="177">
        <v>101</v>
      </c>
      <c r="D61" s="178">
        <v>1500</v>
      </c>
      <c r="E61" s="177">
        <v>1435</v>
      </c>
      <c r="F61" s="179">
        <v>2.95</v>
      </c>
      <c r="G61" s="180">
        <v>2.0699999999999998</v>
      </c>
      <c r="H61" s="184">
        <v>415.9</v>
      </c>
      <c r="I61" s="182">
        <v>141.69999999999999</v>
      </c>
      <c r="J61" s="180">
        <v>105.3</v>
      </c>
      <c r="K61" s="183">
        <v>71.900000000000006</v>
      </c>
      <c r="L61" s="180">
        <v>41.9</v>
      </c>
      <c r="M61" s="186">
        <v>1.33</v>
      </c>
      <c r="N61" s="181">
        <v>22</v>
      </c>
    </row>
    <row r="62" spans="1:14" ht="18" x14ac:dyDescent="0.2">
      <c r="A62" s="175">
        <v>1800</v>
      </c>
      <c r="B62" s="176" t="s">
        <v>510</v>
      </c>
      <c r="C62" s="177">
        <v>101</v>
      </c>
      <c r="D62" s="178">
        <v>1800</v>
      </c>
      <c r="E62" s="177">
        <v>1735</v>
      </c>
      <c r="F62" s="179">
        <v>3.54</v>
      </c>
      <c r="G62" s="180">
        <v>2.4300000000000002</v>
      </c>
      <c r="H62" s="184">
        <v>495.7</v>
      </c>
      <c r="I62" s="182">
        <v>168.9</v>
      </c>
      <c r="J62" s="180">
        <v>125.7</v>
      </c>
      <c r="K62" s="183">
        <v>85.8</v>
      </c>
      <c r="L62" s="180">
        <v>50.2</v>
      </c>
      <c r="M62" s="186">
        <v>1.33</v>
      </c>
      <c r="N62" s="181">
        <v>22</v>
      </c>
    </row>
    <row r="63" spans="1:14" ht="18" x14ac:dyDescent="0.2">
      <c r="A63" s="175">
        <v>2000</v>
      </c>
      <c r="B63" s="176" t="s">
        <v>511</v>
      </c>
      <c r="C63" s="177">
        <v>101</v>
      </c>
      <c r="D63" s="178">
        <v>2000</v>
      </c>
      <c r="E63" s="177">
        <v>1935</v>
      </c>
      <c r="F63" s="179">
        <v>3.93</v>
      </c>
      <c r="G63" s="180">
        <v>2.68</v>
      </c>
      <c r="H63" s="184">
        <v>549.29999999999995</v>
      </c>
      <c r="I63" s="182">
        <v>187.2</v>
      </c>
      <c r="J63" s="180">
        <v>139.5</v>
      </c>
      <c r="K63" s="183">
        <v>95.5</v>
      </c>
      <c r="L63" s="180">
        <v>56</v>
      </c>
      <c r="M63" s="186">
        <v>1.3180000000000001</v>
      </c>
      <c r="N63" s="181">
        <v>22</v>
      </c>
    </row>
    <row r="64" spans="1:14" ht="18" x14ac:dyDescent="0.2">
      <c r="A64" s="175">
        <v>2200</v>
      </c>
      <c r="B64" s="176" t="s">
        <v>512</v>
      </c>
      <c r="C64" s="177">
        <v>101</v>
      </c>
      <c r="D64" s="178">
        <v>2200</v>
      </c>
      <c r="E64" s="177">
        <v>2135</v>
      </c>
      <c r="F64" s="179">
        <v>4.32</v>
      </c>
      <c r="G64" s="180">
        <v>2.92</v>
      </c>
      <c r="H64" s="184">
        <v>603.5</v>
      </c>
      <c r="I64" s="182">
        <v>205.7</v>
      </c>
      <c r="J64" s="180">
        <v>153.5</v>
      </c>
      <c r="K64" s="183">
        <v>105.3</v>
      </c>
      <c r="L64" s="180">
        <v>61.9</v>
      </c>
      <c r="M64" s="186">
        <v>1.31</v>
      </c>
      <c r="N64" s="181">
        <v>15</v>
      </c>
    </row>
    <row r="65" spans="1:14" ht="18" x14ac:dyDescent="0.2">
      <c r="A65" s="175">
        <v>2500</v>
      </c>
      <c r="B65" s="176" t="s">
        <v>513</v>
      </c>
      <c r="C65" s="177">
        <v>101</v>
      </c>
      <c r="D65" s="178">
        <v>2500</v>
      </c>
      <c r="E65" s="177">
        <v>2435</v>
      </c>
      <c r="F65" s="179">
        <v>4.9000000000000004</v>
      </c>
      <c r="G65" s="180">
        <v>3.29</v>
      </c>
      <c r="H65" s="184">
        <v>685.8</v>
      </c>
      <c r="I65" s="182">
        <v>233.7</v>
      </c>
      <c r="J65" s="180">
        <v>174.9</v>
      </c>
      <c r="K65" s="183">
        <v>120.4</v>
      </c>
      <c r="L65" s="180">
        <v>71.099999999999994</v>
      </c>
      <c r="M65" s="186">
        <v>1.2989999999999999</v>
      </c>
      <c r="N65" s="181">
        <v>15</v>
      </c>
    </row>
    <row r="67" spans="1:14" ht="198.95" customHeight="1" x14ac:dyDescent="0.2"/>
    <row r="68" spans="1:14" x14ac:dyDescent="0.2">
      <c r="A68" s="178"/>
      <c r="B68" s="176"/>
      <c r="C68" s="177"/>
      <c r="D68" s="178"/>
      <c r="E68" s="177"/>
      <c r="F68" s="179"/>
      <c r="G68" s="180"/>
      <c r="H68" s="336" t="s">
        <v>442</v>
      </c>
      <c r="I68" s="335"/>
      <c r="J68" s="335"/>
      <c r="K68" s="335"/>
      <c r="L68" s="335"/>
      <c r="M68" s="186"/>
      <c r="N68" s="181"/>
    </row>
    <row r="69" spans="1:14" ht="18" x14ac:dyDescent="0.2">
      <c r="A69" s="178" t="s">
        <v>162</v>
      </c>
      <c r="B69" s="176" t="s">
        <v>443</v>
      </c>
      <c r="C69" s="177" t="s">
        <v>444</v>
      </c>
      <c r="D69" s="178" t="s">
        <v>445</v>
      </c>
      <c r="E69" s="177" t="s">
        <v>446</v>
      </c>
      <c r="F69" s="179" t="s">
        <v>447</v>
      </c>
      <c r="G69" s="180" t="s">
        <v>448</v>
      </c>
      <c r="H69" s="335" t="s">
        <v>449</v>
      </c>
      <c r="I69" s="335"/>
      <c r="J69" s="180" t="s">
        <v>450</v>
      </c>
      <c r="K69" s="180" t="s">
        <v>451</v>
      </c>
      <c r="L69" s="180" t="s">
        <v>452</v>
      </c>
      <c r="M69" s="186" t="s">
        <v>453</v>
      </c>
      <c r="N69" s="181" t="s">
        <v>454</v>
      </c>
    </row>
    <row r="70" spans="1:14" ht="18" x14ac:dyDescent="0.2">
      <c r="A70" s="178"/>
      <c r="B70" s="176"/>
      <c r="C70" s="177" t="s">
        <v>39</v>
      </c>
      <c r="D70" s="178" t="s">
        <v>455</v>
      </c>
      <c r="E70" s="177" t="s">
        <v>456</v>
      </c>
      <c r="F70" s="179" t="s">
        <v>41</v>
      </c>
      <c r="G70" s="180" t="s">
        <v>457</v>
      </c>
      <c r="H70" s="180" t="s">
        <v>458</v>
      </c>
      <c r="I70" s="182" t="s">
        <v>459</v>
      </c>
      <c r="J70" s="180" t="s">
        <v>459</v>
      </c>
      <c r="K70" s="180" t="s">
        <v>459</v>
      </c>
      <c r="L70" s="180" t="s">
        <v>459</v>
      </c>
      <c r="M70" s="186" t="s">
        <v>0</v>
      </c>
      <c r="N70" s="181"/>
    </row>
    <row r="71" spans="1:14" ht="18" x14ac:dyDescent="0.2">
      <c r="A71" s="175">
        <v>200</v>
      </c>
      <c r="B71" s="176" t="s">
        <v>514</v>
      </c>
      <c r="C71" s="177">
        <v>139</v>
      </c>
      <c r="D71" s="178">
        <v>200</v>
      </c>
      <c r="E71" s="177">
        <v>127</v>
      </c>
      <c r="F71" s="179">
        <v>0.69</v>
      </c>
      <c r="G71" s="179">
        <v>0.6</v>
      </c>
      <c r="H71" s="180">
        <v>76.2</v>
      </c>
      <c r="I71" s="182">
        <v>26</v>
      </c>
      <c r="J71" s="180">
        <v>19.3</v>
      </c>
      <c r="K71" s="183">
        <v>13.2</v>
      </c>
      <c r="L71" s="180">
        <v>7.7</v>
      </c>
      <c r="M71" s="186">
        <v>1.3260000000000001</v>
      </c>
      <c r="N71" s="181">
        <v>40</v>
      </c>
    </row>
    <row r="72" spans="1:14" ht="18" x14ac:dyDescent="0.2">
      <c r="A72" s="175">
        <v>300</v>
      </c>
      <c r="B72" s="176" t="s">
        <v>515</v>
      </c>
      <c r="C72" s="177">
        <v>139</v>
      </c>
      <c r="D72" s="178">
        <v>300</v>
      </c>
      <c r="E72" s="177">
        <v>235</v>
      </c>
      <c r="F72" s="179">
        <v>1</v>
      </c>
      <c r="G72" s="179">
        <v>0.75</v>
      </c>
      <c r="H72" s="180">
        <v>123.5</v>
      </c>
      <c r="I72" s="182">
        <v>42.1</v>
      </c>
      <c r="J72" s="180">
        <v>31.8</v>
      </c>
      <c r="K72" s="183">
        <v>22.1</v>
      </c>
      <c r="L72" s="180">
        <v>13.3</v>
      </c>
      <c r="M72" s="186">
        <v>1.258</v>
      </c>
      <c r="N72" s="181">
        <v>40</v>
      </c>
    </row>
    <row r="73" spans="1:14" ht="18" x14ac:dyDescent="0.2">
      <c r="A73" s="175">
        <v>350</v>
      </c>
      <c r="B73" s="176" t="s">
        <v>516</v>
      </c>
      <c r="C73" s="177">
        <v>139</v>
      </c>
      <c r="D73" s="178">
        <v>350</v>
      </c>
      <c r="E73" s="177">
        <v>285</v>
      </c>
      <c r="F73" s="179">
        <v>1.1399999999999999</v>
      </c>
      <c r="G73" s="179">
        <v>0.83</v>
      </c>
      <c r="H73" s="180">
        <v>142</v>
      </c>
      <c r="I73" s="182">
        <v>48.4</v>
      </c>
      <c r="J73" s="180">
        <v>36.5</v>
      </c>
      <c r="K73" s="183">
        <v>25.4</v>
      </c>
      <c r="L73" s="180">
        <v>15.2</v>
      </c>
      <c r="M73" s="186">
        <v>1.2649999999999999</v>
      </c>
      <c r="N73" s="181">
        <v>40</v>
      </c>
    </row>
    <row r="74" spans="1:14" ht="18" x14ac:dyDescent="0.2">
      <c r="A74" s="175">
        <v>365</v>
      </c>
      <c r="B74" s="176" t="s">
        <v>517</v>
      </c>
      <c r="C74" s="177">
        <v>139</v>
      </c>
      <c r="D74" s="178">
        <v>365</v>
      </c>
      <c r="E74" s="177">
        <v>300</v>
      </c>
      <c r="F74" s="179">
        <v>1.19</v>
      </c>
      <c r="G74" s="179">
        <v>0.85</v>
      </c>
      <c r="H74" s="180">
        <v>147.5</v>
      </c>
      <c r="I74" s="182">
        <v>50.3</v>
      </c>
      <c r="J74" s="180">
        <v>37.9</v>
      </c>
      <c r="K74" s="183">
        <v>26.3</v>
      </c>
      <c r="L74" s="180">
        <v>15.7</v>
      </c>
      <c r="M74" s="186">
        <v>1.2669999999999999</v>
      </c>
      <c r="N74" s="181">
        <v>40</v>
      </c>
    </row>
    <row r="75" spans="1:14" ht="18" x14ac:dyDescent="0.2">
      <c r="A75" s="175">
        <v>400</v>
      </c>
      <c r="B75" s="176" t="s">
        <v>518</v>
      </c>
      <c r="C75" s="177">
        <v>139</v>
      </c>
      <c r="D75" s="178">
        <v>400</v>
      </c>
      <c r="E75" s="177">
        <v>335</v>
      </c>
      <c r="F75" s="179">
        <v>1.29</v>
      </c>
      <c r="G75" s="179">
        <v>0.91</v>
      </c>
      <c r="H75" s="180">
        <v>160.30000000000001</v>
      </c>
      <c r="I75" s="182">
        <v>54.6</v>
      </c>
      <c r="J75" s="180">
        <v>41.1</v>
      </c>
      <c r="K75" s="183">
        <v>28.5</v>
      </c>
      <c r="L75" s="180">
        <v>17</v>
      </c>
      <c r="M75" s="186">
        <v>1.272</v>
      </c>
      <c r="N75" s="181">
        <v>40</v>
      </c>
    </row>
    <row r="76" spans="1:14" ht="18" x14ac:dyDescent="0.2">
      <c r="A76" s="175">
        <v>450</v>
      </c>
      <c r="B76" s="176" t="s">
        <v>519</v>
      </c>
      <c r="C76" s="177">
        <v>139</v>
      </c>
      <c r="D76" s="178">
        <v>450</v>
      </c>
      <c r="E76" s="177">
        <v>385</v>
      </c>
      <c r="F76" s="179">
        <v>1.43</v>
      </c>
      <c r="G76" s="179">
        <v>0.99</v>
      </c>
      <c r="H76" s="180">
        <v>178.4</v>
      </c>
      <c r="I76" s="182">
        <v>60.8</v>
      </c>
      <c r="J76" s="180">
        <v>45.7</v>
      </c>
      <c r="K76" s="183">
        <v>31.6</v>
      </c>
      <c r="L76" s="180">
        <v>18.8</v>
      </c>
      <c r="M76" s="186">
        <v>1.2789999999999999</v>
      </c>
      <c r="N76" s="181">
        <v>40</v>
      </c>
    </row>
    <row r="77" spans="1:14" ht="18" x14ac:dyDescent="0.2">
      <c r="A77" s="175">
        <v>500</v>
      </c>
      <c r="B77" s="176" t="s">
        <v>520</v>
      </c>
      <c r="C77" s="177">
        <v>139</v>
      </c>
      <c r="D77" s="178">
        <v>500</v>
      </c>
      <c r="E77" s="177">
        <v>435</v>
      </c>
      <c r="F77" s="179">
        <v>1.58</v>
      </c>
      <c r="G77" s="179">
        <v>1.07</v>
      </c>
      <c r="H77" s="180">
        <v>196.3</v>
      </c>
      <c r="I77" s="182">
        <v>66.900000000000006</v>
      </c>
      <c r="J77" s="180">
        <v>50.2</v>
      </c>
      <c r="K77" s="183">
        <v>34.700000000000003</v>
      </c>
      <c r="L77" s="180">
        <v>20.6</v>
      </c>
      <c r="M77" s="186">
        <v>1.286</v>
      </c>
      <c r="N77" s="181">
        <v>40</v>
      </c>
    </row>
    <row r="78" spans="1:14" ht="18" x14ac:dyDescent="0.2">
      <c r="A78" s="175">
        <v>535</v>
      </c>
      <c r="B78" s="176" t="s">
        <v>521</v>
      </c>
      <c r="C78" s="177">
        <v>139</v>
      </c>
      <c r="D78" s="178">
        <v>535</v>
      </c>
      <c r="E78" s="177">
        <v>470</v>
      </c>
      <c r="F78" s="179">
        <v>1.68</v>
      </c>
      <c r="G78" s="179">
        <v>1.1200000000000001</v>
      </c>
      <c r="H78" s="180">
        <v>208.8</v>
      </c>
      <c r="I78" s="182">
        <v>71.2</v>
      </c>
      <c r="J78" s="180">
        <v>53.3</v>
      </c>
      <c r="K78" s="183">
        <v>36.799999999999997</v>
      </c>
      <c r="L78" s="180">
        <v>21.8</v>
      </c>
      <c r="M78" s="186">
        <v>1.2909999999999999</v>
      </c>
      <c r="N78" s="181">
        <v>40</v>
      </c>
    </row>
    <row r="79" spans="1:14" ht="18" x14ac:dyDescent="0.2">
      <c r="A79" s="175">
        <v>550</v>
      </c>
      <c r="B79" s="176" t="s">
        <v>522</v>
      </c>
      <c r="C79" s="177">
        <v>139</v>
      </c>
      <c r="D79" s="178">
        <v>550</v>
      </c>
      <c r="E79" s="177">
        <v>485</v>
      </c>
      <c r="F79" s="179">
        <v>1.72</v>
      </c>
      <c r="G79" s="179">
        <v>1.1499999999999999</v>
      </c>
      <c r="H79" s="180">
        <v>214.1</v>
      </c>
      <c r="I79" s="182">
        <v>73</v>
      </c>
      <c r="J79" s="180">
        <v>54.7</v>
      </c>
      <c r="K79" s="183">
        <v>37.700000000000003</v>
      </c>
      <c r="L79" s="180">
        <v>22.3</v>
      </c>
      <c r="M79" s="186">
        <v>1.2929999999999999</v>
      </c>
      <c r="N79" s="181">
        <v>40</v>
      </c>
    </row>
    <row r="80" spans="1:14" ht="18" x14ac:dyDescent="0.2">
      <c r="A80" s="175">
        <v>565</v>
      </c>
      <c r="B80" s="176" t="s">
        <v>523</v>
      </c>
      <c r="C80" s="177">
        <v>139</v>
      </c>
      <c r="D80" s="178">
        <v>565</v>
      </c>
      <c r="E80" s="177">
        <v>500</v>
      </c>
      <c r="F80" s="179">
        <v>1.76</v>
      </c>
      <c r="G80" s="179">
        <v>1.17</v>
      </c>
      <c r="H80" s="180">
        <v>219.4</v>
      </c>
      <c r="I80" s="182">
        <v>74.8</v>
      </c>
      <c r="J80" s="180">
        <v>56</v>
      </c>
      <c r="K80" s="183">
        <v>38.6</v>
      </c>
      <c r="L80" s="180">
        <v>22.8</v>
      </c>
      <c r="M80" s="186">
        <v>1.296</v>
      </c>
      <c r="N80" s="181">
        <v>40</v>
      </c>
    </row>
    <row r="81" spans="1:14" ht="18" x14ac:dyDescent="0.2">
      <c r="A81" s="175">
        <v>600</v>
      </c>
      <c r="B81" s="176" t="s">
        <v>524</v>
      </c>
      <c r="C81" s="177">
        <v>139</v>
      </c>
      <c r="D81" s="178">
        <v>600</v>
      </c>
      <c r="E81" s="177">
        <v>535</v>
      </c>
      <c r="F81" s="179">
        <v>1.87</v>
      </c>
      <c r="G81" s="179">
        <v>1.23</v>
      </c>
      <c r="H81" s="180">
        <v>231.8</v>
      </c>
      <c r="I81" s="182">
        <v>79</v>
      </c>
      <c r="J81" s="180">
        <v>59.1</v>
      </c>
      <c r="K81" s="183">
        <v>40.700000000000003</v>
      </c>
      <c r="L81" s="180">
        <v>24</v>
      </c>
      <c r="M81" s="186">
        <v>1.3</v>
      </c>
      <c r="N81" s="181">
        <v>40</v>
      </c>
    </row>
    <row r="82" spans="1:14" ht="18" x14ac:dyDescent="0.2">
      <c r="A82" s="175">
        <v>650</v>
      </c>
      <c r="B82" s="176" t="s">
        <v>525</v>
      </c>
      <c r="C82" s="177">
        <v>139</v>
      </c>
      <c r="D82" s="178">
        <v>650</v>
      </c>
      <c r="E82" s="177">
        <v>585</v>
      </c>
      <c r="F82" s="179">
        <v>2.0099999999999998</v>
      </c>
      <c r="G82" s="179">
        <v>1.3</v>
      </c>
      <c r="H82" s="180">
        <v>249.3</v>
      </c>
      <c r="I82" s="182">
        <v>85</v>
      </c>
      <c r="J82" s="180">
        <v>63.5</v>
      </c>
      <c r="K82" s="183">
        <v>43.6</v>
      </c>
      <c r="L82" s="180">
        <v>25.6</v>
      </c>
      <c r="M82" s="186">
        <v>1.3069999999999999</v>
      </c>
      <c r="N82" s="181">
        <v>40</v>
      </c>
    </row>
    <row r="83" spans="1:14" ht="18" x14ac:dyDescent="0.2">
      <c r="A83" s="175">
        <v>665</v>
      </c>
      <c r="B83" s="176" t="s">
        <v>526</v>
      </c>
      <c r="C83" s="177">
        <v>139</v>
      </c>
      <c r="D83" s="178">
        <v>665</v>
      </c>
      <c r="E83" s="177">
        <v>600</v>
      </c>
      <c r="F83" s="179">
        <v>2.0499999999999998</v>
      </c>
      <c r="G83" s="179">
        <v>1.33</v>
      </c>
      <c r="H83" s="180">
        <v>254.5</v>
      </c>
      <c r="I83" s="182">
        <v>86.7</v>
      </c>
      <c r="J83" s="180">
        <v>64.8</v>
      </c>
      <c r="K83" s="183">
        <v>44.4</v>
      </c>
      <c r="L83" s="180">
        <v>26.1</v>
      </c>
      <c r="M83" s="186">
        <v>1.31</v>
      </c>
      <c r="N83" s="181">
        <v>40</v>
      </c>
    </row>
    <row r="84" spans="1:14" ht="18" x14ac:dyDescent="0.2">
      <c r="A84" s="175">
        <v>685</v>
      </c>
      <c r="B84" s="176" t="s">
        <v>527</v>
      </c>
      <c r="C84" s="177">
        <v>139</v>
      </c>
      <c r="D84" s="178">
        <v>685</v>
      </c>
      <c r="E84" s="177">
        <v>620</v>
      </c>
      <c r="F84" s="179">
        <v>2.11</v>
      </c>
      <c r="G84" s="179">
        <v>1.36</v>
      </c>
      <c r="H84" s="180">
        <v>261.5</v>
      </c>
      <c r="I84" s="182">
        <v>89.1</v>
      </c>
      <c r="J84" s="180">
        <v>66.5</v>
      </c>
      <c r="K84" s="183">
        <v>45.6</v>
      </c>
      <c r="L84" s="180">
        <v>26.8</v>
      </c>
      <c r="M84" s="186">
        <v>1.3120000000000001</v>
      </c>
      <c r="N84" s="181">
        <v>40</v>
      </c>
    </row>
    <row r="85" spans="1:14" ht="18" x14ac:dyDescent="0.2">
      <c r="A85" s="175">
        <v>750</v>
      </c>
      <c r="B85" s="176" t="s">
        <v>528</v>
      </c>
      <c r="C85" s="177">
        <v>139</v>
      </c>
      <c r="D85" s="178">
        <v>750</v>
      </c>
      <c r="E85" s="177">
        <v>685</v>
      </c>
      <c r="F85" s="179">
        <v>2.2999999999999998</v>
      </c>
      <c r="G85" s="179">
        <v>1.46</v>
      </c>
      <c r="H85" s="180">
        <v>284</v>
      </c>
      <c r="I85" s="182">
        <v>96.8</v>
      </c>
      <c r="J85" s="180">
        <v>72.099999999999994</v>
      </c>
      <c r="K85" s="183">
        <v>49.3</v>
      </c>
      <c r="L85" s="180">
        <v>28.8</v>
      </c>
      <c r="M85" s="186">
        <v>1.3220000000000001</v>
      </c>
      <c r="N85" s="181">
        <v>35</v>
      </c>
    </row>
    <row r="86" spans="1:14" ht="18" x14ac:dyDescent="0.2">
      <c r="A86" s="175">
        <v>765</v>
      </c>
      <c r="B86" s="176" t="s">
        <v>529</v>
      </c>
      <c r="C86" s="177">
        <v>139</v>
      </c>
      <c r="D86" s="178">
        <v>765</v>
      </c>
      <c r="E86" s="177">
        <v>700</v>
      </c>
      <c r="F86" s="179">
        <v>2.34</v>
      </c>
      <c r="G86" s="179">
        <v>1.49</v>
      </c>
      <c r="H86" s="180">
        <v>289.2</v>
      </c>
      <c r="I86" s="182">
        <v>98.6</v>
      </c>
      <c r="J86" s="180">
        <v>73.400000000000006</v>
      </c>
      <c r="K86" s="183">
        <v>50.1</v>
      </c>
      <c r="L86" s="180">
        <v>29.3</v>
      </c>
      <c r="M86" s="186">
        <v>1.3240000000000001</v>
      </c>
      <c r="N86" s="181">
        <v>35</v>
      </c>
    </row>
    <row r="87" spans="1:14" ht="18" x14ac:dyDescent="0.2">
      <c r="A87" s="175">
        <v>815</v>
      </c>
      <c r="B87" s="176" t="s">
        <v>530</v>
      </c>
      <c r="C87" s="177">
        <v>139</v>
      </c>
      <c r="D87" s="178">
        <v>815</v>
      </c>
      <c r="E87" s="177">
        <v>750</v>
      </c>
      <c r="F87" s="179">
        <v>2.48</v>
      </c>
      <c r="G87" s="179">
        <v>1.57</v>
      </c>
      <c r="H87" s="180">
        <v>306.39999999999998</v>
      </c>
      <c r="I87" s="182">
        <v>104.4</v>
      </c>
      <c r="J87" s="180">
        <v>77.599999999999994</v>
      </c>
      <c r="K87" s="183">
        <v>52.9</v>
      </c>
      <c r="L87" s="180">
        <v>30.9</v>
      </c>
      <c r="M87" s="186">
        <v>1.331</v>
      </c>
      <c r="N87" s="181">
        <v>30</v>
      </c>
    </row>
    <row r="88" spans="1:14" ht="18" x14ac:dyDescent="0.2">
      <c r="A88" s="175">
        <v>865</v>
      </c>
      <c r="B88" s="176" t="s">
        <v>531</v>
      </c>
      <c r="C88" s="177">
        <v>139</v>
      </c>
      <c r="D88" s="178">
        <v>865</v>
      </c>
      <c r="E88" s="177">
        <v>800</v>
      </c>
      <c r="F88" s="179">
        <v>2.63</v>
      </c>
      <c r="G88" s="179">
        <v>1.64</v>
      </c>
      <c r="H88" s="180">
        <v>323.5</v>
      </c>
      <c r="I88" s="182">
        <v>110.3</v>
      </c>
      <c r="J88" s="180">
        <v>81.8</v>
      </c>
      <c r="K88" s="183">
        <v>55.7</v>
      </c>
      <c r="L88" s="180">
        <v>32.4</v>
      </c>
      <c r="M88" s="186">
        <v>1.3380000000000001</v>
      </c>
      <c r="N88" s="181">
        <v>30</v>
      </c>
    </row>
    <row r="89" spans="1:14" ht="18" x14ac:dyDescent="0.2">
      <c r="A89" s="175">
        <v>885</v>
      </c>
      <c r="B89" s="176" t="s">
        <v>532</v>
      </c>
      <c r="C89" s="177">
        <v>139</v>
      </c>
      <c r="D89" s="178">
        <v>885</v>
      </c>
      <c r="E89" s="177">
        <v>820</v>
      </c>
      <c r="F89" s="179">
        <v>2.69</v>
      </c>
      <c r="G89" s="179">
        <v>1.68</v>
      </c>
      <c r="H89" s="180">
        <v>330.4</v>
      </c>
      <c r="I89" s="182">
        <v>112.6</v>
      </c>
      <c r="J89" s="180">
        <v>83.5</v>
      </c>
      <c r="K89" s="183">
        <v>56.8</v>
      </c>
      <c r="L89" s="180">
        <v>33</v>
      </c>
      <c r="M89" s="186">
        <v>1.341</v>
      </c>
      <c r="N89" s="181">
        <v>30</v>
      </c>
    </row>
    <row r="90" spans="1:14" ht="18" x14ac:dyDescent="0.2">
      <c r="A90" s="175">
        <v>900</v>
      </c>
      <c r="B90" s="176" t="s">
        <v>533</v>
      </c>
      <c r="C90" s="177">
        <v>139</v>
      </c>
      <c r="D90" s="178">
        <v>900</v>
      </c>
      <c r="E90" s="177">
        <v>835</v>
      </c>
      <c r="F90" s="179">
        <v>2.73</v>
      </c>
      <c r="G90" s="179">
        <v>1.7</v>
      </c>
      <c r="H90" s="180">
        <v>335.5</v>
      </c>
      <c r="I90" s="182">
        <v>114.3</v>
      </c>
      <c r="J90" s="180">
        <v>84.7</v>
      </c>
      <c r="K90" s="183">
        <v>57.6</v>
      </c>
      <c r="L90" s="180">
        <v>33.4</v>
      </c>
      <c r="M90" s="186">
        <v>1.343</v>
      </c>
      <c r="N90" s="181">
        <v>30</v>
      </c>
    </row>
    <row r="91" spans="1:14" ht="18" x14ac:dyDescent="0.2">
      <c r="A91" s="175">
        <v>1000</v>
      </c>
      <c r="B91" s="176" t="s">
        <v>534</v>
      </c>
      <c r="C91" s="177">
        <v>139</v>
      </c>
      <c r="D91" s="178">
        <v>1000</v>
      </c>
      <c r="E91" s="177">
        <v>935</v>
      </c>
      <c r="F91" s="179">
        <v>3.02</v>
      </c>
      <c r="G91" s="179">
        <v>1.86</v>
      </c>
      <c r="H91" s="180">
        <v>369.4</v>
      </c>
      <c r="I91" s="182">
        <v>125.9</v>
      </c>
      <c r="J91" s="180">
        <v>93.4</v>
      </c>
      <c r="K91" s="183">
        <v>63.5</v>
      </c>
      <c r="L91" s="180">
        <v>36.9</v>
      </c>
      <c r="M91" s="186">
        <v>1.34</v>
      </c>
      <c r="N91" s="181">
        <v>30</v>
      </c>
    </row>
    <row r="92" spans="1:14" ht="18" x14ac:dyDescent="0.2">
      <c r="A92" s="175">
        <v>1200</v>
      </c>
      <c r="B92" s="176" t="s">
        <v>535</v>
      </c>
      <c r="C92" s="177">
        <v>139</v>
      </c>
      <c r="D92" s="178">
        <v>1200</v>
      </c>
      <c r="E92" s="177">
        <v>1135</v>
      </c>
      <c r="F92" s="179">
        <v>3.6</v>
      </c>
      <c r="G92" s="179">
        <v>2.17</v>
      </c>
      <c r="H92" s="180">
        <v>436.6</v>
      </c>
      <c r="I92" s="182">
        <v>148.80000000000001</v>
      </c>
      <c r="J92" s="180">
        <v>110.5</v>
      </c>
      <c r="K92" s="183">
        <v>75.2</v>
      </c>
      <c r="L92" s="180">
        <v>43.8</v>
      </c>
      <c r="M92" s="186">
        <v>1.335</v>
      </c>
      <c r="N92" s="181">
        <v>22</v>
      </c>
    </row>
    <row r="93" spans="1:14" ht="18" x14ac:dyDescent="0.2">
      <c r="A93" s="175">
        <v>1500</v>
      </c>
      <c r="B93" s="176" t="s">
        <v>536</v>
      </c>
      <c r="C93" s="177">
        <v>139</v>
      </c>
      <c r="D93" s="178">
        <v>1500</v>
      </c>
      <c r="E93" s="177">
        <v>1435</v>
      </c>
      <c r="F93" s="179">
        <v>4.4800000000000004</v>
      </c>
      <c r="G93" s="179">
        <v>2.63</v>
      </c>
      <c r="H93" s="180">
        <v>535.9</v>
      </c>
      <c r="I93" s="182">
        <v>182.6</v>
      </c>
      <c r="J93" s="180">
        <v>135.80000000000001</v>
      </c>
      <c r="K93" s="183">
        <v>92.7</v>
      </c>
      <c r="L93" s="180">
        <v>54.1</v>
      </c>
      <c r="M93" s="186">
        <v>1.3280000000000001</v>
      </c>
      <c r="N93" s="181">
        <v>22</v>
      </c>
    </row>
    <row r="94" spans="1:14" ht="18" x14ac:dyDescent="0.2">
      <c r="A94" s="175">
        <v>1800</v>
      </c>
      <c r="B94" s="176" t="s">
        <v>537</v>
      </c>
      <c r="C94" s="177">
        <v>139</v>
      </c>
      <c r="D94" s="178">
        <v>1800</v>
      </c>
      <c r="E94" s="177">
        <v>1735</v>
      </c>
      <c r="F94" s="179">
        <v>5.35</v>
      </c>
      <c r="G94" s="179">
        <v>3.11</v>
      </c>
      <c r="H94" s="180">
        <v>633.9</v>
      </c>
      <c r="I94" s="182">
        <v>216</v>
      </c>
      <c r="J94" s="180">
        <v>160.9</v>
      </c>
      <c r="K94" s="183">
        <v>110</v>
      </c>
      <c r="L94" s="180">
        <v>64.400000000000006</v>
      </c>
      <c r="M94" s="186">
        <v>1.321</v>
      </c>
      <c r="N94" s="181">
        <v>22</v>
      </c>
    </row>
    <row r="95" spans="1:14" ht="18" x14ac:dyDescent="0.2">
      <c r="A95" s="175">
        <v>2000</v>
      </c>
      <c r="B95" s="176" t="s">
        <v>538</v>
      </c>
      <c r="C95" s="177">
        <v>139</v>
      </c>
      <c r="D95" s="178">
        <v>2000</v>
      </c>
      <c r="E95" s="177">
        <v>1935</v>
      </c>
      <c r="F95" s="179">
        <v>5.92</v>
      </c>
      <c r="G95" s="179">
        <v>3.44</v>
      </c>
      <c r="H95" s="180">
        <v>698.7</v>
      </c>
      <c r="I95" s="182">
        <v>238.1</v>
      </c>
      <c r="J95" s="180">
        <v>177.5</v>
      </c>
      <c r="K95" s="183">
        <v>121.5</v>
      </c>
      <c r="L95" s="180">
        <v>71.3</v>
      </c>
      <c r="M95" s="186">
        <v>1.3169999999999999</v>
      </c>
      <c r="N95" s="181">
        <v>22</v>
      </c>
    </row>
    <row r="96" spans="1:14" ht="18" x14ac:dyDescent="0.2">
      <c r="A96" s="175">
        <v>2200</v>
      </c>
      <c r="B96" s="176" t="s">
        <v>539</v>
      </c>
      <c r="C96" s="177">
        <v>139</v>
      </c>
      <c r="D96" s="178">
        <v>2200</v>
      </c>
      <c r="E96" s="177">
        <v>2135</v>
      </c>
      <c r="F96" s="179">
        <v>6.5</v>
      </c>
      <c r="G96" s="179">
        <v>3.76</v>
      </c>
      <c r="H96" s="180">
        <v>763</v>
      </c>
      <c r="I96" s="182">
        <v>260</v>
      </c>
      <c r="J96" s="180">
        <v>194</v>
      </c>
      <c r="K96" s="183">
        <v>133</v>
      </c>
      <c r="L96" s="180">
        <v>78.099999999999994</v>
      </c>
      <c r="M96" s="186">
        <v>1.3120000000000001</v>
      </c>
      <c r="N96" s="181">
        <v>12</v>
      </c>
    </row>
    <row r="97" spans="1:14" ht="18" x14ac:dyDescent="0.2">
      <c r="A97" s="175">
        <v>2500</v>
      </c>
      <c r="B97" s="176" t="s">
        <v>540</v>
      </c>
      <c r="C97" s="177">
        <v>139</v>
      </c>
      <c r="D97" s="178">
        <v>2500</v>
      </c>
      <c r="E97" s="177">
        <v>2435</v>
      </c>
      <c r="F97" s="179">
        <v>7.36</v>
      </c>
      <c r="G97" s="179">
        <v>4.25</v>
      </c>
      <c r="H97" s="180">
        <v>859.1</v>
      </c>
      <c r="I97" s="182">
        <v>292.8</v>
      </c>
      <c r="J97" s="180">
        <v>218.8</v>
      </c>
      <c r="K97" s="183">
        <v>150.19999999999999</v>
      </c>
      <c r="L97" s="180">
        <v>88.5</v>
      </c>
      <c r="M97" s="186">
        <v>1.306</v>
      </c>
      <c r="N97" s="181">
        <v>12</v>
      </c>
    </row>
    <row r="99" spans="1:14" ht="185.1" customHeight="1" x14ac:dyDescent="0.2"/>
    <row r="101" spans="1:14" x14ac:dyDescent="0.2">
      <c r="A101" s="178"/>
      <c r="B101" s="176"/>
      <c r="C101" s="177"/>
      <c r="D101" s="178"/>
      <c r="E101" s="177"/>
      <c r="F101" s="179"/>
      <c r="G101" s="180"/>
      <c r="H101" s="336" t="s">
        <v>442</v>
      </c>
      <c r="I101" s="335"/>
      <c r="J101" s="335"/>
      <c r="K101" s="335"/>
      <c r="L101" s="335"/>
      <c r="M101" s="186"/>
      <c r="N101" s="181"/>
    </row>
    <row r="102" spans="1:14" ht="18" x14ac:dyDescent="0.2">
      <c r="A102" s="178" t="s">
        <v>162</v>
      </c>
      <c r="B102" s="176" t="s">
        <v>443</v>
      </c>
      <c r="C102" s="177" t="s">
        <v>444</v>
      </c>
      <c r="D102" s="178" t="s">
        <v>445</v>
      </c>
      <c r="E102" s="177" t="s">
        <v>446</v>
      </c>
      <c r="F102" s="179" t="s">
        <v>447</v>
      </c>
      <c r="G102" s="180" t="s">
        <v>448</v>
      </c>
      <c r="H102" s="335" t="s">
        <v>449</v>
      </c>
      <c r="I102" s="335"/>
      <c r="J102" s="180" t="s">
        <v>450</v>
      </c>
      <c r="K102" s="180" t="s">
        <v>451</v>
      </c>
      <c r="L102" s="180" t="s">
        <v>452</v>
      </c>
      <c r="M102" s="186" t="s">
        <v>453</v>
      </c>
      <c r="N102" s="181" t="s">
        <v>454</v>
      </c>
    </row>
    <row r="103" spans="1:14" ht="18" x14ac:dyDescent="0.2">
      <c r="A103" s="178"/>
      <c r="B103" s="176"/>
      <c r="C103" s="177" t="s">
        <v>39</v>
      </c>
      <c r="D103" s="178" t="s">
        <v>455</v>
      </c>
      <c r="E103" s="177" t="s">
        <v>456</v>
      </c>
      <c r="F103" s="179" t="s">
        <v>41</v>
      </c>
      <c r="G103" s="180" t="s">
        <v>457</v>
      </c>
      <c r="H103" s="180" t="s">
        <v>458</v>
      </c>
      <c r="I103" s="182" t="s">
        <v>459</v>
      </c>
      <c r="J103" s="180" t="s">
        <v>459</v>
      </c>
      <c r="K103" s="180" t="s">
        <v>459</v>
      </c>
      <c r="L103" s="180" t="s">
        <v>459</v>
      </c>
      <c r="M103" s="186" t="s">
        <v>0</v>
      </c>
      <c r="N103" s="181"/>
    </row>
    <row r="104" spans="1:14" ht="18" x14ac:dyDescent="0.2">
      <c r="A104" s="175">
        <v>200</v>
      </c>
      <c r="B104" s="176" t="s">
        <v>541</v>
      </c>
      <c r="C104" s="177">
        <v>177</v>
      </c>
      <c r="D104" s="178">
        <v>200</v>
      </c>
      <c r="E104" s="177">
        <v>127</v>
      </c>
      <c r="F104" s="180">
        <v>0.81</v>
      </c>
      <c r="G104" s="179">
        <v>0.73</v>
      </c>
      <c r="H104" s="180">
        <v>93</v>
      </c>
      <c r="I104" s="182">
        <v>31.7</v>
      </c>
      <c r="J104" s="184">
        <v>23.4</v>
      </c>
      <c r="K104" s="183">
        <v>15.9</v>
      </c>
      <c r="L104" s="180">
        <v>9.1999999999999993</v>
      </c>
      <c r="M104" s="186">
        <v>1.35</v>
      </c>
      <c r="N104" s="181">
        <v>40</v>
      </c>
    </row>
    <row r="105" spans="1:14" ht="18" x14ac:dyDescent="0.2">
      <c r="A105" s="175">
        <v>300</v>
      </c>
      <c r="B105" s="176" t="s">
        <v>542</v>
      </c>
      <c r="C105" s="177">
        <v>177</v>
      </c>
      <c r="D105" s="178">
        <v>300</v>
      </c>
      <c r="E105" s="177">
        <v>235</v>
      </c>
      <c r="F105" s="180">
        <v>1.1299999999999999</v>
      </c>
      <c r="G105" s="179">
        <v>0.95</v>
      </c>
      <c r="H105" s="180">
        <v>150.80000000000001</v>
      </c>
      <c r="I105" s="182">
        <v>51.4</v>
      </c>
      <c r="J105" s="184">
        <v>38.700000000000003</v>
      </c>
      <c r="K105" s="183">
        <v>26.8</v>
      </c>
      <c r="L105" s="180">
        <v>16</v>
      </c>
      <c r="M105" s="186">
        <v>1.276</v>
      </c>
      <c r="N105" s="181">
        <v>40</v>
      </c>
    </row>
    <row r="106" spans="1:14" ht="18" x14ac:dyDescent="0.2">
      <c r="A106" s="175">
        <v>350</v>
      </c>
      <c r="B106" s="176" t="s">
        <v>543</v>
      </c>
      <c r="C106" s="177">
        <v>177</v>
      </c>
      <c r="D106" s="178">
        <v>350</v>
      </c>
      <c r="E106" s="177">
        <v>285</v>
      </c>
      <c r="F106" s="180">
        <v>1.28</v>
      </c>
      <c r="G106" s="179">
        <v>1.05</v>
      </c>
      <c r="H106" s="180">
        <v>173.2</v>
      </c>
      <c r="I106" s="182">
        <v>59</v>
      </c>
      <c r="J106" s="184">
        <v>44.3</v>
      </c>
      <c r="K106" s="183">
        <v>30.6</v>
      </c>
      <c r="L106" s="180">
        <v>18.2</v>
      </c>
      <c r="M106" s="186">
        <v>1.2829999999999999</v>
      </c>
      <c r="N106" s="181">
        <v>40</v>
      </c>
    </row>
    <row r="107" spans="1:14" ht="18" x14ac:dyDescent="0.2">
      <c r="A107" s="175">
        <v>365</v>
      </c>
      <c r="B107" s="176" t="s">
        <v>544</v>
      </c>
      <c r="C107" s="177">
        <v>177</v>
      </c>
      <c r="D107" s="178">
        <v>365</v>
      </c>
      <c r="E107" s="177">
        <v>300</v>
      </c>
      <c r="F107" s="180">
        <v>1.32</v>
      </c>
      <c r="G107" s="179">
        <v>1.08</v>
      </c>
      <c r="H107" s="180">
        <v>179.8</v>
      </c>
      <c r="I107" s="182">
        <v>61.3</v>
      </c>
      <c r="J107" s="184">
        <v>46</v>
      </c>
      <c r="K107" s="183">
        <v>31.8</v>
      </c>
      <c r="L107" s="180">
        <v>18.899999999999999</v>
      </c>
      <c r="M107" s="186">
        <v>1.286</v>
      </c>
      <c r="N107" s="181">
        <v>40</v>
      </c>
    </row>
    <row r="108" spans="1:14" ht="18" x14ac:dyDescent="0.2">
      <c r="A108" s="175">
        <v>400</v>
      </c>
      <c r="B108" s="176" t="s">
        <v>545</v>
      </c>
      <c r="C108" s="177">
        <v>177</v>
      </c>
      <c r="D108" s="178">
        <v>400</v>
      </c>
      <c r="E108" s="177">
        <v>335</v>
      </c>
      <c r="F108" s="180">
        <v>1.43</v>
      </c>
      <c r="G108" s="179">
        <v>1.1599999999999999</v>
      </c>
      <c r="H108" s="180">
        <v>195.2</v>
      </c>
      <c r="I108" s="182">
        <v>66.5</v>
      </c>
      <c r="J108" s="184">
        <v>49.9</v>
      </c>
      <c r="K108" s="183">
        <v>34.4</v>
      </c>
      <c r="L108" s="180">
        <v>20.399999999999999</v>
      </c>
      <c r="M108" s="186">
        <v>1.2909999999999999</v>
      </c>
      <c r="N108" s="181">
        <v>40</v>
      </c>
    </row>
    <row r="109" spans="1:14" ht="18" x14ac:dyDescent="0.2">
      <c r="A109" s="175">
        <v>450</v>
      </c>
      <c r="B109" s="176" t="s">
        <v>546</v>
      </c>
      <c r="C109" s="177">
        <v>177</v>
      </c>
      <c r="D109" s="178">
        <v>450</v>
      </c>
      <c r="E109" s="177">
        <v>385</v>
      </c>
      <c r="F109" s="180">
        <v>1.58</v>
      </c>
      <c r="G109" s="179">
        <v>1.26</v>
      </c>
      <c r="H109" s="180">
        <v>217.1</v>
      </c>
      <c r="I109" s="182">
        <v>74</v>
      </c>
      <c r="J109" s="184">
        <v>55.4</v>
      </c>
      <c r="K109" s="183">
        <v>38.1</v>
      </c>
      <c r="L109" s="180">
        <v>22.5</v>
      </c>
      <c r="M109" s="186">
        <v>1.2989999999999999</v>
      </c>
      <c r="N109" s="181">
        <v>40</v>
      </c>
    </row>
    <row r="110" spans="1:14" ht="18" x14ac:dyDescent="0.2">
      <c r="A110" s="175">
        <v>500</v>
      </c>
      <c r="B110" s="176" t="s">
        <v>547</v>
      </c>
      <c r="C110" s="177">
        <v>177</v>
      </c>
      <c r="D110" s="178">
        <v>500</v>
      </c>
      <c r="E110" s="177">
        <v>435</v>
      </c>
      <c r="F110" s="180">
        <v>1.72</v>
      </c>
      <c r="G110" s="179">
        <v>1.36</v>
      </c>
      <c r="H110" s="180">
        <v>238.7</v>
      </c>
      <c r="I110" s="182">
        <v>81.3</v>
      </c>
      <c r="J110" s="184">
        <v>60.8</v>
      </c>
      <c r="K110" s="183">
        <v>41.7</v>
      </c>
      <c r="L110" s="180">
        <v>24.6</v>
      </c>
      <c r="M110" s="186">
        <v>1.3069999999999999</v>
      </c>
      <c r="N110" s="181">
        <v>40</v>
      </c>
    </row>
    <row r="111" spans="1:14" ht="18" x14ac:dyDescent="0.2">
      <c r="A111" s="175">
        <v>535</v>
      </c>
      <c r="B111" s="176" t="s">
        <v>548</v>
      </c>
      <c r="C111" s="177">
        <v>177</v>
      </c>
      <c r="D111" s="178">
        <v>535</v>
      </c>
      <c r="E111" s="177">
        <v>470</v>
      </c>
      <c r="F111" s="180">
        <v>1.83</v>
      </c>
      <c r="G111" s="179">
        <v>1.44</v>
      </c>
      <c r="H111" s="180">
        <v>253.7</v>
      </c>
      <c r="I111" s="182">
        <v>86.5</v>
      </c>
      <c r="J111" s="184">
        <v>64.5</v>
      </c>
      <c r="K111" s="183">
        <v>44.2</v>
      </c>
      <c r="L111" s="180">
        <v>26</v>
      </c>
      <c r="M111" s="186">
        <v>1.3120000000000001</v>
      </c>
      <c r="N111" s="181">
        <v>40</v>
      </c>
    </row>
    <row r="112" spans="1:14" ht="18" x14ac:dyDescent="0.2">
      <c r="A112" s="175">
        <v>550</v>
      </c>
      <c r="B112" s="176" t="s">
        <v>549</v>
      </c>
      <c r="C112" s="177">
        <v>177</v>
      </c>
      <c r="D112" s="178">
        <v>550</v>
      </c>
      <c r="E112" s="177">
        <v>485</v>
      </c>
      <c r="F112" s="180">
        <v>1.87</v>
      </c>
      <c r="G112" s="179">
        <v>1.47</v>
      </c>
      <c r="H112" s="180">
        <v>260.10000000000002</v>
      </c>
      <c r="I112" s="182">
        <v>88.7</v>
      </c>
      <c r="J112" s="184">
        <v>66.099999999999994</v>
      </c>
      <c r="K112" s="183">
        <v>45.3</v>
      </c>
      <c r="L112" s="180">
        <v>26.6</v>
      </c>
      <c r="M112" s="186">
        <v>1.3149999999999999</v>
      </c>
      <c r="N112" s="181">
        <v>40</v>
      </c>
    </row>
    <row r="113" spans="1:14" ht="18" x14ac:dyDescent="0.2">
      <c r="A113" s="175">
        <v>565</v>
      </c>
      <c r="B113" s="176" t="s">
        <v>550</v>
      </c>
      <c r="C113" s="177">
        <v>177</v>
      </c>
      <c r="D113" s="178">
        <v>565</v>
      </c>
      <c r="E113" s="177">
        <v>500</v>
      </c>
      <c r="F113" s="180">
        <v>1.92</v>
      </c>
      <c r="G113" s="179">
        <v>1.5</v>
      </c>
      <c r="H113" s="180">
        <v>266.5</v>
      </c>
      <c r="I113" s="182">
        <v>90.8</v>
      </c>
      <c r="J113" s="184">
        <v>67.7</v>
      </c>
      <c r="K113" s="183">
        <v>46.4</v>
      </c>
      <c r="L113" s="180">
        <v>27.2</v>
      </c>
      <c r="M113" s="186">
        <v>1.3169999999999999</v>
      </c>
      <c r="N113" s="181">
        <v>40</v>
      </c>
    </row>
    <row r="114" spans="1:14" ht="18" x14ac:dyDescent="0.2">
      <c r="A114" s="175">
        <v>600</v>
      </c>
      <c r="B114" s="176" t="s">
        <v>551</v>
      </c>
      <c r="C114" s="177">
        <v>177</v>
      </c>
      <c r="D114" s="178">
        <v>600</v>
      </c>
      <c r="E114" s="177">
        <v>535</v>
      </c>
      <c r="F114" s="180">
        <v>2.02</v>
      </c>
      <c r="G114" s="179">
        <v>1.57</v>
      </c>
      <c r="H114" s="180">
        <v>281.39999999999998</v>
      </c>
      <c r="I114" s="182">
        <v>95.9</v>
      </c>
      <c r="J114" s="184">
        <v>71.400000000000006</v>
      </c>
      <c r="K114" s="183">
        <v>48.8</v>
      </c>
      <c r="L114" s="180">
        <v>28.5</v>
      </c>
      <c r="M114" s="186">
        <v>1.3220000000000001</v>
      </c>
      <c r="N114" s="181">
        <v>40</v>
      </c>
    </row>
    <row r="115" spans="1:14" ht="18" x14ac:dyDescent="0.2">
      <c r="A115" s="175">
        <v>650</v>
      </c>
      <c r="B115" s="176" t="s">
        <v>552</v>
      </c>
      <c r="C115" s="177">
        <v>177</v>
      </c>
      <c r="D115" s="178">
        <v>650</v>
      </c>
      <c r="E115" s="177">
        <v>585</v>
      </c>
      <c r="F115" s="180">
        <v>2.17</v>
      </c>
      <c r="G115" s="179">
        <v>1.68</v>
      </c>
      <c r="H115" s="180">
        <v>302.5</v>
      </c>
      <c r="I115" s="182">
        <v>103.1</v>
      </c>
      <c r="J115" s="184">
        <v>76.599999999999994</v>
      </c>
      <c r="K115" s="183">
        <v>52.3</v>
      </c>
      <c r="L115" s="180">
        <v>30.5</v>
      </c>
      <c r="M115" s="186">
        <v>1.33</v>
      </c>
      <c r="N115" s="181">
        <v>40</v>
      </c>
    </row>
    <row r="116" spans="1:14" ht="18" x14ac:dyDescent="0.2">
      <c r="A116" s="175">
        <v>665</v>
      </c>
      <c r="B116" s="176" t="s">
        <v>553</v>
      </c>
      <c r="C116" s="177">
        <v>177</v>
      </c>
      <c r="D116" s="178">
        <v>665</v>
      </c>
      <c r="E116" s="177">
        <v>600</v>
      </c>
      <c r="F116" s="180">
        <v>2.21</v>
      </c>
      <c r="G116" s="179">
        <v>1.71</v>
      </c>
      <c r="H116" s="180">
        <v>308.8</v>
      </c>
      <c r="I116" s="182">
        <v>105.2</v>
      </c>
      <c r="J116" s="184">
        <v>78.2</v>
      </c>
      <c r="K116" s="183">
        <v>53.3</v>
      </c>
      <c r="L116" s="180">
        <v>31</v>
      </c>
      <c r="M116" s="186">
        <v>1.333</v>
      </c>
      <c r="N116" s="181">
        <v>40</v>
      </c>
    </row>
    <row r="117" spans="1:14" ht="18" x14ac:dyDescent="0.2">
      <c r="A117" s="175">
        <v>685</v>
      </c>
      <c r="B117" s="176" t="s">
        <v>554</v>
      </c>
      <c r="C117" s="177">
        <v>177</v>
      </c>
      <c r="D117" s="178">
        <v>685</v>
      </c>
      <c r="E117" s="177">
        <v>620</v>
      </c>
      <c r="F117" s="180">
        <v>2.27</v>
      </c>
      <c r="G117" s="179">
        <v>1.75</v>
      </c>
      <c r="H117" s="180">
        <v>317.2</v>
      </c>
      <c r="I117" s="182">
        <v>108.1</v>
      </c>
      <c r="J117" s="184">
        <v>80.2</v>
      </c>
      <c r="K117" s="183">
        <v>54.6</v>
      </c>
      <c r="L117" s="180">
        <v>31.8</v>
      </c>
      <c r="M117" s="186">
        <v>1.3360000000000001</v>
      </c>
      <c r="N117" s="181">
        <v>40</v>
      </c>
    </row>
    <row r="118" spans="1:14" ht="18" x14ac:dyDescent="0.2">
      <c r="A118" s="175">
        <v>750</v>
      </c>
      <c r="B118" s="176" t="s">
        <v>555</v>
      </c>
      <c r="C118" s="177">
        <v>177</v>
      </c>
      <c r="D118" s="178">
        <v>750</v>
      </c>
      <c r="E118" s="177">
        <v>685</v>
      </c>
      <c r="F118" s="180">
        <v>2.46</v>
      </c>
      <c r="G118" s="179">
        <v>1.88</v>
      </c>
      <c r="H118" s="180">
        <v>344.3</v>
      </c>
      <c r="I118" s="182">
        <v>117.4</v>
      </c>
      <c r="J118" s="184">
        <v>86.9</v>
      </c>
      <c r="K118" s="183">
        <v>59</v>
      </c>
      <c r="L118" s="180">
        <v>34.200000000000003</v>
      </c>
      <c r="M118" s="186">
        <v>1.3460000000000001</v>
      </c>
      <c r="N118" s="181">
        <v>30</v>
      </c>
    </row>
    <row r="119" spans="1:14" ht="18" x14ac:dyDescent="0.2">
      <c r="A119" s="175">
        <v>765</v>
      </c>
      <c r="B119" s="176" t="s">
        <v>556</v>
      </c>
      <c r="C119" s="177">
        <v>177</v>
      </c>
      <c r="D119" s="178">
        <v>765</v>
      </c>
      <c r="E119" s="177">
        <v>700</v>
      </c>
      <c r="F119" s="180">
        <v>2.5099999999999998</v>
      </c>
      <c r="G119" s="179">
        <v>1.92</v>
      </c>
      <c r="H119" s="180">
        <v>350.6</v>
      </c>
      <c r="I119" s="182">
        <v>119.5</v>
      </c>
      <c r="J119" s="184">
        <v>88.4</v>
      </c>
      <c r="K119" s="183">
        <v>60</v>
      </c>
      <c r="L119" s="180">
        <v>34.700000000000003</v>
      </c>
      <c r="M119" s="186">
        <v>1.3480000000000001</v>
      </c>
      <c r="N119" s="181">
        <v>30</v>
      </c>
    </row>
    <row r="120" spans="1:14" ht="18" x14ac:dyDescent="0.2">
      <c r="A120" s="175">
        <v>815</v>
      </c>
      <c r="B120" s="176" t="s">
        <v>557</v>
      </c>
      <c r="C120" s="177">
        <v>177</v>
      </c>
      <c r="D120" s="178">
        <v>815</v>
      </c>
      <c r="E120" s="177">
        <v>750</v>
      </c>
      <c r="F120" s="180">
        <v>2.66</v>
      </c>
      <c r="G120" s="179">
        <v>2.02</v>
      </c>
      <c r="H120" s="180">
        <v>371.3</v>
      </c>
      <c r="I120" s="182">
        <v>126.5</v>
      </c>
      <c r="J120" s="184">
        <v>93.5</v>
      </c>
      <c r="K120" s="183">
        <v>63.3</v>
      </c>
      <c r="L120" s="180">
        <v>36.5</v>
      </c>
      <c r="M120" s="186">
        <v>1.3560000000000001</v>
      </c>
      <c r="N120" s="181">
        <v>30</v>
      </c>
    </row>
    <row r="121" spans="1:14" ht="18" x14ac:dyDescent="0.2">
      <c r="A121" s="175">
        <v>865</v>
      </c>
      <c r="B121" s="176" t="s">
        <v>558</v>
      </c>
      <c r="C121" s="177">
        <v>177</v>
      </c>
      <c r="D121" s="178">
        <v>865</v>
      </c>
      <c r="E121" s="177">
        <v>800</v>
      </c>
      <c r="F121" s="180">
        <v>2.8</v>
      </c>
      <c r="G121" s="179">
        <v>2.12</v>
      </c>
      <c r="H121" s="180">
        <v>391.9</v>
      </c>
      <c r="I121" s="182">
        <v>133.6</v>
      </c>
      <c r="J121" s="184">
        <v>98.5</v>
      </c>
      <c r="K121" s="183">
        <v>66.599999999999994</v>
      </c>
      <c r="L121" s="180">
        <v>38.299999999999997</v>
      </c>
      <c r="M121" s="186">
        <v>1.3640000000000001</v>
      </c>
      <c r="N121" s="181">
        <v>30</v>
      </c>
    </row>
    <row r="122" spans="1:14" ht="18" x14ac:dyDescent="0.2">
      <c r="A122" s="175">
        <v>885</v>
      </c>
      <c r="B122" s="176" t="s">
        <v>559</v>
      </c>
      <c r="C122" s="177">
        <v>177</v>
      </c>
      <c r="D122" s="178">
        <v>885</v>
      </c>
      <c r="E122" s="177">
        <v>820</v>
      </c>
      <c r="F122" s="180">
        <v>2.86</v>
      </c>
      <c r="G122" s="179">
        <v>2.16</v>
      </c>
      <c r="H122" s="180">
        <v>400.2</v>
      </c>
      <c r="I122" s="182">
        <v>136.4</v>
      </c>
      <c r="J122" s="184">
        <v>100.5</v>
      </c>
      <c r="K122" s="183">
        <v>67.8</v>
      </c>
      <c r="L122" s="180">
        <v>39</v>
      </c>
      <c r="M122" s="186">
        <v>1.367</v>
      </c>
      <c r="N122" s="181">
        <v>30</v>
      </c>
    </row>
    <row r="123" spans="1:14" ht="18" x14ac:dyDescent="0.2">
      <c r="A123" s="175">
        <v>900</v>
      </c>
      <c r="B123" s="176" t="s">
        <v>560</v>
      </c>
      <c r="C123" s="177">
        <v>177</v>
      </c>
      <c r="D123" s="178">
        <v>900</v>
      </c>
      <c r="E123" s="177">
        <v>835</v>
      </c>
      <c r="F123" s="180">
        <v>2.91</v>
      </c>
      <c r="G123" s="179">
        <v>2.2000000000000002</v>
      </c>
      <c r="H123" s="180">
        <v>406.3</v>
      </c>
      <c r="I123" s="182">
        <v>138.5</v>
      </c>
      <c r="J123" s="184">
        <v>102</v>
      </c>
      <c r="K123" s="183">
        <v>68.8</v>
      </c>
      <c r="L123" s="180">
        <v>39.5</v>
      </c>
      <c r="M123" s="186">
        <v>1.369</v>
      </c>
      <c r="N123" s="181">
        <v>30</v>
      </c>
    </row>
    <row r="124" spans="1:14" ht="18" x14ac:dyDescent="0.2">
      <c r="A124" s="175">
        <v>1000</v>
      </c>
      <c r="B124" s="176" t="s">
        <v>561</v>
      </c>
      <c r="C124" s="177">
        <v>177</v>
      </c>
      <c r="D124" s="178">
        <v>1000</v>
      </c>
      <c r="E124" s="177">
        <v>935</v>
      </c>
      <c r="F124" s="180">
        <v>3.2</v>
      </c>
      <c r="G124" s="179">
        <v>2.4</v>
      </c>
      <c r="H124" s="180">
        <v>447.2</v>
      </c>
      <c r="I124" s="182">
        <v>152.4</v>
      </c>
      <c r="J124" s="184">
        <v>112.4</v>
      </c>
      <c r="K124" s="183">
        <v>75.900000000000006</v>
      </c>
      <c r="L124" s="180">
        <v>43.7</v>
      </c>
      <c r="M124" s="186">
        <v>1.3640000000000001</v>
      </c>
      <c r="N124" s="181">
        <v>30</v>
      </c>
    </row>
    <row r="125" spans="1:14" ht="18" x14ac:dyDescent="0.2">
      <c r="A125" s="175">
        <v>1200</v>
      </c>
      <c r="B125" s="176" t="s">
        <v>562</v>
      </c>
      <c r="C125" s="177">
        <v>177</v>
      </c>
      <c r="D125" s="178">
        <v>1200</v>
      </c>
      <c r="E125" s="177">
        <v>1135</v>
      </c>
      <c r="F125" s="180">
        <v>4.08</v>
      </c>
      <c r="G125" s="179">
        <v>2.78</v>
      </c>
      <c r="H125" s="180">
        <v>528.20000000000005</v>
      </c>
      <c r="I125" s="182">
        <v>180</v>
      </c>
      <c r="J125" s="184">
        <v>133.1</v>
      </c>
      <c r="K125" s="183">
        <v>90.2</v>
      </c>
      <c r="L125" s="180">
        <v>52.1</v>
      </c>
      <c r="M125" s="186">
        <v>1.353</v>
      </c>
      <c r="N125" s="181">
        <v>18</v>
      </c>
    </row>
    <row r="126" spans="1:14" ht="18" x14ac:dyDescent="0.2">
      <c r="A126" s="175">
        <v>1500</v>
      </c>
      <c r="B126" s="176" t="s">
        <v>563</v>
      </c>
      <c r="C126" s="177">
        <v>177</v>
      </c>
      <c r="D126" s="178">
        <v>1500</v>
      </c>
      <c r="E126" s="177">
        <v>1435</v>
      </c>
      <c r="F126" s="180">
        <v>5.05</v>
      </c>
      <c r="G126" s="179">
        <v>3.4</v>
      </c>
      <c r="H126" s="180">
        <v>648</v>
      </c>
      <c r="I126" s="182">
        <v>220.9</v>
      </c>
      <c r="J126" s="184">
        <v>163.9</v>
      </c>
      <c r="K126" s="183">
        <v>111.6</v>
      </c>
      <c r="L126" s="180">
        <v>64.900000000000006</v>
      </c>
      <c r="M126" s="186">
        <v>1.337</v>
      </c>
      <c r="N126" s="181">
        <v>15</v>
      </c>
    </row>
    <row r="127" spans="1:14" ht="18" x14ac:dyDescent="0.2">
      <c r="A127" s="175">
        <v>1800</v>
      </c>
      <c r="B127" s="176" t="s">
        <v>564</v>
      </c>
      <c r="C127" s="177">
        <v>177</v>
      </c>
      <c r="D127" s="178">
        <v>1800</v>
      </c>
      <c r="E127" s="177">
        <v>1735</v>
      </c>
      <c r="F127" s="180">
        <v>6.02</v>
      </c>
      <c r="G127" s="179">
        <v>4.01</v>
      </c>
      <c r="H127" s="180">
        <v>766.6</v>
      </c>
      <c r="I127" s="182">
        <v>261.3</v>
      </c>
      <c r="J127" s="184">
        <v>194.3</v>
      </c>
      <c r="K127" s="183">
        <v>132.6</v>
      </c>
      <c r="L127" s="180">
        <v>77.400000000000006</v>
      </c>
      <c r="M127" s="186">
        <v>1.327</v>
      </c>
      <c r="N127" s="181">
        <v>15</v>
      </c>
    </row>
    <row r="128" spans="1:14" ht="18" x14ac:dyDescent="0.2">
      <c r="A128" s="175">
        <v>2000</v>
      </c>
      <c r="B128" s="176" t="s">
        <v>565</v>
      </c>
      <c r="C128" s="177">
        <v>177</v>
      </c>
      <c r="D128" s="178">
        <v>2000</v>
      </c>
      <c r="E128" s="177">
        <v>1935</v>
      </c>
      <c r="F128" s="180">
        <v>6.67</v>
      </c>
      <c r="G128" s="179">
        <v>4.42</v>
      </c>
      <c r="H128" s="180">
        <v>845.1</v>
      </c>
      <c r="I128" s="182">
        <v>288</v>
      </c>
      <c r="J128" s="184">
        <v>214.4</v>
      </c>
      <c r="K128" s="183">
        <v>146.5</v>
      </c>
      <c r="L128" s="180">
        <v>85.7</v>
      </c>
      <c r="M128" s="186">
        <v>1.323</v>
      </c>
      <c r="N128" s="181">
        <v>15</v>
      </c>
    </row>
    <row r="129" spans="1:14" ht="18" x14ac:dyDescent="0.2">
      <c r="A129" s="175">
        <v>2200</v>
      </c>
      <c r="B129" s="176" t="s">
        <v>566</v>
      </c>
      <c r="C129" s="177">
        <v>177</v>
      </c>
      <c r="D129" s="178">
        <v>2200</v>
      </c>
      <c r="E129" s="177">
        <v>2135</v>
      </c>
      <c r="F129" s="180">
        <v>7.32</v>
      </c>
      <c r="G129" s="179">
        <v>4.82</v>
      </c>
      <c r="H129" s="180">
        <v>923.3</v>
      </c>
      <c r="I129" s="182">
        <v>314.7</v>
      </c>
      <c r="J129" s="184">
        <v>234.4</v>
      </c>
      <c r="K129" s="183">
        <v>160.4</v>
      </c>
      <c r="L129" s="180">
        <v>93.9</v>
      </c>
      <c r="M129" s="186">
        <v>1.32</v>
      </c>
      <c r="N129" s="181">
        <v>12</v>
      </c>
    </row>
    <row r="130" spans="1:14" ht="18" x14ac:dyDescent="0.2">
      <c r="A130" s="175">
        <v>2500</v>
      </c>
      <c r="B130" s="176" t="s">
        <v>567</v>
      </c>
      <c r="C130" s="177">
        <v>177</v>
      </c>
      <c r="D130" s="178">
        <v>2500</v>
      </c>
      <c r="E130" s="177">
        <v>2435</v>
      </c>
      <c r="F130" s="180">
        <v>8.2899999999999991</v>
      </c>
      <c r="G130" s="179">
        <v>5.44</v>
      </c>
      <c r="H130" s="180" t="s">
        <v>568</v>
      </c>
      <c r="I130" s="182">
        <v>354.5</v>
      </c>
      <c r="J130" s="184">
        <v>264.39999999999998</v>
      </c>
      <c r="K130" s="183">
        <v>181.2</v>
      </c>
      <c r="L130" s="180">
        <v>106.4</v>
      </c>
      <c r="M130" s="186">
        <v>1.3140000000000001</v>
      </c>
      <c r="N130" s="181">
        <v>12</v>
      </c>
    </row>
    <row r="132" spans="1:14" ht="190.5" customHeight="1" x14ac:dyDescent="0.2"/>
    <row r="134" spans="1:14" x14ac:dyDescent="0.2">
      <c r="A134" s="178"/>
      <c r="B134" s="176"/>
      <c r="C134" s="177"/>
      <c r="D134" s="178"/>
      <c r="E134" s="177"/>
      <c r="F134" s="179"/>
      <c r="G134" s="180"/>
      <c r="H134" s="336" t="s">
        <v>442</v>
      </c>
      <c r="I134" s="335"/>
      <c r="J134" s="335"/>
      <c r="K134" s="335"/>
      <c r="L134" s="335"/>
      <c r="M134" s="186"/>
      <c r="N134" s="181"/>
    </row>
    <row r="135" spans="1:14" ht="18" x14ac:dyDescent="0.2">
      <c r="A135" s="178" t="s">
        <v>162</v>
      </c>
      <c r="B135" s="176" t="s">
        <v>443</v>
      </c>
      <c r="C135" s="177" t="s">
        <v>444</v>
      </c>
      <c r="D135" s="178" t="s">
        <v>445</v>
      </c>
      <c r="E135" s="177" t="s">
        <v>446</v>
      </c>
      <c r="F135" s="179" t="s">
        <v>447</v>
      </c>
      <c r="G135" s="180" t="s">
        <v>448</v>
      </c>
      <c r="H135" s="335" t="s">
        <v>449</v>
      </c>
      <c r="I135" s="335"/>
      <c r="J135" s="180" t="s">
        <v>450</v>
      </c>
      <c r="K135" s="180" t="s">
        <v>451</v>
      </c>
      <c r="L135" s="180" t="s">
        <v>452</v>
      </c>
      <c r="M135" s="186" t="s">
        <v>453</v>
      </c>
      <c r="N135" s="181" t="s">
        <v>454</v>
      </c>
    </row>
    <row r="136" spans="1:14" ht="18" x14ac:dyDescent="0.2">
      <c r="A136" s="178"/>
      <c r="B136" s="176"/>
      <c r="C136" s="177" t="s">
        <v>39</v>
      </c>
      <c r="D136" s="178" t="s">
        <v>455</v>
      </c>
      <c r="E136" s="177" t="s">
        <v>456</v>
      </c>
      <c r="F136" s="179" t="s">
        <v>41</v>
      </c>
      <c r="G136" s="180" t="s">
        <v>457</v>
      </c>
      <c r="H136" s="180" t="s">
        <v>458</v>
      </c>
      <c r="I136" s="182" t="s">
        <v>459</v>
      </c>
      <c r="J136" s="180" t="s">
        <v>459</v>
      </c>
      <c r="K136" s="180" t="s">
        <v>459</v>
      </c>
      <c r="L136" s="180" t="s">
        <v>459</v>
      </c>
      <c r="M136" s="186" t="s">
        <v>0</v>
      </c>
      <c r="N136" s="181"/>
    </row>
    <row r="137" spans="1:14" ht="18" x14ac:dyDescent="0.2">
      <c r="A137" s="175">
        <v>200</v>
      </c>
      <c r="B137" s="176" t="s">
        <v>569</v>
      </c>
      <c r="C137" s="177">
        <v>215</v>
      </c>
      <c r="D137" s="178">
        <v>200</v>
      </c>
      <c r="E137" s="177">
        <v>127</v>
      </c>
      <c r="F137" s="179">
        <v>0.97</v>
      </c>
      <c r="G137" s="179">
        <v>0.86</v>
      </c>
      <c r="H137" s="179">
        <v>109.7</v>
      </c>
      <c r="I137" s="182">
        <v>37.4</v>
      </c>
      <c r="J137" s="180">
        <v>27.5</v>
      </c>
      <c r="K137" s="183">
        <v>18.5</v>
      </c>
      <c r="L137" s="180">
        <v>10.6</v>
      </c>
      <c r="M137" s="186">
        <v>1.3740000000000001</v>
      </c>
      <c r="N137" s="181">
        <v>40</v>
      </c>
    </row>
    <row r="138" spans="1:14" ht="18" x14ac:dyDescent="0.2">
      <c r="A138" s="175">
        <v>300</v>
      </c>
      <c r="B138" s="176" t="s">
        <v>570</v>
      </c>
      <c r="C138" s="177">
        <v>215</v>
      </c>
      <c r="D138" s="178">
        <v>300</v>
      </c>
      <c r="E138" s="177">
        <v>235</v>
      </c>
      <c r="F138" s="179">
        <v>1.35</v>
      </c>
      <c r="G138" s="179">
        <v>1.1299999999999999</v>
      </c>
      <c r="H138" s="179">
        <v>178.1</v>
      </c>
      <c r="I138" s="182">
        <v>60.7</v>
      </c>
      <c r="J138" s="180">
        <v>45.5</v>
      </c>
      <c r="K138" s="183">
        <v>31.4</v>
      </c>
      <c r="L138" s="180">
        <v>18.600000000000001</v>
      </c>
      <c r="M138" s="186">
        <v>1.2929999999999999</v>
      </c>
      <c r="N138" s="181">
        <v>40</v>
      </c>
    </row>
    <row r="139" spans="1:14" ht="18" x14ac:dyDescent="0.2">
      <c r="A139" s="175">
        <v>350</v>
      </c>
      <c r="B139" s="176" t="s">
        <v>571</v>
      </c>
      <c r="C139" s="177">
        <v>215</v>
      </c>
      <c r="D139" s="178">
        <v>350</v>
      </c>
      <c r="E139" s="177">
        <v>285</v>
      </c>
      <c r="F139" s="179">
        <v>1.53</v>
      </c>
      <c r="G139" s="179">
        <v>1.25</v>
      </c>
      <c r="H139" s="179">
        <v>204.3</v>
      </c>
      <c r="I139" s="182">
        <v>69.599999999999994</v>
      </c>
      <c r="J139" s="180">
        <v>52.1</v>
      </c>
      <c r="K139" s="183">
        <v>35.799999999999997</v>
      </c>
      <c r="L139" s="180">
        <v>21.1</v>
      </c>
      <c r="M139" s="186">
        <v>1.302</v>
      </c>
      <c r="N139" s="181">
        <v>40</v>
      </c>
    </row>
    <row r="140" spans="1:14" ht="18" x14ac:dyDescent="0.2">
      <c r="A140" s="175">
        <v>365</v>
      </c>
      <c r="B140" s="176" t="s">
        <v>572</v>
      </c>
      <c r="C140" s="177">
        <v>215</v>
      </c>
      <c r="D140" s="178">
        <v>365</v>
      </c>
      <c r="E140" s="177">
        <v>300</v>
      </c>
      <c r="F140" s="179">
        <v>1.58</v>
      </c>
      <c r="G140" s="179">
        <v>1.29</v>
      </c>
      <c r="H140" s="179">
        <v>212.2</v>
      </c>
      <c r="I140" s="182">
        <v>72.3</v>
      </c>
      <c r="J140" s="180">
        <v>54.1</v>
      </c>
      <c r="K140" s="183">
        <v>37.1</v>
      </c>
      <c r="L140" s="180">
        <v>21.9</v>
      </c>
      <c r="M140" s="186">
        <v>1.304</v>
      </c>
      <c r="N140" s="181">
        <v>40</v>
      </c>
    </row>
    <row r="141" spans="1:14" ht="18" x14ac:dyDescent="0.2">
      <c r="A141" s="175">
        <v>400</v>
      </c>
      <c r="B141" s="176" t="s">
        <v>573</v>
      </c>
      <c r="C141" s="177">
        <v>215</v>
      </c>
      <c r="D141" s="178">
        <v>400</v>
      </c>
      <c r="E141" s="177">
        <v>335</v>
      </c>
      <c r="F141" s="179">
        <v>1.71</v>
      </c>
      <c r="G141" s="179">
        <v>1.38</v>
      </c>
      <c r="H141" s="179">
        <v>230.2</v>
      </c>
      <c r="I141" s="182">
        <v>78.5</v>
      </c>
      <c r="J141" s="180">
        <v>58.6</v>
      </c>
      <c r="K141" s="183">
        <v>40.200000000000003</v>
      </c>
      <c r="L141" s="180">
        <v>23.6</v>
      </c>
      <c r="M141" s="186">
        <v>1.31</v>
      </c>
      <c r="N141" s="181">
        <v>40</v>
      </c>
    </row>
    <row r="142" spans="1:14" ht="18" x14ac:dyDescent="0.2">
      <c r="A142" s="175">
        <v>450</v>
      </c>
      <c r="B142" s="176" t="s">
        <v>574</v>
      </c>
      <c r="C142" s="177">
        <v>215</v>
      </c>
      <c r="D142" s="178">
        <v>450</v>
      </c>
      <c r="E142" s="177">
        <v>385</v>
      </c>
      <c r="F142" s="179">
        <v>1.89</v>
      </c>
      <c r="G142" s="179">
        <v>1.5</v>
      </c>
      <c r="H142" s="179">
        <v>255.8</v>
      </c>
      <c r="I142" s="182">
        <v>87.2</v>
      </c>
      <c r="J142" s="180">
        <v>65</v>
      </c>
      <c r="K142" s="183">
        <v>44.4</v>
      </c>
      <c r="L142" s="180">
        <v>26</v>
      </c>
      <c r="M142" s="186">
        <v>1.319</v>
      </c>
      <c r="N142" s="181">
        <v>40</v>
      </c>
    </row>
    <row r="143" spans="1:14" ht="18" x14ac:dyDescent="0.2">
      <c r="A143" s="175">
        <v>500</v>
      </c>
      <c r="B143" s="176" t="s">
        <v>575</v>
      </c>
      <c r="C143" s="177">
        <v>215</v>
      </c>
      <c r="D143" s="178">
        <v>500</v>
      </c>
      <c r="E143" s="177">
        <v>435</v>
      </c>
      <c r="F143" s="179">
        <v>2.06</v>
      </c>
      <c r="G143" s="179">
        <v>1.63</v>
      </c>
      <c r="H143" s="179">
        <v>281.10000000000002</v>
      </c>
      <c r="I143" s="182">
        <v>95.8</v>
      </c>
      <c r="J143" s="180">
        <v>71.2</v>
      </c>
      <c r="K143" s="183">
        <v>48.6</v>
      </c>
      <c r="L143" s="180">
        <v>28.4</v>
      </c>
      <c r="M143" s="186">
        <v>1.327</v>
      </c>
      <c r="N143" s="181">
        <v>40</v>
      </c>
    </row>
    <row r="144" spans="1:14" ht="18" x14ac:dyDescent="0.2">
      <c r="A144" s="175">
        <v>535</v>
      </c>
      <c r="B144" s="176" t="s">
        <v>576</v>
      </c>
      <c r="C144" s="177">
        <v>215</v>
      </c>
      <c r="D144" s="178">
        <v>535</v>
      </c>
      <c r="E144" s="177">
        <v>470</v>
      </c>
      <c r="F144" s="179">
        <v>2.19</v>
      </c>
      <c r="G144" s="179">
        <v>1.71</v>
      </c>
      <c r="H144" s="179">
        <v>298.7</v>
      </c>
      <c r="I144" s="182">
        <v>101.8</v>
      </c>
      <c r="J144" s="180">
        <v>75.599999999999994</v>
      </c>
      <c r="K144" s="183">
        <v>51.5</v>
      </c>
      <c r="L144" s="180">
        <v>30</v>
      </c>
      <c r="M144" s="186">
        <v>1.333</v>
      </c>
      <c r="N144" s="181">
        <v>40</v>
      </c>
    </row>
    <row r="145" spans="1:14" ht="18" x14ac:dyDescent="0.2">
      <c r="A145" s="175">
        <v>550</v>
      </c>
      <c r="B145" s="176" t="s">
        <v>577</v>
      </c>
      <c r="C145" s="177">
        <v>215</v>
      </c>
      <c r="D145" s="178">
        <v>550</v>
      </c>
      <c r="E145" s="177">
        <v>485</v>
      </c>
      <c r="F145" s="179">
        <v>2.2400000000000002</v>
      </c>
      <c r="G145" s="179">
        <v>1.75</v>
      </c>
      <c r="H145" s="179">
        <v>306.10000000000002</v>
      </c>
      <c r="I145" s="182">
        <v>104.3</v>
      </c>
      <c r="J145" s="180">
        <v>77.400000000000006</v>
      </c>
      <c r="K145" s="183">
        <v>52.7</v>
      </c>
      <c r="L145" s="180">
        <v>30.7</v>
      </c>
      <c r="M145" s="186">
        <v>1.3360000000000001</v>
      </c>
      <c r="N145" s="181">
        <v>40</v>
      </c>
    </row>
    <row r="146" spans="1:14" ht="18" x14ac:dyDescent="0.2">
      <c r="A146" s="175">
        <v>565</v>
      </c>
      <c r="B146" s="176" t="s">
        <v>578</v>
      </c>
      <c r="C146" s="177">
        <v>215</v>
      </c>
      <c r="D146" s="178">
        <v>565</v>
      </c>
      <c r="E146" s="177">
        <v>500</v>
      </c>
      <c r="F146" s="179">
        <v>2.29</v>
      </c>
      <c r="G146" s="179">
        <v>1.79</v>
      </c>
      <c r="H146" s="179">
        <v>313.60000000000002</v>
      </c>
      <c r="I146" s="182">
        <v>106.9</v>
      </c>
      <c r="J146" s="180">
        <v>79.3</v>
      </c>
      <c r="K146" s="183">
        <v>54</v>
      </c>
      <c r="L146" s="180">
        <v>31.4</v>
      </c>
      <c r="M146" s="186">
        <v>1.339</v>
      </c>
      <c r="N146" s="181">
        <v>35</v>
      </c>
    </row>
    <row r="147" spans="1:14" ht="18" x14ac:dyDescent="0.2">
      <c r="A147" s="175">
        <v>600</v>
      </c>
      <c r="B147" s="176" t="s">
        <v>579</v>
      </c>
      <c r="C147" s="177">
        <v>215</v>
      </c>
      <c r="D147" s="178">
        <v>600</v>
      </c>
      <c r="E147" s="177">
        <v>535</v>
      </c>
      <c r="F147" s="179">
        <v>2.42</v>
      </c>
      <c r="G147" s="179">
        <v>1.88</v>
      </c>
      <c r="H147" s="179">
        <v>331</v>
      </c>
      <c r="I147" s="182">
        <v>112.8</v>
      </c>
      <c r="J147" s="180">
        <v>83.6</v>
      </c>
      <c r="K147" s="183">
        <v>56.8</v>
      </c>
      <c r="L147" s="180">
        <v>32.9</v>
      </c>
      <c r="M147" s="186">
        <v>1.345</v>
      </c>
      <c r="N147" s="181">
        <v>35</v>
      </c>
    </row>
    <row r="148" spans="1:14" ht="18" x14ac:dyDescent="0.2">
      <c r="A148" s="175">
        <v>650</v>
      </c>
      <c r="B148" s="176" t="s">
        <v>580</v>
      </c>
      <c r="C148" s="177">
        <v>215</v>
      </c>
      <c r="D148" s="178">
        <v>650</v>
      </c>
      <c r="E148" s="177">
        <v>585</v>
      </c>
      <c r="F148" s="179">
        <v>2.6</v>
      </c>
      <c r="G148" s="179">
        <v>2</v>
      </c>
      <c r="H148" s="179">
        <v>355.7</v>
      </c>
      <c r="I148" s="182">
        <v>121.2</v>
      </c>
      <c r="J148" s="180">
        <v>89.6</v>
      </c>
      <c r="K148" s="183">
        <v>60.7</v>
      </c>
      <c r="L148" s="180">
        <v>35.1</v>
      </c>
      <c r="M148" s="186">
        <v>1.353</v>
      </c>
      <c r="N148" s="181">
        <v>35</v>
      </c>
    </row>
    <row r="149" spans="1:14" ht="18" x14ac:dyDescent="0.2">
      <c r="A149" s="175">
        <v>665</v>
      </c>
      <c r="B149" s="176" t="s">
        <v>581</v>
      </c>
      <c r="C149" s="177">
        <v>215</v>
      </c>
      <c r="D149" s="178">
        <v>665</v>
      </c>
      <c r="E149" s="177">
        <v>600</v>
      </c>
      <c r="F149" s="179">
        <v>2.65</v>
      </c>
      <c r="G149" s="179">
        <v>2.04</v>
      </c>
      <c r="H149" s="179">
        <v>363.1</v>
      </c>
      <c r="I149" s="182">
        <v>123.7</v>
      </c>
      <c r="J149" s="180">
        <v>91.4</v>
      </c>
      <c r="K149" s="183">
        <v>61.9</v>
      </c>
      <c r="L149" s="180">
        <v>35.700000000000003</v>
      </c>
      <c r="M149" s="186">
        <v>1.3560000000000001</v>
      </c>
      <c r="N149" s="181">
        <v>35</v>
      </c>
    </row>
    <row r="150" spans="1:14" ht="18" x14ac:dyDescent="0.2">
      <c r="A150" s="175">
        <v>685</v>
      </c>
      <c r="B150" s="176" t="s">
        <v>582</v>
      </c>
      <c r="C150" s="177">
        <v>215</v>
      </c>
      <c r="D150" s="178">
        <v>685</v>
      </c>
      <c r="E150" s="177">
        <v>620</v>
      </c>
      <c r="F150" s="179">
        <v>2.72</v>
      </c>
      <c r="G150" s="179">
        <v>2.09</v>
      </c>
      <c r="H150" s="179">
        <v>372.9</v>
      </c>
      <c r="I150" s="182">
        <v>127.1</v>
      </c>
      <c r="J150" s="180">
        <v>93.8</v>
      </c>
      <c r="K150" s="183">
        <v>63.5</v>
      </c>
      <c r="L150" s="180">
        <v>36.6</v>
      </c>
      <c r="M150" s="186">
        <v>1.359</v>
      </c>
      <c r="N150" s="181">
        <v>25</v>
      </c>
    </row>
    <row r="151" spans="1:14" ht="18" x14ac:dyDescent="0.2">
      <c r="A151" s="175">
        <v>750</v>
      </c>
      <c r="B151" s="176" t="s">
        <v>583</v>
      </c>
      <c r="C151" s="177">
        <v>215</v>
      </c>
      <c r="D151" s="178">
        <v>750</v>
      </c>
      <c r="E151" s="177">
        <v>685</v>
      </c>
      <c r="F151" s="179">
        <v>2.95</v>
      </c>
      <c r="G151" s="179">
        <v>2.25</v>
      </c>
      <c r="H151" s="179">
        <v>404.7</v>
      </c>
      <c r="I151" s="182">
        <v>137.9</v>
      </c>
      <c r="J151" s="180">
        <v>101.6</v>
      </c>
      <c r="K151" s="183">
        <v>68.5</v>
      </c>
      <c r="L151" s="180">
        <v>39.299999999999997</v>
      </c>
      <c r="M151" s="186">
        <v>1.37</v>
      </c>
      <c r="N151" s="181">
        <v>25</v>
      </c>
    </row>
    <row r="152" spans="1:14" ht="18" x14ac:dyDescent="0.2">
      <c r="A152" s="175">
        <v>765</v>
      </c>
      <c r="B152" s="176" t="s">
        <v>584</v>
      </c>
      <c r="C152" s="177">
        <v>215</v>
      </c>
      <c r="D152" s="178">
        <v>765</v>
      </c>
      <c r="E152" s="177">
        <v>700</v>
      </c>
      <c r="F152" s="179">
        <v>3.01</v>
      </c>
      <c r="G152" s="179">
        <v>2.29</v>
      </c>
      <c r="H152" s="179">
        <v>412</v>
      </c>
      <c r="I152" s="182">
        <v>140.4</v>
      </c>
      <c r="J152" s="180">
        <v>103.4</v>
      </c>
      <c r="K152" s="183">
        <v>69.599999999999994</v>
      </c>
      <c r="L152" s="180">
        <v>39.9</v>
      </c>
      <c r="M152" s="186">
        <v>1.373</v>
      </c>
      <c r="N152" s="181">
        <v>25</v>
      </c>
    </row>
    <row r="153" spans="1:14" ht="18" x14ac:dyDescent="0.2">
      <c r="A153" s="175">
        <v>815</v>
      </c>
      <c r="B153" s="176" t="s">
        <v>585</v>
      </c>
      <c r="C153" s="177">
        <v>215</v>
      </c>
      <c r="D153" s="178">
        <v>815</v>
      </c>
      <c r="E153" s="177">
        <v>750</v>
      </c>
      <c r="F153" s="179">
        <v>3.18</v>
      </c>
      <c r="G153" s="179">
        <v>2.41</v>
      </c>
      <c r="H153" s="179">
        <v>436.2</v>
      </c>
      <c r="I153" s="182">
        <v>148.69999999999999</v>
      </c>
      <c r="J153" s="180">
        <v>109.2</v>
      </c>
      <c r="K153" s="183">
        <v>73.400000000000006</v>
      </c>
      <c r="L153" s="180">
        <v>41.9</v>
      </c>
      <c r="M153" s="186">
        <v>1.381</v>
      </c>
      <c r="N153" s="181">
        <v>25</v>
      </c>
    </row>
    <row r="154" spans="1:14" ht="18" x14ac:dyDescent="0.2">
      <c r="A154" s="175">
        <v>865</v>
      </c>
      <c r="B154" s="176" t="s">
        <v>586</v>
      </c>
      <c r="C154" s="177">
        <v>215</v>
      </c>
      <c r="D154" s="178">
        <v>865</v>
      </c>
      <c r="E154" s="177">
        <v>800</v>
      </c>
      <c r="F154" s="179">
        <v>3.36</v>
      </c>
      <c r="G154" s="179">
        <v>2.54</v>
      </c>
      <c r="H154" s="179">
        <v>460.3</v>
      </c>
      <c r="I154" s="182">
        <v>156.9</v>
      </c>
      <c r="J154" s="180">
        <v>115</v>
      </c>
      <c r="K154" s="183">
        <v>77.099999999999994</v>
      </c>
      <c r="L154" s="180">
        <v>43.9</v>
      </c>
      <c r="M154" s="186">
        <v>1.39</v>
      </c>
      <c r="N154" s="181">
        <v>25</v>
      </c>
    </row>
    <row r="155" spans="1:14" ht="18" x14ac:dyDescent="0.2">
      <c r="A155" s="175">
        <v>885</v>
      </c>
      <c r="B155" s="176" t="s">
        <v>587</v>
      </c>
      <c r="C155" s="177">
        <v>215</v>
      </c>
      <c r="D155" s="178">
        <v>885</v>
      </c>
      <c r="E155" s="177">
        <v>820</v>
      </c>
      <c r="F155" s="179">
        <v>3.43</v>
      </c>
      <c r="G155" s="179">
        <v>2.59</v>
      </c>
      <c r="H155" s="179">
        <v>470</v>
      </c>
      <c r="I155" s="182">
        <v>160.19999999999999</v>
      </c>
      <c r="J155" s="180">
        <v>117.4</v>
      </c>
      <c r="K155" s="183">
        <v>78.599999999999994</v>
      </c>
      <c r="L155" s="180">
        <v>44.7</v>
      </c>
      <c r="M155" s="186">
        <v>1.3939999999999999</v>
      </c>
      <c r="N155" s="181">
        <v>25</v>
      </c>
    </row>
    <row r="156" spans="1:14" ht="18" x14ac:dyDescent="0.2">
      <c r="A156" s="175">
        <v>900</v>
      </c>
      <c r="B156" s="176" t="s">
        <v>588</v>
      </c>
      <c r="C156" s="177">
        <v>215</v>
      </c>
      <c r="D156" s="178">
        <v>900</v>
      </c>
      <c r="E156" s="177">
        <v>835</v>
      </c>
      <c r="F156" s="179">
        <v>3.48</v>
      </c>
      <c r="G156" s="179">
        <v>2.62</v>
      </c>
      <c r="H156" s="179">
        <v>477.2</v>
      </c>
      <c r="I156" s="182">
        <v>162.6</v>
      </c>
      <c r="J156" s="180">
        <v>119.1</v>
      </c>
      <c r="K156" s="183">
        <v>79.7</v>
      </c>
      <c r="L156" s="180">
        <v>45.3</v>
      </c>
      <c r="M156" s="186">
        <v>1.3959999999999999</v>
      </c>
      <c r="N156" s="181">
        <v>25</v>
      </c>
    </row>
    <row r="157" spans="1:14" ht="18" x14ac:dyDescent="0.2">
      <c r="A157" s="175">
        <v>1000</v>
      </c>
      <c r="B157" s="176" t="s">
        <v>589</v>
      </c>
      <c r="C157" s="177">
        <v>215</v>
      </c>
      <c r="D157" s="178">
        <v>1000</v>
      </c>
      <c r="E157" s="177">
        <v>935</v>
      </c>
      <c r="F157" s="179">
        <v>3.84</v>
      </c>
      <c r="G157" s="179">
        <v>2.87</v>
      </c>
      <c r="H157" s="179">
        <v>525</v>
      </c>
      <c r="I157" s="182">
        <v>178.9</v>
      </c>
      <c r="J157" s="180">
        <v>131.30000000000001</v>
      </c>
      <c r="K157" s="183">
        <v>88.1</v>
      </c>
      <c r="L157" s="180">
        <v>50.2</v>
      </c>
      <c r="M157" s="186">
        <v>1.3879999999999999</v>
      </c>
      <c r="N157" s="181">
        <v>25</v>
      </c>
    </row>
    <row r="158" spans="1:14" ht="18" x14ac:dyDescent="0.2">
      <c r="A158" s="175">
        <v>1200</v>
      </c>
      <c r="B158" s="176" t="s">
        <v>590</v>
      </c>
      <c r="C158" s="177">
        <v>215</v>
      </c>
      <c r="D158" s="178">
        <v>1200</v>
      </c>
      <c r="E158" s="177">
        <v>1135</v>
      </c>
      <c r="F158" s="179">
        <v>4.8899999999999997</v>
      </c>
      <c r="G158" s="179">
        <v>3.33</v>
      </c>
      <c r="H158" s="179">
        <v>619.79999999999995</v>
      </c>
      <c r="I158" s="182">
        <v>211.2</v>
      </c>
      <c r="J158" s="180">
        <v>155.5</v>
      </c>
      <c r="K158" s="183">
        <v>104.9</v>
      </c>
      <c r="L158" s="180">
        <v>60.1</v>
      </c>
      <c r="M158" s="186">
        <v>1.371</v>
      </c>
      <c r="N158" s="181">
        <v>15</v>
      </c>
    </row>
    <row r="159" spans="1:14" ht="18" x14ac:dyDescent="0.2">
      <c r="A159" s="175">
        <v>1500</v>
      </c>
      <c r="B159" s="176" t="s">
        <v>591</v>
      </c>
      <c r="C159" s="177">
        <v>215</v>
      </c>
      <c r="D159" s="178">
        <v>1500</v>
      </c>
      <c r="E159" s="177">
        <v>1435</v>
      </c>
      <c r="F159" s="179">
        <v>6.06</v>
      </c>
      <c r="G159" s="179">
        <v>4.0599999999999996</v>
      </c>
      <c r="H159" s="179">
        <v>760.2</v>
      </c>
      <c r="I159" s="182">
        <v>259.10000000000002</v>
      </c>
      <c r="J159" s="180">
        <v>191.9</v>
      </c>
      <c r="K159" s="183">
        <v>130.30000000000001</v>
      </c>
      <c r="L159" s="180">
        <v>75.5</v>
      </c>
      <c r="M159" s="186">
        <v>1.3460000000000001</v>
      </c>
      <c r="N159" s="181">
        <v>15</v>
      </c>
    </row>
    <row r="160" spans="1:14" ht="18" x14ac:dyDescent="0.2">
      <c r="A160" s="175">
        <v>1800</v>
      </c>
      <c r="B160" s="176" t="s">
        <v>592</v>
      </c>
      <c r="C160" s="177">
        <v>215</v>
      </c>
      <c r="D160" s="178">
        <v>1800</v>
      </c>
      <c r="E160" s="177">
        <v>1735</v>
      </c>
      <c r="F160" s="179">
        <v>7.22</v>
      </c>
      <c r="G160" s="179">
        <v>4.8</v>
      </c>
      <c r="H160" s="179">
        <v>899.3</v>
      </c>
      <c r="I160" s="182">
        <v>306.5</v>
      </c>
      <c r="J160" s="180">
        <v>227.6</v>
      </c>
      <c r="K160" s="183">
        <v>155.1</v>
      </c>
      <c r="L160" s="180">
        <v>90.3</v>
      </c>
      <c r="M160" s="186">
        <v>1.3340000000000001</v>
      </c>
      <c r="N160" s="181">
        <v>15</v>
      </c>
    </row>
    <row r="161" spans="1:14" ht="18" x14ac:dyDescent="0.2">
      <c r="A161" s="175">
        <v>2000</v>
      </c>
      <c r="B161" s="176" t="s">
        <v>593</v>
      </c>
      <c r="C161" s="177">
        <v>215</v>
      </c>
      <c r="D161" s="178">
        <v>2000</v>
      </c>
      <c r="E161" s="177">
        <v>1935</v>
      </c>
      <c r="F161" s="179">
        <v>8</v>
      </c>
      <c r="G161" s="179">
        <v>5.29</v>
      </c>
      <c r="H161" s="179">
        <v>991.5</v>
      </c>
      <c r="I161" s="182">
        <v>337.9</v>
      </c>
      <c r="J161" s="180">
        <v>251.1</v>
      </c>
      <c r="K161" s="183">
        <v>171.3</v>
      </c>
      <c r="L161" s="180">
        <v>99.9</v>
      </c>
      <c r="M161" s="186">
        <v>1.33</v>
      </c>
      <c r="N161" s="181">
        <v>15</v>
      </c>
    </row>
    <row r="162" spans="1:14" ht="18" x14ac:dyDescent="0.2">
      <c r="A162" s="175">
        <v>2200</v>
      </c>
      <c r="B162" s="176" t="s">
        <v>594</v>
      </c>
      <c r="C162" s="177">
        <v>215</v>
      </c>
      <c r="D162" s="178">
        <v>2200</v>
      </c>
      <c r="E162" s="177">
        <v>2135</v>
      </c>
      <c r="F162" s="179">
        <v>8.7799999999999994</v>
      </c>
      <c r="G162" s="179">
        <v>5.78</v>
      </c>
      <c r="H162" s="179" t="s">
        <v>595</v>
      </c>
      <c r="I162" s="182">
        <v>369.3</v>
      </c>
      <c r="J162" s="180">
        <v>274.60000000000002</v>
      </c>
      <c r="K162" s="183">
        <v>187.5</v>
      </c>
      <c r="L162" s="180">
        <v>109.5</v>
      </c>
      <c r="M162" s="186">
        <v>1.327</v>
      </c>
      <c r="N162" s="181">
        <v>12</v>
      </c>
    </row>
    <row r="163" spans="1:14" ht="18" x14ac:dyDescent="0.2">
      <c r="A163" s="175">
        <v>2500</v>
      </c>
      <c r="B163" s="176" t="s">
        <v>596</v>
      </c>
      <c r="C163" s="177">
        <v>215</v>
      </c>
      <c r="D163" s="178">
        <v>2500</v>
      </c>
      <c r="E163" s="177">
        <v>2435</v>
      </c>
      <c r="F163" s="179">
        <v>9.94</v>
      </c>
      <c r="G163" s="179">
        <v>6.51</v>
      </c>
      <c r="H163" s="179" t="s">
        <v>597</v>
      </c>
      <c r="I163" s="182">
        <v>416.2</v>
      </c>
      <c r="J163" s="180">
        <v>309.89999999999998</v>
      </c>
      <c r="K163" s="183">
        <v>211.9</v>
      </c>
      <c r="L163" s="180">
        <v>124</v>
      </c>
      <c r="M163" s="186">
        <v>1.3220000000000001</v>
      </c>
      <c r="N163" s="181">
        <v>12</v>
      </c>
    </row>
  </sheetData>
  <mergeCells count="10">
    <mergeCell ref="H3:L3"/>
    <mergeCell ref="H4:I4"/>
    <mergeCell ref="H36:L36"/>
    <mergeCell ref="H37:I37"/>
    <mergeCell ref="H68:L68"/>
    <mergeCell ref="H69:I69"/>
    <mergeCell ref="H101:L101"/>
    <mergeCell ref="H102:I102"/>
    <mergeCell ref="H134:L134"/>
    <mergeCell ref="H135:I135"/>
  </mergeCells>
  <pageMargins left="0.7" right="0.7" top="0.78740157499999996" bottom="0.78740157499999996"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1018-D471-4CF6-AD29-D8C13B9A7B46}">
  <dimension ref="A1:AI198"/>
  <sheetViews>
    <sheetView topLeftCell="B3" zoomScale="70" zoomScaleNormal="70" workbookViewId="0">
      <selection activeCell="C27" sqref="C27:AB31"/>
    </sheetView>
  </sheetViews>
  <sheetFormatPr baseColWidth="10" defaultRowHeight="12.75" x14ac:dyDescent="0.2"/>
  <cols>
    <col min="1" max="1" width="13.85546875" style="2" customWidth="1"/>
    <col min="2" max="17" width="10.85546875" style="2"/>
  </cols>
  <sheetData>
    <row r="1" spans="1:29" ht="13.5" x14ac:dyDescent="0.25">
      <c r="A1" s="1" t="s">
        <v>4</v>
      </c>
      <c r="B1" s="1"/>
      <c r="C1" s="4" t="s">
        <v>2</v>
      </c>
    </row>
    <row r="2" spans="1:29" x14ac:dyDescent="0.2">
      <c r="A2" s="1" t="s">
        <v>149</v>
      </c>
      <c r="C2" s="5">
        <v>207</v>
      </c>
      <c r="D2" s="5">
        <v>300</v>
      </c>
      <c r="E2" s="5">
        <v>400</v>
      </c>
      <c r="F2" s="5">
        <v>500</v>
      </c>
      <c r="G2" s="5">
        <v>556</v>
      </c>
      <c r="H2" s="5">
        <v>586</v>
      </c>
      <c r="I2" s="5">
        <v>600</v>
      </c>
      <c r="J2" s="5">
        <v>626</v>
      </c>
      <c r="K2" s="5">
        <v>656</v>
      </c>
      <c r="L2" s="5">
        <v>676</v>
      </c>
      <c r="M2" s="5">
        <v>750</v>
      </c>
      <c r="N2" s="5">
        <v>756</v>
      </c>
      <c r="O2" s="5">
        <v>786</v>
      </c>
      <c r="P2" s="5">
        <v>856</v>
      </c>
      <c r="Q2" s="5">
        <v>876</v>
      </c>
      <c r="R2">
        <v>926</v>
      </c>
      <c r="S2">
        <v>1000</v>
      </c>
      <c r="T2">
        <v>1200</v>
      </c>
      <c r="U2">
        <v>1500</v>
      </c>
      <c r="V2">
        <v>1656</v>
      </c>
      <c r="W2">
        <v>1800</v>
      </c>
      <c r="X2">
        <v>1856</v>
      </c>
      <c r="Y2">
        <v>2000</v>
      </c>
      <c r="Z2">
        <v>2056</v>
      </c>
      <c r="AA2">
        <v>2200</v>
      </c>
      <c r="AB2">
        <v>2500</v>
      </c>
    </row>
    <row r="3" spans="1:29" ht="13.5" x14ac:dyDescent="0.25">
      <c r="A3" s="4" t="s">
        <v>3</v>
      </c>
      <c r="B3" s="2">
        <v>66</v>
      </c>
      <c r="C3" s="2" cm="1">
        <f t="array" ref="C3">_xlfn.XLOOKUP(1,(Cordivari!$A$83:$A$225=C$2)*(Cordivari!$C$83:$C$225=$B3),Cordivari!$E$83:$E$225,"")</f>
        <v>17.5</v>
      </c>
      <c r="D3" s="2" cm="1">
        <f t="array" ref="D3">_xlfn.XLOOKUP(1,(Cordivari!$A$83:$A$225=D$2)*(Cordivari!$C$83:$C$225=$B3),Cordivari!$E$83:$E$225,"")</f>
        <v>25.6</v>
      </c>
      <c r="E3" s="2" cm="1">
        <f t="array" ref="E3">_xlfn.XLOOKUP(1,(Cordivari!$A$83:$A$225=E$2)*(Cordivari!$C$83:$C$225=$B3),Cordivari!$E$83:$E$225,"")</f>
        <v>33</v>
      </c>
      <c r="F3" s="2" cm="1">
        <f t="array" ref="F3">_xlfn.XLOOKUP(1,(Cordivari!$A$83:$A$225=F$2)*(Cordivari!$C$83:$C$225=$B3),Cordivari!$E$83:$E$225,"")</f>
        <v>40.1</v>
      </c>
      <c r="G3" s="2" cm="1">
        <f t="array" ref="G3">_xlfn.XLOOKUP(1,(Cordivari!$A$83:$A$225=G$2)*(Cordivari!$C$83:$C$225=$B3),Cordivari!$E$83:$E$225,"")</f>
        <v>44</v>
      </c>
      <c r="H3" s="2" cm="1">
        <f t="array" ref="H3">_xlfn.XLOOKUP(1,(Cordivari!$A$83:$A$225=H$2)*(Cordivari!$C$83:$C$225=$B3),Cordivari!$E$83:$E$225,"")</f>
        <v>46.1</v>
      </c>
      <c r="I3" s="2" cm="1">
        <f t="array" ref="I3">_xlfn.XLOOKUP(1,(Cordivari!$A$83:$A$225=I$2)*(Cordivari!$C$83:$C$225=$B3),Cordivari!$E$83:$E$225,"")</f>
        <v>47.1</v>
      </c>
      <c r="J3" s="2" cm="1">
        <f t="array" ref="J3">_xlfn.XLOOKUP(1,(Cordivari!$A$83:$A$225=J$2)*(Cordivari!$C$83:$C$225=$B3),Cordivari!$E$83:$E$225,"")</f>
        <v>48.9</v>
      </c>
      <c r="K3" s="2" cm="1">
        <f t="array" ref="K3">_xlfn.XLOOKUP(1,(Cordivari!$A$83:$A$225=K$2)*(Cordivari!$C$83:$C$225=$B3),Cordivari!$E$83:$E$225,"")</f>
        <v>51</v>
      </c>
      <c r="L3" s="2" cm="1">
        <f t="array" ref="L3">_xlfn.XLOOKUP(1,(Cordivari!$A$83:$A$225=L$2)*(Cordivari!$C$83:$C$225=$B3),Cordivari!$E$83:$E$225,"")</f>
        <v>52.4</v>
      </c>
      <c r="M3" s="2" cm="1">
        <f t="array" ref="M3">_xlfn.XLOOKUP(1,(Cordivari!$A$83:$A$225=M$2)*(Cordivari!$C$83:$C$225=$B3),Cordivari!$E$83:$E$225,"")</f>
        <v>57.6</v>
      </c>
      <c r="N3" s="2" cm="1">
        <f t="array" ref="N3">_xlfn.XLOOKUP(1,(Cordivari!$A$83:$A$225=N$2)*(Cordivari!$C$83:$C$225=$B3),Cordivari!$E$83:$E$225,"")</f>
        <v>58</v>
      </c>
      <c r="O3" s="2" cm="1">
        <f t="array" ref="O3">_xlfn.XLOOKUP(1,(Cordivari!$A$83:$A$225=O$2)*(Cordivari!$C$83:$C$225=$B3),Cordivari!$E$83:$E$225,"")</f>
        <v>60.1</v>
      </c>
      <c r="P3" s="2" cm="1">
        <f t="array" ref="P3">_xlfn.XLOOKUP(1,(Cordivari!$A$83:$A$225=P$2)*(Cordivari!$C$83:$C$225=$B3),Cordivari!$E$83:$E$225,"")</f>
        <v>65.099999999999994</v>
      </c>
      <c r="Q3" s="2" cm="1">
        <f t="array" ref="Q3">_xlfn.XLOOKUP(1,(Cordivari!$A$83:$A$225=Q$2)*(Cordivari!$C$83:$C$225=$B3),Cordivari!$E$83:$E$225,"")</f>
        <v>66.5</v>
      </c>
      <c r="R3" s="2" cm="1">
        <f t="array" ref="R3">_xlfn.XLOOKUP(1,(Cordivari!$A$83:$A$225=R$2)*(Cordivari!$C$83:$C$225=$B3),Cordivari!$E$83:$E$225,"")</f>
        <v>70</v>
      </c>
      <c r="S3" s="2" cm="1">
        <f t="array" ref="S3">_xlfn.XLOOKUP(1,(Cordivari!$A$83:$A$225=S$2)*(Cordivari!$C$83:$C$225=$B3),Cordivari!$E$83:$E$225,"")</f>
        <v>75.2</v>
      </c>
      <c r="T3" s="2" cm="1">
        <f t="array" ref="T3">_xlfn.XLOOKUP(1,(Cordivari!$A$83:$A$225=T$2)*(Cordivari!$C$83:$C$225=$B3),Cordivari!$E$83:$E$225,"")</f>
        <v>89.5</v>
      </c>
      <c r="U3" s="2" cm="1">
        <f t="array" ref="U3">_xlfn.XLOOKUP(1,(Cordivari!$A$83:$A$225=U$2)*(Cordivari!$C$83:$C$225=$B3),Cordivari!$E$83:$E$225,"")</f>
        <v>111.4</v>
      </c>
      <c r="V3" s="2" cm="1">
        <f t="array" ref="V3">_xlfn.XLOOKUP(1,(Cordivari!$A$83:$A$225=V$2)*(Cordivari!$C$83:$C$225=$B3),Cordivari!$E$83:$E$225,"")</f>
        <v>123.1</v>
      </c>
      <c r="W3" s="2" cm="1">
        <f t="array" ref="W3">_xlfn.XLOOKUP(1,(Cordivari!$A$83:$A$225=W$2)*(Cordivari!$C$83:$C$225=$B3),Cordivari!$E$83:$E$225,"")</f>
        <v>134.1</v>
      </c>
      <c r="X3" s="2" cm="1">
        <f t="array" ref="X3">_xlfn.XLOOKUP(1,(Cordivari!$A$83:$A$225=X$2)*(Cordivari!$C$83:$C$225=$B3),Cordivari!$E$83:$E$225,"")</f>
        <v>138.4</v>
      </c>
      <c r="Y3" s="2" cm="1">
        <f t="array" ref="Y3">_xlfn.XLOOKUP(1,(Cordivari!$A$83:$A$225=Y$2)*(Cordivari!$C$83:$C$225=$B3),Cordivari!$E$83:$E$225,"")</f>
        <v>149.80000000000001</v>
      </c>
      <c r="Z3" s="2" cm="1">
        <f t="array" ref="Z3">_xlfn.XLOOKUP(1,(Cordivari!$A$83:$A$225=Z$2)*(Cordivari!$C$83:$C$225=$B3),Cordivari!$E$83:$E$225,"")</f>
        <v>154.19999999999999</v>
      </c>
      <c r="AA3" s="2" cm="1">
        <f t="array" ref="AA3">_xlfn.XLOOKUP(1,(Cordivari!$A$83:$A$225=AA$2)*(Cordivari!$C$83:$C$225=$B3),Cordivari!$E$83:$E$225,"")</f>
        <v>165.9</v>
      </c>
      <c r="AB3" s="2" cm="1">
        <f t="array" ref="AB3">_xlfn.XLOOKUP(1,(Cordivari!$A$83:$A$225=AB$2)*(Cordivari!$C$83:$C$225=$B3),Cordivari!$E$83:$E$225,"")</f>
        <v>190.9</v>
      </c>
      <c r="AC3" s="2" t="s">
        <v>629</v>
      </c>
    </row>
    <row r="4" spans="1:29" x14ac:dyDescent="0.2">
      <c r="B4" s="2">
        <v>107</v>
      </c>
      <c r="C4" s="2" cm="1">
        <f t="array" ref="C4">_xlfn.XLOOKUP(1,(Cordivari!$A$83:$A$225=C$2)*(Cordivari!$C$83:$C$225=$B4),Cordivari!$E$83:$E$225,"")</f>
        <v>24.8</v>
      </c>
      <c r="D4" s="2" cm="1">
        <f t="array" ref="D4">_xlfn.XLOOKUP(1,(Cordivari!$A$83:$A$225=D$2)*(Cordivari!$C$83:$C$225=$B4),Cordivari!$E$83:$E$225,"")</f>
        <v>34.700000000000003</v>
      </c>
      <c r="E4" s="2" cm="1">
        <f t="array" ref="E4">_xlfn.XLOOKUP(1,(Cordivari!$A$83:$A$225=E$2)*(Cordivari!$C$83:$C$225=$B4),Cordivari!$E$83:$E$225,"")</f>
        <v>45.1</v>
      </c>
      <c r="F4" s="2" cm="1">
        <f t="array" ref="F4">_xlfn.XLOOKUP(1,(Cordivari!$A$83:$A$225=F$2)*(Cordivari!$C$83:$C$225=$B4),Cordivari!$E$83:$E$225,"")</f>
        <v>55.2</v>
      </c>
      <c r="G4" s="2" cm="1">
        <f t="array" ref="G4">_xlfn.XLOOKUP(1,(Cordivari!$A$83:$A$225=G$2)*(Cordivari!$C$83:$C$225=$B4),Cordivari!$E$83:$E$225,"")</f>
        <v>60.9</v>
      </c>
      <c r="H4" s="2" cm="1">
        <f t="array" ref="H4">_xlfn.XLOOKUP(1,(Cordivari!$A$83:$A$225=H$2)*(Cordivari!$C$83:$C$225=$B4),Cordivari!$E$83:$E$225,"")</f>
        <v>63.8</v>
      </c>
      <c r="I4" s="2" cm="1">
        <f t="array" ref="I4">_xlfn.XLOOKUP(1,(Cordivari!$A$83:$A$225=I$2)*(Cordivari!$C$83:$C$225=$B4),Cordivari!$E$83:$E$225,"")</f>
        <v>65.2</v>
      </c>
      <c r="J4" s="2" cm="1">
        <f t="array" ref="J4">_xlfn.XLOOKUP(1,(Cordivari!$A$83:$A$225=J$2)*(Cordivari!$C$83:$C$225=$B4),Cordivari!$E$83:$E$225,"")</f>
        <v>67.8</v>
      </c>
      <c r="K4" s="2" cm="1">
        <f t="array" ref="K4">_xlfn.XLOOKUP(1,(Cordivari!$A$83:$A$225=K$2)*(Cordivari!$C$83:$C$225=$B4),Cordivari!$E$83:$E$225,"")</f>
        <v>70.8</v>
      </c>
      <c r="L4" s="2" cm="1">
        <f t="array" ref="L4">_xlfn.XLOOKUP(1,(Cordivari!$A$83:$A$225=L$2)*(Cordivari!$C$83:$C$225=$B4),Cordivari!$E$83:$E$225,"")</f>
        <v>72.8</v>
      </c>
      <c r="M4" s="2" cm="1">
        <f t="array" ref="M4">_xlfn.XLOOKUP(1,(Cordivari!$A$83:$A$225=M$2)*(Cordivari!$C$83:$C$225=$B4),Cordivari!$E$83:$E$225,"")</f>
        <v>80</v>
      </c>
      <c r="N4" s="2" cm="1">
        <f t="array" ref="N4">_xlfn.XLOOKUP(1,(Cordivari!$A$83:$A$225=N$2)*(Cordivari!$C$83:$C$225=$B4),Cordivari!$E$83:$E$225,"")</f>
        <v>80.599999999999994</v>
      </c>
      <c r="O4" s="2" cm="1">
        <f t="array" ref="O4">_xlfn.XLOOKUP(1,(Cordivari!$A$83:$A$225=O$2)*(Cordivari!$C$83:$C$225=$B4),Cordivari!$E$83:$E$225,"")</f>
        <v>83.6</v>
      </c>
      <c r="P4" s="2" cm="1">
        <f t="array" ref="P4">_xlfn.XLOOKUP(1,(Cordivari!$A$83:$A$225=P$2)*(Cordivari!$C$83:$C$225=$B4),Cordivari!$E$83:$E$225,"")</f>
        <v>90.4</v>
      </c>
      <c r="Q4" s="2" cm="1">
        <f t="array" ref="Q4">_xlfn.XLOOKUP(1,(Cordivari!$A$83:$A$225=Q$2)*(Cordivari!$C$83:$C$225=$B4),Cordivari!$E$83:$E$225,"")</f>
        <v>92.3</v>
      </c>
      <c r="R4" s="2" cm="1">
        <f t="array" ref="R4">_xlfn.XLOOKUP(1,(Cordivari!$A$83:$A$225=R$2)*(Cordivari!$C$83:$C$225=$B4),Cordivari!$E$83:$E$225,"")</f>
        <v>97.2</v>
      </c>
      <c r="S4" s="2" cm="1">
        <f t="array" ref="S4">_xlfn.XLOOKUP(1,(Cordivari!$A$83:$A$225=S$2)*(Cordivari!$C$83:$C$225=$B4),Cordivari!$E$83:$E$225,"")</f>
        <v>104.3</v>
      </c>
      <c r="T4" s="2" cm="1">
        <f t="array" ref="T4">_xlfn.XLOOKUP(1,(Cordivari!$A$83:$A$225=T$2)*(Cordivari!$C$83:$C$225=$B4),Cordivari!$E$83:$E$225,"")</f>
        <v>123.5</v>
      </c>
      <c r="U4" s="2" cm="1">
        <f t="array" ref="U4">_xlfn.XLOOKUP(1,(Cordivari!$A$83:$A$225=U$2)*(Cordivari!$C$83:$C$225=$B4),Cordivari!$E$83:$E$225,"")</f>
        <v>151.9</v>
      </c>
      <c r="V4" s="2" cm="1">
        <f t="array" ref="V4">_xlfn.XLOOKUP(1,(Cordivari!$A$83:$A$225=V$2)*(Cordivari!$C$83:$C$225=$B4),Cordivari!$E$83:$E$225,"")</f>
        <v>166.7</v>
      </c>
      <c r="W4" s="2" cm="1">
        <f t="array" ref="W4">_xlfn.XLOOKUP(1,(Cordivari!$A$83:$A$225=W$2)*(Cordivari!$C$83:$C$225=$B4),Cordivari!$E$83:$E$225,"")</f>
        <v>180.2</v>
      </c>
      <c r="X4" s="2" cm="1">
        <f t="array" ref="X4">_xlfn.XLOOKUP(1,(Cordivari!$A$83:$A$225=X$2)*(Cordivari!$C$83:$C$225=$B4),Cordivari!$E$83:$E$225,"")</f>
        <v>185.5</v>
      </c>
      <c r="Y4" s="2" cm="1">
        <f t="array" ref="Y4">_xlfn.XLOOKUP(1,(Cordivari!$A$83:$A$225=Y$2)*(Cordivari!$C$83:$C$225=$B4),Cordivari!$E$83:$E$225,"")</f>
        <v>199</v>
      </c>
      <c r="Z4" s="2" cm="1">
        <f t="array" ref="Z4">_xlfn.XLOOKUP(1,(Cordivari!$A$83:$A$225=Z$2)*(Cordivari!$C$83:$C$225=$B4),Cordivari!$E$83:$E$225,"")</f>
        <v>204.3</v>
      </c>
      <c r="AA4" s="2" cm="1">
        <f t="array" ref="AA4">_xlfn.XLOOKUP(1,(Cordivari!$A$83:$A$225=AA$2)*(Cordivari!$C$83:$C$225=$B4),Cordivari!$E$83:$E$225,"")</f>
        <v>217.8</v>
      </c>
      <c r="AB4" s="2" cm="1">
        <f t="array" ref="AB4">_xlfn.XLOOKUP(1,(Cordivari!$A$83:$A$225=AB$2)*(Cordivari!$C$83:$C$225=$B4),Cordivari!$E$83:$E$225,"")</f>
        <v>245.9</v>
      </c>
      <c r="AC4" s="2" t="s">
        <v>630</v>
      </c>
    </row>
    <row r="5" spans="1:29" ht="12.75" customHeight="1" x14ac:dyDescent="0.2">
      <c r="B5" s="2">
        <v>148</v>
      </c>
      <c r="C5" s="2" cm="1">
        <f t="array" ref="C5">_xlfn.XLOOKUP(1,(Cordivari!$A$83:$A$225=C$2)*(Cordivari!$C$83:$C$225=$B5),Cordivari!$E$83:$E$225,"")</f>
        <v>32</v>
      </c>
      <c r="D5" s="2" cm="1">
        <f t="array" ref="D5">_xlfn.XLOOKUP(1,(Cordivari!$A$83:$A$225=D$2)*(Cordivari!$C$83:$C$225=$B5),Cordivari!$E$83:$E$225,"")</f>
        <v>46.8</v>
      </c>
      <c r="E5" s="2" cm="1">
        <f t="array" ref="E5">_xlfn.XLOOKUP(1,(Cordivari!$A$83:$A$225=E$2)*(Cordivari!$C$83:$C$225=$B5),Cordivari!$E$83:$E$225,"")</f>
        <v>59.8</v>
      </c>
      <c r="F5" s="2" cm="1">
        <f t="array" ref="F5">_xlfn.XLOOKUP(1,(Cordivari!$A$83:$A$225=F$2)*(Cordivari!$C$83:$C$225=$B5),Cordivari!$E$83:$E$225,"")</f>
        <v>72.400000000000006</v>
      </c>
      <c r="G5" s="2" cm="1">
        <f t="array" ref="G5">_xlfn.XLOOKUP(1,(Cordivari!$A$83:$A$225=G$2)*(Cordivari!$C$83:$C$225=$B5),Cordivari!$E$83:$E$225,"")</f>
        <v>79.3</v>
      </c>
      <c r="H5" s="2" cm="1">
        <f t="array" ref="H5">_xlfn.XLOOKUP(1,(Cordivari!$A$83:$A$225=H$2)*(Cordivari!$C$83:$C$225=$B5),Cordivari!$E$83:$E$225,"")</f>
        <v>83</v>
      </c>
      <c r="I5" s="2" cm="1">
        <f t="array" ref="I5">_xlfn.XLOOKUP(1,(Cordivari!$A$83:$A$225=I$2)*(Cordivari!$C$83:$C$225=$B5),Cordivari!$E$83:$E$225,"")</f>
        <v>84.7</v>
      </c>
      <c r="J5" s="2" cm="1">
        <f t="array" ref="J5">_xlfn.XLOOKUP(1,(Cordivari!$A$83:$A$225=J$2)*(Cordivari!$C$83:$C$225=$B5),Cordivari!$E$83:$E$225,"")</f>
        <v>87.9</v>
      </c>
      <c r="K5" s="2" cm="1">
        <f t="array" ref="K5">_xlfn.XLOOKUP(1,(Cordivari!$A$83:$A$225=K$2)*(Cordivari!$C$83:$C$225=$B5),Cordivari!$E$83:$E$225,"")</f>
        <v>91.6</v>
      </c>
      <c r="L5" s="2" cm="1">
        <f t="array" ref="L5">_xlfn.XLOOKUP(1,(Cordivari!$A$83:$A$225=L$2)*(Cordivari!$C$83:$C$225=$B5),Cordivari!$E$83:$E$225,"")</f>
        <v>94</v>
      </c>
      <c r="M5" s="2" cm="1">
        <f t="array" ref="M5">_xlfn.XLOOKUP(1,(Cordivari!$A$83:$A$225=M$2)*(Cordivari!$C$83:$C$225=$B5),Cordivari!$E$83:$E$225,"")</f>
        <v>102.9</v>
      </c>
      <c r="N5" s="2" cm="1">
        <f t="array" ref="N5">_xlfn.XLOOKUP(1,(Cordivari!$A$83:$A$225=N$2)*(Cordivari!$C$83:$C$225=$B5),Cordivari!$E$83:$E$225,"")</f>
        <v>103.6</v>
      </c>
      <c r="O5" s="2" cm="1">
        <f t="array" ref="O5">_xlfn.XLOOKUP(1,(Cordivari!$A$83:$A$225=O$2)*(Cordivari!$C$83:$C$225=$B5),Cordivari!$E$83:$E$225,"")</f>
        <v>107.2</v>
      </c>
      <c r="P5" s="2" cm="1">
        <f t="array" ref="P5">_xlfn.XLOOKUP(1,(Cordivari!$A$83:$A$225=P$2)*(Cordivari!$C$83:$C$225=$B5),Cordivari!$E$83:$E$225,"")</f>
        <v>115.6</v>
      </c>
      <c r="Q5" s="2" cm="1">
        <f t="array" ref="Q5">_xlfn.XLOOKUP(1,(Cordivari!$A$83:$A$225=Q$2)*(Cordivari!$C$83:$C$225=$B5),Cordivari!$E$83:$E$225,"")</f>
        <v>118</v>
      </c>
      <c r="R5" s="2" cm="1">
        <f t="array" ref="R5">_xlfn.XLOOKUP(1,(Cordivari!$A$83:$A$225=R$2)*(Cordivari!$C$83:$C$225=$B5),Cordivari!$E$83:$E$225,"")</f>
        <v>123.9</v>
      </c>
      <c r="S5" s="2" cm="1">
        <f t="array" ref="S5">_xlfn.XLOOKUP(1,(Cordivari!$A$83:$A$225=S$2)*(Cordivari!$C$83:$C$225=$B5),Cordivari!$E$83:$E$225,"")</f>
        <v>132.69999999999999</v>
      </c>
      <c r="T5" s="2" cm="1">
        <f t="array" ref="T5">_xlfn.XLOOKUP(1,(Cordivari!$A$83:$A$225=T$2)*(Cordivari!$C$83:$C$225=$B5),Cordivari!$E$83:$E$225,"")</f>
        <v>156.19999999999999</v>
      </c>
      <c r="U5" s="2" cm="1">
        <f t="array" ref="U5">_xlfn.XLOOKUP(1,(Cordivari!$A$83:$A$225=U$2)*(Cordivari!$C$83:$C$225=$B5),Cordivari!$E$83:$E$225,"")</f>
        <v>191.4</v>
      </c>
      <c r="V5" s="2" cm="1">
        <f t="array" ref="V5">_xlfn.XLOOKUP(1,(Cordivari!$A$83:$A$225=V$2)*(Cordivari!$C$83:$C$225=$B5),Cordivari!$E$83:$E$225,"")</f>
        <v>209.7</v>
      </c>
      <c r="W5" s="2" cm="1">
        <f t="array" ref="W5">_xlfn.XLOOKUP(1,(Cordivari!$A$83:$A$225=W$2)*(Cordivari!$C$83:$C$225=$B5),Cordivari!$E$83:$E$225,"")</f>
        <v>226.6</v>
      </c>
      <c r="X5" s="2" cm="1">
        <f t="array" ref="X5">_xlfn.XLOOKUP(1,(Cordivari!$A$83:$A$225=X$2)*(Cordivari!$C$83:$C$225=$B5),Cordivari!$E$83:$E$225,"")</f>
        <v>233.3</v>
      </c>
      <c r="Y5" s="2" cm="1">
        <f t="array" ref="Y5">_xlfn.XLOOKUP(1,(Cordivari!$A$83:$A$225=Y$2)*(Cordivari!$C$83:$C$225=$B5),Cordivari!$E$83:$E$225,"")</f>
        <v>250.3</v>
      </c>
      <c r="Z5" s="2" cm="1">
        <f t="array" ref="Z5">_xlfn.XLOOKUP(1,(Cordivari!$A$83:$A$225=Z$2)*(Cordivari!$C$83:$C$225=$B5),Cordivari!$E$83:$E$225,"")</f>
        <v>256.89999999999998</v>
      </c>
      <c r="AA5" s="2" cm="1">
        <f t="array" ref="AA5">_xlfn.XLOOKUP(1,(Cordivari!$A$83:$A$225=AA$2)*(Cordivari!$C$83:$C$225=$B5),Cordivari!$E$83:$E$225,"")</f>
        <v>274.10000000000002</v>
      </c>
      <c r="AB5" s="2" cm="1">
        <f t="array" ref="AB5">_xlfn.XLOOKUP(1,(Cordivari!$A$83:$A$225=AB$2)*(Cordivari!$C$83:$C$225=$B5),Cordivari!$E$83:$E$225,"")</f>
        <v>310.2</v>
      </c>
      <c r="AC5" s="2" t="s">
        <v>631</v>
      </c>
    </row>
    <row r="6" spans="1:29" ht="12.75" customHeight="1" x14ac:dyDescent="0.2">
      <c r="B6" s="2">
        <v>189</v>
      </c>
      <c r="C6" s="2" cm="1">
        <f t="array" ref="C6">_xlfn.XLOOKUP(1,(Cordivari!$A$83:$A$225=C$2)*(Cordivari!$C$83:$C$225=$B6),Cordivari!$E$83:$E$225,"")</f>
        <v>39.700000000000003</v>
      </c>
      <c r="D6" s="2" cm="1">
        <f t="array" ref="D6">_xlfn.XLOOKUP(1,(Cordivari!$A$83:$A$225=D$2)*(Cordivari!$C$83:$C$225=$B6),Cordivari!$E$83:$E$225,"")</f>
        <v>56.5</v>
      </c>
      <c r="E6" s="2" cm="1">
        <f t="array" ref="E6">_xlfn.XLOOKUP(1,(Cordivari!$A$83:$A$225=E$2)*(Cordivari!$C$83:$C$225=$B6),Cordivari!$E$83:$E$225,"")</f>
        <v>72.400000000000006</v>
      </c>
      <c r="F6" s="2" cm="1">
        <f t="array" ref="F6">_xlfn.XLOOKUP(1,(Cordivari!$A$83:$A$225=F$2)*(Cordivari!$C$83:$C$225=$B6),Cordivari!$E$83:$E$225,"")</f>
        <v>87.7</v>
      </c>
      <c r="G6" s="2" cm="1">
        <f t="array" ref="G6">_xlfn.XLOOKUP(1,(Cordivari!$A$83:$A$225=G$2)*(Cordivari!$C$83:$C$225=$B6),Cordivari!$E$83:$E$225,"")</f>
        <v>96.2</v>
      </c>
      <c r="H6" s="2" cm="1">
        <f t="array" ref="H6">_xlfn.XLOOKUP(1,(Cordivari!$A$83:$A$225=H$2)*(Cordivari!$C$83:$C$225=$B6),Cordivari!$E$83:$E$225,"")</f>
        <v>100.7</v>
      </c>
      <c r="I6" s="2" cm="1">
        <f t="array" ref="I6">_xlfn.XLOOKUP(1,(Cordivari!$A$83:$A$225=I$2)*(Cordivari!$C$83:$C$225=$B6),Cordivari!$E$83:$E$225,"")</f>
        <v>102.7</v>
      </c>
      <c r="J6" s="2" cm="1">
        <f t="array" ref="J6">_xlfn.XLOOKUP(1,(Cordivari!$A$83:$A$225=J$2)*(Cordivari!$C$83:$C$225=$B6),Cordivari!$E$83:$E$225,"")</f>
        <v>106.6</v>
      </c>
      <c r="K6" s="2" cm="1">
        <f t="array" ref="K6">_xlfn.XLOOKUP(1,(Cordivari!$A$83:$A$225=K$2)*(Cordivari!$C$83:$C$225=$B6),Cordivari!$E$83:$E$225,"")</f>
        <v>111</v>
      </c>
      <c r="L6" s="2" cm="1">
        <f t="array" ref="L6">_xlfn.XLOOKUP(1,(Cordivari!$A$83:$A$225=L$2)*(Cordivari!$C$83:$C$225=$B6),Cordivari!$E$83:$E$225,"")</f>
        <v>114</v>
      </c>
      <c r="M6" s="2" cm="1">
        <f t="array" ref="M6">_xlfn.XLOOKUP(1,(Cordivari!$A$83:$A$225=M$2)*(Cordivari!$C$83:$C$225=$B6),Cordivari!$E$83:$E$225,"")</f>
        <v>124.8</v>
      </c>
      <c r="N6" s="2" cm="1">
        <f t="array" ref="N6">_xlfn.XLOOKUP(1,(Cordivari!$A$83:$A$225=N$2)*(Cordivari!$C$83:$C$225=$B6),Cordivari!$E$83:$E$225,"")</f>
        <v>125.7</v>
      </c>
      <c r="O6" s="2" cm="1">
        <f t="array" ref="O6">_xlfn.XLOOKUP(1,(Cordivari!$A$83:$A$225=O$2)*(Cordivari!$C$83:$C$225=$B6),Cordivari!$E$83:$E$225,"")</f>
        <v>130</v>
      </c>
      <c r="P6" s="2" cm="1">
        <f t="array" ref="P6">_xlfn.XLOOKUP(1,(Cordivari!$A$83:$A$225=P$2)*(Cordivari!$C$83:$C$225=$B6),Cordivari!$E$83:$E$225,"")</f>
        <v>140.1</v>
      </c>
      <c r="Q6" s="2" cm="1">
        <f t="array" ref="Q6">_xlfn.XLOOKUP(1,(Cordivari!$A$83:$A$225=Q$2)*(Cordivari!$C$83:$C$225=$B6),Cordivari!$E$83:$E$225,"")</f>
        <v>143</v>
      </c>
      <c r="R6" s="2" cm="1">
        <f t="array" ref="R6">_xlfn.XLOOKUP(1,(Cordivari!$A$83:$A$225=R$2)*(Cordivari!$C$83:$C$225=$B6),Cordivari!$E$83:$E$225,"")</f>
        <v>150.1</v>
      </c>
      <c r="S6" s="2" cm="1">
        <f t="array" ref="S6">_xlfn.XLOOKUP(1,(Cordivari!$A$83:$A$225=S$2)*(Cordivari!$C$83:$C$225=$B6),Cordivari!$E$83:$E$225,"")</f>
        <v>160.6</v>
      </c>
      <c r="T6" s="2" cm="1">
        <f t="array" ref="T6">_xlfn.XLOOKUP(1,(Cordivari!$A$83:$A$225=T$2)*(Cordivari!$C$83:$C$225=$B6),Cordivari!$E$83:$E$225,"")</f>
        <v>188.8</v>
      </c>
      <c r="U6" s="2" cm="1">
        <f t="array" ref="U6">_xlfn.XLOOKUP(1,(Cordivari!$A$83:$A$225=U$2)*(Cordivari!$C$83:$C$225=$B6),Cordivari!$E$83:$E$225,"")</f>
        <v>230.4</v>
      </c>
      <c r="V6" s="2" cm="1">
        <f t="array" ref="V6">_xlfn.XLOOKUP(1,(Cordivari!$A$83:$A$225=V$2)*(Cordivari!$C$83:$C$225=$B6),Cordivari!$E$83:$E$225,"")</f>
        <v>251.9</v>
      </c>
      <c r="W6" s="2" cm="1">
        <f t="array" ref="W6">_xlfn.XLOOKUP(1,(Cordivari!$A$83:$A$225=W$2)*(Cordivari!$C$83:$C$225=$B6),Cordivari!$E$83:$E$225,"")</f>
        <v>271.60000000000002</v>
      </c>
      <c r="X6" s="2" cm="1">
        <f t="array" ref="X6">_xlfn.XLOOKUP(1,(Cordivari!$A$83:$A$225=X$2)*(Cordivari!$C$83:$C$225=$B6),Cordivari!$E$83:$E$225,"")</f>
        <v>279.3</v>
      </c>
      <c r="Y6" s="2" cm="1">
        <f t="array" ref="Y6">_xlfn.XLOOKUP(1,(Cordivari!$A$83:$A$225=Y$2)*(Cordivari!$C$83:$C$225=$B6),Cordivari!$E$83:$E$225,"")</f>
        <v>299</v>
      </c>
      <c r="Z6" s="2" cm="1">
        <f t="array" ref="Z6">_xlfn.XLOOKUP(1,(Cordivari!$A$83:$A$225=Z$2)*(Cordivari!$C$83:$C$225=$B6),Cordivari!$E$83:$E$225,"")</f>
        <v>306.7</v>
      </c>
      <c r="AA6" s="2" cm="1">
        <f t="array" ref="AA6">_xlfn.XLOOKUP(1,(Cordivari!$A$83:$A$225=AA$2)*(Cordivari!$C$83:$C$225=$B6),Cordivari!$E$83:$E$225,"")</f>
        <v>326.39999999999998</v>
      </c>
      <c r="AB6" s="2" cm="1">
        <f t="array" ref="AB6">_xlfn.XLOOKUP(1,(Cordivari!$A$83:$A$225=AB$2)*(Cordivari!$C$83:$C$225=$B6),Cordivari!$E$83:$E$225,"")</f>
        <v>367.4</v>
      </c>
      <c r="AC6" s="2" t="s">
        <v>632</v>
      </c>
    </row>
    <row r="7" spans="1:29" x14ac:dyDescent="0.2">
      <c r="B7" s="2">
        <v>230</v>
      </c>
      <c r="C7" s="2" cm="1">
        <f t="array" ref="C7">_xlfn.XLOOKUP(1,(Cordivari!$A$83:$A$225=C$2)*(Cordivari!$C$83:$C$225=$B7),Cordivari!$E$83:$E$225,"")</f>
        <v>48.7</v>
      </c>
      <c r="D7" s="2" cm="1">
        <f t="array" ref="D7">_xlfn.XLOOKUP(1,(Cordivari!$A$83:$A$225=D$2)*(Cordivari!$C$83:$C$225=$B7),Cordivari!$E$83:$E$225,"")</f>
        <v>67.7</v>
      </c>
      <c r="E7" s="2" cm="1">
        <f t="array" ref="E7">_xlfn.XLOOKUP(1,(Cordivari!$A$83:$A$225=E$2)*(Cordivari!$C$83:$C$225=$B7),Cordivari!$E$83:$E$225,"")</f>
        <v>87.3</v>
      </c>
      <c r="F7" s="2" cm="1">
        <f t="array" ref="F7">_xlfn.XLOOKUP(1,(Cordivari!$A$83:$A$225=F$2)*(Cordivari!$C$83:$C$225=$B7),Cordivari!$E$83:$E$225,"")</f>
        <v>106.2</v>
      </c>
      <c r="G7" s="2" cm="1">
        <f t="array" ref="G7">_xlfn.XLOOKUP(1,(Cordivari!$A$83:$A$225=G$2)*(Cordivari!$C$83:$C$225=$B7),Cordivari!$E$83:$E$225,"")</f>
        <v>116.5</v>
      </c>
      <c r="H7" s="2" cm="1">
        <f t="array" ref="H7">_xlfn.XLOOKUP(1,(Cordivari!$A$83:$A$225=H$2)*(Cordivari!$C$83:$C$225=$B7),Cordivari!$E$83:$E$225,"")</f>
        <v>121.9</v>
      </c>
      <c r="I7" s="2" cm="1">
        <f t="array" ref="I7">_xlfn.XLOOKUP(1,(Cordivari!$A$83:$A$225=I$2)*(Cordivari!$C$83:$C$225=$B7),Cordivari!$E$83:$E$225,"")</f>
        <v>124.5</v>
      </c>
      <c r="J7" s="2" cm="1">
        <f t="array" ref="J7">_xlfn.XLOOKUP(1,(Cordivari!$A$83:$A$225=J$2)*(Cordivari!$C$83:$C$225=$B7),Cordivari!$E$83:$E$225,"")</f>
        <v>129.1</v>
      </c>
      <c r="K7" s="2" cm="1">
        <f t="array" ref="K7">_xlfn.XLOOKUP(1,(Cordivari!$A$83:$A$225=K$2)*(Cordivari!$C$83:$C$225=$B7),Cordivari!$E$83:$E$225,"")</f>
        <v>134.5</v>
      </c>
      <c r="L7" s="2" cm="1">
        <f t="array" ref="L7">_xlfn.XLOOKUP(1,(Cordivari!$A$83:$A$225=L$2)*(Cordivari!$C$83:$C$225=$B7),Cordivari!$E$83:$E$225,"")</f>
        <v>138</v>
      </c>
      <c r="M7" s="2" cm="1">
        <f t="array" ref="M7">_xlfn.XLOOKUP(1,(Cordivari!$A$83:$A$225=M$2)*(Cordivari!$C$83:$C$225=$B7),Cordivari!$E$83:$E$225,"")</f>
        <v>150.9</v>
      </c>
      <c r="N7" s="2" cm="1">
        <f t="array" ref="N7">_xlfn.XLOOKUP(1,(Cordivari!$A$83:$A$225=N$2)*(Cordivari!$C$83:$C$225=$B7),Cordivari!$E$83:$E$225,"")</f>
        <v>152</v>
      </c>
      <c r="O7" s="2" cm="1">
        <f t="array" ref="O7">_xlfn.XLOOKUP(1,(Cordivari!$A$83:$A$225=O$2)*(Cordivari!$C$83:$C$225=$B7),Cordivari!$E$83:$E$225,"")</f>
        <v>157.1</v>
      </c>
      <c r="P7" s="2" cm="1">
        <f t="array" ref="P7">_xlfn.XLOOKUP(1,(Cordivari!$A$83:$A$225=P$2)*(Cordivari!$C$83:$C$225=$B7),Cordivari!$E$83:$E$225,"")</f>
        <v>169</v>
      </c>
      <c r="Q7" s="2" cm="1">
        <f t="array" ref="Q7">_xlfn.XLOOKUP(1,(Cordivari!$A$83:$A$225=Q$2)*(Cordivari!$C$83:$C$225=$B7),Cordivari!$E$83:$E$225,"")</f>
        <v>172.4</v>
      </c>
      <c r="R7" s="2" cm="1">
        <f t="array" ref="R7">_xlfn.XLOOKUP(1,(Cordivari!$A$83:$A$225=R$2)*(Cordivari!$C$83:$C$225=$B7),Cordivari!$E$83:$E$225,"")</f>
        <v>180.7</v>
      </c>
      <c r="S7" s="2" cm="1">
        <f t="array" ref="S7">_xlfn.XLOOKUP(1,(Cordivari!$A$83:$A$225=S$2)*(Cordivari!$C$83:$C$225=$B7),Cordivari!$E$83:$E$225,"")</f>
        <v>192.9</v>
      </c>
      <c r="T7" s="2" cm="1">
        <f t="array" ref="T7">_xlfn.XLOOKUP(1,(Cordivari!$A$83:$A$225=T$2)*(Cordivari!$C$83:$C$225=$B7),Cordivari!$E$83:$E$225,"")</f>
        <v>224.7</v>
      </c>
      <c r="U7" s="2" cm="1">
        <f t="array" ref="U7">_xlfn.XLOOKUP(1,(Cordivari!$A$83:$A$225=U$2)*(Cordivari!$C$83:$C$225=$B7),Cordivari!$E$83:$E$225,"")</f>
        <v>270</v>
      </c>
      <c r="V7" s="2" cm="1">
        <f t="array" ref="V7">_xlfn.XLOOKUP(1,(Cordivari!$A$83:$A$225=V$2)*(Cordivari!$C$83:$C$225=$B7),Cordivari!$E$83:$E$225,"")</f>
        <v>292.5</v>
      </c>
      <c r="W7" s="2" cm="1">
        <f t="array" ref="W7">_xlfn.XLOOKUP(1,(Cordivari!$A$83:$A$225=W$2)*(Cordivari!$C$83:$C$225=$B7),Cordivari!$E$83:$E$225,"")</f>
        <v>312.7</v>
      </c>
      <c r="X7" s="2" cm="1">
        <f t="array" ref="X7">_xlfn.XLOOKUP(1,(Cordivari!$A$83:$A$225=X$2)*(Cordivari!$C$83:$C$225=$B7),Cordivari!$E$83:$E$225,"")</f>
        <v>320.39999999999998</v>
      </c>
      <c r="Y7" s="2" cm="1">
        <f t="array" ref="Y7">_xlfn.XLOOKUP(1,(Cordivari!$A$83:$A$225=Y$2)*(Cordivari!$C$83:$C$225=$B7),Cordivari!$E$83:$E$225,"")</f>
        <v>339.8</v>
      </c>
      <c r="Z7" s="2" cm="1">
        <f t="array" ref="Z7">_xlfn.XLOOKUP(1,(Cordivari!$A$83:$A$225=Z$2)*(Cordivari!$C$83:$C$225=$B7),Cordivari!$E$83:$E$225,"")</f>
        <v>347.2</v>
      </c>
      <c r="AA7" s="2" cm="1">
        <f t="array" ref="AA7">_xlfn.XLOOKUP(1,(Cordivari!$A$83:$A$225=AA$2)*(Cordivari!$C$83:$C$225=$B7),Cordivari!$E$83:$E$225,"")</f>
        <v>366</v>
      </c>
      <c r="AB7" s="2" cm="1">
        <f t="array" ref="AB7">_xlfn.XLOOKUP(1,(Cordivari!$A$83:$A$225=AB$2)*(Cordivari!$C$83:$C$225=$B7),Cordivari!$E$83:$E$225,"")</f>
        <v>403.4</v>
      </c>
      <c r="AC7" s="2" t="s">
        <v>633</v>
      </c>
    </row>
    <row r="8" spans="1:29" x14ac:dyDescent="0.2">
      <c r="M8"/>
      <c r="N8"/>
      <c r="O8"/>
      <c r="P8"/>
      <c r="Q8"/>
    </row>
    <row r="9" spans="1:29" ht="13.5" x14ac:dyDescent="0.25">
      <c r="A9" s="1" t="s">
        <v>150</v>
      </c>
      <c r="C9" s="4" t="s">
        <v>2</v>
      </c>
      <c r="M9"/>
      <c r="N9"/>
      <c r="O9"/>
      <c r="P9"/>
      <c r="Q9"/>
    </row>
    <row r="10" spans="1:29" x14ac:dyDescent="0.2">
      <c r="A10" s="1" t="s">
        <v>0</v>
      </c>
      <c r="C10" s="5">
        <f t="shared" ref="C10:AB10" si="0">C$2</f>
        <v>207</v>
      </c>
      <c r="D10" s="5">
        <f t="shared" si="0"/>
        <v>300</v>
      </c>
      <c r="E10" s="5">
        <f t="shared" si="0"/>
        <v>400</v>
      </c>
      <c r="F10" s="5">
        <f t="shared" si="0"/>
        <v>500</v>
      </c>
      <c r="G10" s="5">
        <f t="shared" si="0"/>
        <v>556</v>
      </c>
      <c r="H10" s="5">
        <f t="shared" si="0"/>
        <v>586</v>
      </c>
      <c r="I10" s="5">
        <f t="shared" si="0"/>
        <v>600</v>
      </c>
      <c r="J10" s="5">
        <f t="shared" si="0"/>
        <v>626</v>
      </c>
      <c r="K10" s="5">
        <f t="shared" si="0"/>
        <v>656</v>
      </c>
      <c r="L10" s="5">
        <f t="shared" si="0"/>
        <v>676</v>
      </c>
      <c r="M10" s="5">
        <f t="shared" si="0"/>
        <v>750</v>
      </c>
      <c r="N10" s="5">
        <f t="shared" si="0"/>
        <v>756</v>
      </c>
      <c r="O10" s="5">
        <f t="shared" si="0"/>
        <v>786</v>
      </c>
      <c r="P10" s="5">
        <f t="shared" si="0"/>
        <v>856</v>
      </c>
      <c r="Q10" s="5">
        <f t="shared" si="0"/>
        <v>876</v>
      </c>
      <c r="R10" s="5">
        <f t="shared" si="0"/>
        <v>926</v>
      </c>
      <c r="S10" s="5">
        <f t="shared" si="0"/>
        <v>1000</v>
      </c>
      <c r="T10" s="5">
        <f t="shared" si="0"/>
        <v>1200</v>
      </c>
      <c r="U10" s="5">
        <f t="shared" si="0"/>
        <v>1500</v>
      </c>
      <c r="V10" s="5">
        <f t="shared" si="0"/>
        <v>1656</v>
      </c>
      <c r="W10" s="5">
        <f t="shared" si="0"/>
        <v>1800</v>
      </c>
      <c r="X10" s="5">
        <f t="shared" si="0"/>
        <v>1856</v>
      </c>
      <c r="Y10" s="5">
        <f t="shared" si="0"/>
        <v>2000</v>
      </c>
      <c r="Z10" s="5">
        <f t="shared" si="0"/>
        <v>2056</v>
      </c>
      <c r="AA10" s="5">
        <f t="shared" si="0"/>
        <v>2200</v>
      </c>
      <c r="AB10" s="5">
        <f t="shared" si="0"/>
        <v>2500</v>
      </c>
    </row>
    <row r="11" spans="1:29" ht="13.5" x14ac:dyDescent="0.25">
      <c r="A11" s="4" t="s">
        <v>3</v>
      </c>
      <c r="B11" s="2">
        <f>B3</f>
        <v>66</v>
      </c>
      <c r="C11" s="2" cm="1">
        <f t="array" ref="C11">_xlfn.XLOOKUP(1,(Cordivari!$A$83:$A$225=C$2)*(Cordivari!$C$83:$C$225=$B3),Cordivari!$I$83:$I$225,"")</f>
        <v>1.3029999999999999</v>
      </c>
      <c r="D11" s="2" cm="1">
        <f t="array" ref="D11">_xlfn.XLOOKUP(1,(Cordivari!$A$83:$A$225=D$2)*(Cordivari!$C$83:$C$225=$B3),Cordivari!$I$83:$I$225,"")</f>
        <v>1.2470000000000001</v>
      </c>
      <c r="E11" s="2" cm="1">
        <f t="array" ref="E11">_xlfn.XLOOKUP(1,(Cordivari!$A$83:$A$225=E$2)*(Cordivari!$C$83:$C$225=$B3),Cordivari!$I$83:$I$225,"")</f>
        <v>1.2609999999999999</v>
      </c>
      <c r="F11" s="2" cm="1">
        <f t="array" ref="F11">_xlfn.XLOOKUP(1,(Cordivari!$A$83:$A$225=F$2)*(Cordivari!$C$83:$C$225=$B3),Cordivari!$I$83:$I$225,"")</f>
        <v>1.2749999999999999</v>
      </c>
      <c r="G11" s="2" cm="1">
        <f t="array" ref="G11">_xlfn.XLOOKUP(1,(Cordivari!$A$83:$A$225=G$2)*(Cordivari!$C$83:$C$225=$B3),Cordivari!$I$83:$I$225,"")</f>
        <v>1.2829999999999999</v>
      </c>
      <c r="H11" s="2" cm="1">
        <f t="array" ref="H11">_xlfn.XLOOKUP(1,(Cordivari!$A$83:$A$225=H$2)*(Cordivari!$C$83:$C$225=$B3),Cordivari!$I$83:$I$225,"")</f>
        <v>1.2869999999999999</v>
      </c>
      <c r="I11" s="2" cm="1">
        <f t="array" ref="I11">_xlfn.XLOOKUP(1,(Cordivari!$A$83:$A$225=I$2)*(Cordivari!$C$83:$C$225=$B3),Cordivari!$I$83:$I$225,"")</f>
        <v>1.2889999999999999</v>
      </c>
      <c r="J11" s="2" cm="1">
        <f t="array" ref="J11">_xlfn.XLOOKUP(1,(Cordivari!$A$83:$A$225=J$2)*(Cordivari!$C$83:$C$225=$B3),Cordivari!$I$83:$I$225,"")</f>
        <v>1.292</v>
      </c>
      <c r="K11" s="2" cm="1">
        <f t="array" ref="K11">_xlfn.XLOOKUP(1,(Cordivari!$A$83:$A$225=K$2)*(Cordivari!$C$83:$C$225=$B3),Cordivari!$I$83:$I$225,"")</f>
        <v>1.2969999999999999</v>
      </c>
      <c r="L11" s="2" cm="1">
        <f t="array" ref="L11">_xlfn.XLOOKUP(1,(Cordivari!$A$83:$A$225=L$2)*(Cordivari!$C$83:$C$225=$B3),Cordivari!$I$83:$I$225,"")</f>
        <v>1.2989999999999999</v>
      </c>
      <c r="M11" s="2" cm="1">
        <f t="array" ref="M11">_xlfn.XLOOKUP(1,(Cordivari!$A$83:$A$225=M$2)*(Cordivari!$C$83:$C$225=$B3),Cordivari!$I$83:$I$225,"")</f>
        <v>1.31</v>
      </c>
      <c r="N11" s="2" cm="1">
        <f t="array" ref="N11">_xlfn.XLOOKUP(1,(Cordivari!$A$83:$A$225=N$2)*(Cordivari!$C$83:$C$225=$B3),Cordivari!$I$83:$I$225,"")</f>
        <v>1.3109999999999999</v>
      </c>
      <c r="O11" s="2" cm="1">
        <f t="array" ref="O11">_xlfn.XLOOKUP(1,(Cordivari!$A$83:$A$225=O$2)*(Cordivari!$C$83:$C$225=$B3),Cordivari!$I$83:$I$225,"")</f>
        <v>1.3149999999999999</v>
      </c>
      <c r="P11" s="2" cm="1">
        <f t="array" ref="P11">_xlfn.XLOOKUP(1,(Cordivari!$A$83:$A$225=P$2)*(Cordivari!$C$83:$C$225=$B3),Cordivari!$I$83:$I$225,"")</f>
        <v>1.3240000000000001</v>
      </c>
      <c r="Q11" s="2" cm="1">
        <f t="array" ref="Q11">_xlfn.XLOOKUP(1,(Cordivari!$A$83:$A$225=Q$2)*(Cordivari!$C$83:$C$225=$B3),Cordivari!$I$83:$I$225,"")</f>
        <v>1.327</v>
      </c>
      <c r="R11" s="2" cm="1">
        <f t="array" ref="R11">_xlfn.XLOOKUP(1,(Cordivari!$A$83:$A$225=R$2)*(Cordivari!$C$83:$C$225=$B3),Cordivari!$I$83:$I$225,"")</f>
        <v>1.3320000000000001</v>
      </c>
      <c r="S11" s="2" cm="1">
        <f t="array" ref="S11">_xlfn.XLOOKUP(1,(Cordivari!$A$83:$A$225=S$2)*(Cordivari!$C$83:$C$225=$B3),Cordivari!$I$83:$I$225,"")</f>
        <v>1.335</v>
      </c>
      <c r="T11" s="2" cm="1">
        <f t="array" ref="T11">_xlfn.XLOOKUP(1,(Cordivari!$A$83:$A$225=T$2)*(Cordivari!$C$83:$C$225=$B3),Cordivari!$I$83:$I$225,"")</f>
        <v>1.343</v>
      </c>
      <c r="U11" s="2" cm="1">
        <f t="array" ref="U11">_xlfn.XLOOKUP(1,(Cordivari!$A$83:$A$225=U$2)*(Cordivari!$C$83:$C$225=$B3),Cordivari!$I$83:$I$225,"")</f>
        <v>1.355</v>
      </c>
      <c r="V11" s="2" cm="1">
        <f t="array" ref="V11">_xlfn.XLOOKUP(1,(Cordivari!$A$83:$A$225=V$2)*(Cordivari!$C$83:$C$225=$B3),Cordivari!$I$83:$I$225,"")</f>
        <v>1.355</v>
      </c>
      <c r="W11" s="2" cm="1">
        <f t="array" ref="W11">_xlfn.XLOOKUP(1,(Cordivari!$A$83:$A$225=W$2)*(Cordivari!$C$83:$C$225=$B3),Cordivari!$I$83:$I$225,"")</f>
        <v>1.355</v>
      </c>
      <c r="X11" s="2" cm="1">
        <f t="array" ref="X11">_xlfn.XLOOKUP(1,(Cordivari!$A$83:$A$225=X$2)*(Cordivari!$C$83:$C$225=$B3),Cordivari!$I$83:$I$225,"")</f>
        <v>1.355</v>
      </c>
      <c r="Y11" s="2" cm="1">
        <f t="array" ref="Y11">_xlfn.XLOOKUP(1,(Cordivari!$A$83:$A$225=Y$2)*(Cordivari!$C$83:$C$225=$B3),Cordivari!$I$83:$I$225,"")</f>
        <v>1.355</v>
      </c>
      <c r="Z11" s="2" cm="1">
        <f t="array" ref="Z11">_xlfn.XLOOKUP(1,(Cordivari!$A$83:$A$225=Z$2)*(Cordivari!$C$83:$C$225=$B3),Cordivari!$I$83:$I$225,"")</f>
        <v>1.355</v>
      </c>
      <c r="AA11" s="2" cm="1">
        <f t="array" ref="AA11">_xlfn.XLOOKUP(1,(Cordivari!$A$83:$A$225=AA$2)*(Cordivari!$C$83:$C$225=$B3),Cordivari!$I$83:$I$225,"")</f>
        <v>1.355</v>
      </c>
      <c r="AB11" s="2" cm="1">
        <f t="array" ref="AB11">_xlfn.XLOOKUP(1,(Cordivari!$A$83:$A$225=AB$2)*(Cordivari!$C$83:$C$225=$B3),Cordivari!$I$83:$I$225,"")</f>
        <v>1.355</v>
      </c>
    </row>
    <row r="12" spans="1:29" x14ac:dyDescent="0.2">
      <c r="B12" s="2">
        <f>B4</f>
        <v>107</v>
      </c>
      <c r="C12" s="2" cm="1">
        <f t="array" ref="C12">_xlfn.XLOOKUP(1,(Cordivari!$A$83:$A$225=C$2)*(Cordivari!$C$83:$C$225=$B4),Cordivari!$I$83:$I$225,"")</f>
        <v>1.3140000000000001</v>
      </c>
      <c r="D12" s="2" cm="1">
        <f t="array" ref="D12">_xlfn.XLOOKUP(1,(Cordivari!$A$83:$A$225=D$2)*(Cordivari!$C$83:$C$225=$B4),Cordivari!$I$83:$I$225,"")</f>
        <v>1.2729999999999999</v>
      </c>
      <c r="E12" s="2" cm="1">
        <f t="array" ref="E12">_xlfn.XLOOKUP(1,(Cordivari!$A$83:$A$225=E$2)*(Cordivari!$C$83:$C$225=$B4),Cordivari!$I$83:$I$225,"")</f>
        <v>1.284</v>
      </c>
      <c r="F12" s="2" cm="1">
        <f t="array" ref="F12">_xlfn.XLOOKUP(1,(Cordivari!$A$83:$A$225=F$2)*(Cordivari!$C$83:$C$225=$B4),Cordivari!$I$83:$I$225,"")</f>
        <v>1.296</v>
      </c>
      <c r="G12" s="2" cm="1">
        <f t="array" ref="G12">_xlfn.XLOOKUP(1,(Cordivari!$A$83:$A$225=G$2)*(Cordivari!$C$83:$C$225=$B4),Cordivari!$I$83:$I$225,"")</f>
        <v>1.302</v>
      </c>
      <c r="H12" s="2" cm="1">
        <f t="array" ref="H12">_xlfn.XLOOKUP(1,(Cordivari!$A$83:$A$225=H$2)*(Cordivari!$C$83:$C$225=$B4),Cordivari!$I$83:$I$225,"")</f>
        <v>1.306</v>
      </c>
      <c r="I12" s="2" cm="1">
        <f t="array" ref="I12">_xlfn.XLOOKUP(1,(Cordivari!$A$83:$A$225=I$2)*(Cordivari!$C$83:$C$225=$B4),Cordivari!$I$83:$I$225,"")</f>
        <v>1.3069999999999999</v>
      </c>
      <c r="J12" s="2" cm="1">
        <f t="array" ref="J12">_xlfn.XLOOKUP(1,(Cordivari!$A$83:$A$225=J$2)*(Cordivari!$C$83:$C$225=$B4),Cordivari!$I$83:$I$225,"")</f>
        <v>1.31</v>
      </c>
      <c r="K12" s="2" cm="1">
        <f t="array" ref="K12">_xlfn.XLOOKUP(1,(Cordivari!$A$83:$A$225=K$2)*(Cordivari!$C$83:$C$225=$B4),Cordivari!$I$83:$I$225,"")</f>
        <v>1.3140000000000001</v>
      </c>
      <c r="L12" s="2" cm="1">
        <f t="array" ref="L12">_xlfn.XLOOKUP(1,(Cordivari!$A$83:$A$225=L$2)*(Cordivari!$C$83:$C$225=$B4),Cordivari!$I$83:$I$225,"")</f>
        <v>1.3160000000000001</v>
      </c>
      <c r="M12" s="2" cm="1">
        <f t="array" ref="M12">_xlfn.XLOOKUP(1,(Cordivari!$A$83:$A$225=M$2)*(Cordivari!$C$83:$C$225=$B4),Cordivari!$I$83:$I$225,"")</f>
        <v>1.325</v>
      </c>
      <c r="N12" s="2" cm="1">
        <f t="array" ref="N12">_xlfn.XLOOKUP(1,(Cordivari!$A$83:$A$225=N$2)*(Cordivari!$C$83:$C$225=$B4),Cordivari!$I$83:$I$225,"")</f>
        <v>1.325</v>
      </c>
      <c r="O12" s="2" cm="1">
        <f t="array" ref="O12">_xlfn.XLOOKUP(1,(Cordivari!$A$83:$A$225=O$2)*(Cordivari!$C$83:$C$225=$B4),Cordivari!$I$83:$I$225,"")</f>
        <v>1.329</v>
      </c>
      <c r="P12" s="2" cm="1">
        <f t="array" ref="P12">_xlfn.XLOOKUP(1,(Cordivari!$A$83:$A$225=P$2)*(Cordivari!$C$83:$C$225=$B4),Cordivari!$I$83:$I$225,"")</f>
        <v>1.337</v>
      </c>
      <c r="Q12" s="2" cm="1">
        <f t="array" ref="Q12">_xlfn.XLOOKUP(1,(Cordivari!$A$83:$A$225=Q$2)*(Cordivari!$C$83:$C$225=$B4),Cordivari!$I$83:$I$225,"")</f>
        <v>1.339</v>
      </c>
      <c r="R12" s="2" cm="1">
        <f t="array" ref="R12">_xlfn.XLOOKUP(1,(Cordivari!$A$83:$A$225=R$2)*(Cordivari!$C$83:$C$225=$B4),Cordivari!$I$83:$I$225,"")</f>
        <v>1.343</v>
      </c>
      <c r="S12" s="2" cm="1">
        <f t="array" ref="S12">_xlfn.XLOOKUP(1,(Cordivari!$A$83:$A$225=S$2)*(Cordivari!$C$83:$C$225=$B4),Cordivari!$I$83:$I$225,"")</f>
        <v>1.345</v>
      </c>
      <c r="T12" s="2" cm="1">
        <f t="array" ref="T12">_xlfn.XLOOKUP(1,(Cordivari!$A$83:$A$225=T$2)*(Cordivari!$C$83:$C$225=$B4),Cordivari!$I$83:$I$225,"")</f>
        <v>1.35</v>
      </c>
      <c r="U12" s="2" cm="1">
        <f t="array" ref="U12">_xlfn.XLOOKUP(1,(Cordivari!$A$83:$A$225=U$2)*(Cordivari!$C$83:$C$225=$B4),Cordivari!$I$83:$I$225,"")</f>
        <v>1.359</v>
      </c>
      <c r="V12" s="2" cm="1">
        <f t="array" ref="V12">_xlfn.XLOOKUP(1,(Cordivari!$A$83:$A$225=V$2)*(Cordivari!$C$83:$C$225=$B4),Cordivari!$I$83:$I$225,"")</f>
        <v>1.35</v>
      </c>
      <c r="W12" s="2" cm="1">
        <f t="array" ref="W12">_xlfn.XLOOKUP(1,(Cordivari!$A$83:$A$225=W$2)*(Cordivari!$C$83:$C$225=$B4),Cordivari!$I$83:$I$225,"")</f>
        <v>1.341</v>
      </c>
      <c r="X12" s="2" cm="1">
        <f t="array" ref="X12">_xlfn.XLOOKUP(1,(Cordivari!$A$83:$A$225=X$2)*(Cordivari!$C$83:$C$225=$B4),Cordivari!$I$83:$I$225,"")</f>
        <v>1.3380000000000001</v>
      </c>
      <c r="Y12" s="2" cm="1">
        <f t="array" ref="Y12">_xlfn.XLOOKUP(1,(Cordivari!$A$83:$A$225=Y$2)*(Cordivari!$C$83:$C$225=$B4),Cordivari!$I$83:$I$225,"")</f>
        <v>1.33</v>
      </c>
      <c r="Z12" s="2" cm="1">
        <f t="array" ref="Z12">_xlfn.XLOOKUP(1,(Cordivari!$A$83:$A$225=Z$2)*(Cordivari!$C$83:$C$225=$B4),Cordivari!$I$83:$I$225,"")</f>
        <v>1.3260000000000001</v>
      </c>
      <c r="AA12" s="2" cm="1">
        <f t="array" ref="AA12">_xlfn.XLOOKUP(1,(Cordivari!$A$83:$A$225=AA$2)*(Cordivari!$C$83:$C$225=$B4),Cordivari!$I$83:$I$225,"")</f>
        <v>1.3180000000000001</v>
      </c>
      <c r="AB12" s="2" cm="1">
        <f t="array" ref="AB12">_xlfn.XLOOKUP(1,(Cordivari!$A$83:$A$225=AB$2)*(Cordivari!$C$83:$C$225=$B4),Cordivari!$I$83:$I$225,"")</f>
        <v>1.3009999999999999</v>
      </c>
    </row>
    <row r="13" spans="1:29" x14ac:dyDescent="0.2">
      <c r="B13" s="2">
        <f>B5</f>
        <v>148</v>
      </c>
      <c r="C13" s="2" cm="1">
        <f t="array" ref="C13">_xlfn.XLOOKUP(1,(Cordivari!$A$83:$A$225=C$2)*(Cordivari!$C$83:$C$225=$B5),Cordivari!$I$83:$I$225,"")</f>
        <v>1.3169999999999999</v>
      </c>
      <c r="D13" s="2" cm="1">
        <f t="array" ref="D13">_xlfn.XLOOKUP(1,(Cordivari!$A$83:$A$225=D$2)*(Cordivari!$C$83:$C$225=$B5),Cordivari!$I$83:$I$225,"")</f>
        <v>1.2649999999999999</v>
      </c>
      <c r="E13" s="2" cm="1">
        <f t="array" ref="E13">_xlfn.XLOOKUP(1,(Cordivari!$A$83:$A$225=E$2)*(Cordivari!$C$83:$C$225=$B5),Cordivari!$I$83:$I$225,"")</f>
        <v>1.28</v>
      </c>
      <c r="F13" s="2" cm="1">
        <f t="array" ref="F13">_xlfn.XLOOKUP(1,(Cordivari!$A$83:$A$225=F$2)*(Cordivari!$C$83:$C$225=$B5),Cordivari!$I$83:$I$225,"")</f>
        <v>1.296</v>
      </c>
      <c r="G13" s="2" cm="1">
        <f t="array" ref="G13">_xlfn.XLOOKUP(1,(Cordivari!$A$83:$A$225=G$2)*(Cordivari!$C$83:$C$225=$B5),Cordivari!$I$83:$I$225,"")</f>
        <v>1.3049999999999999</v>
      </c>
      <c r="H13" s="2" cm="1">
        <f t="array" ref="H13">_xlfn.XLOOKUP(1,(Cordivari!$A$83:$A$225=H$2)*(Cordivari!$C$83:$C$225=$B5),Cordivari!$I$83:$I$225,"")</f>
        <v>1.3089999999999999</v>
      </c>
      <c r="I13" s="2" cm="1">
        <f t="array" ref="I13">_xlfn.XLOOKUP(1,(Cordivari!$A$83:$A$225=I$2)*(Cordivari!$C$83:$C$225=$B5),Cordivari!$I$83:$I$225,"")</f>
        <v>1.3120000000000001</v>
      </c>
      <c r="J13" s="2" cm="1">
        <f t="array" ref="J13">_xlfn.XLOOKUP(1,(Cordivari!$A$83:$A$225=J$2)*(Cordivari!$C$83:$C$225=$B5),Cordivari!$I$83:$I$225,"")</f>
        <v>1.3160000000000001</v>
      </c>
      <c r="K13" s="2" cm="1">
        <f t="array" ref="K13">_xlfn.XLOOKUP(1,(Cordivari!$A$83:$A$225=K$2)*(Cordivari!$C$83:$C$225=$B5),Cordivari!$I$83:$I$225,"")</f>
        <v>1.32</v>
      </c>
      <c r="L13" s="2" cm="1">
        <f t="array" ref="L13">_xlfn.XLOOKUP(1,(Cordivari!$A$83:$A$225=L$2)*(Cordivari!$C$83:$C$225=$B5),Cordivari!$I$83:$I$225,"")</f>
        <v>1.3240000000000001</v>
      </c>
      <c r="M13" s="2" cm="1">
        <f t="array" ref="M13">_xlfn.XLOOKUP(1,(Cordivari!$A$83:$A$225=M$2)*(Cordivari!$C$83:$C$225=$B5),Cordivari!$I$83:$I$225,"")</f>
        <v>1.335</v>
      </c>
      <c r="N13" s="2" cm="1">
        <f t="array" ref="N13">_xlfn.XLOOKUP(1,(Cordivari!$A$83:$A$225=N$2)*(Cordivari!$C$83:$C$225=$B5),Cordivari!$I$83:$I$225,"")</f>
        <v>1.3360000000000001</v>
      </c>
      <c r="O13" s="2" cm="1">
        <f t="array" ref="O13">_xlfn.XLOOKUP(1,(Cordivari!$A$83:$A$225=O$2)*(Cordivari!$C$83:$C$225=$B5),Cordivari!$I$83:$I$225,"")</f>
        <v>1.341</v>
      </c>
      <c r="P13" s="2" cm="1">
        <f t="array" ref="P13">_xlfn.XLOOKUP(1,(Cordivari!$A$83:$A$225=P$2)*(Cordivari!$C$83:$C$225=$B5),Cordivari!$I$83:$I$225,"")</f>
        <v>1.3520000000000001</v>
      </c>
      <c r="Q13" s="2" cm="1">
        <f t="array" ref="Q13">_xlfn.XLOOKUP(1,(Cordivari!$A$83:$A$225=Q$2)*(Cordivari!$C$83:$C$225=$B5),Cordivari!$I$83:$I$225,"")</f>
        <v>1.355</v>
      </c>
      <c r="R13" s="2" cm="1">
        <f t="array" ref="R13">_xlfn.XLOOKUP(1,(Cordivari!$A$83:$A$225=R$2)*(Cordivari!$C$83:$C$225=$B5),Cordivari!$I$83:$I$225,"")</f>
        <v>1.3580000000000001</v>
      </c>
      <c r="S13" s="2" cm="1">
        <f t="array" ref="S13">_xlfn.XLOOKUP(1,(Cordivari!$A$83:$A$225=S$2)*(Cordivari!$C$83:$C$225=$B5),Cordivari!$I$83:$I$225,"")</f>
        <v>1.355</v>
      </c>
      <c r="T13" s="2" cm="1">
        <f t="array" ref="T13">_xlfn.XLOOKUP(1,(Cordivari!$A$83:$A$225=T$2)*(Cordivari!$C$83:$C$225=$B5),Cordivari!$I$83:$I$225,"")</f>
        <v>1.3480000000000001</v>
      </c>
      <c r="U13" s="2" cm="1">
        <f t="array" ref="U13">_xlfn.XLOOKUP(1,(Cordivari!$A$83:$A$225=U$2)*(Cordivari!$C$83:$C$225=$B5),Cordivari!$I$83:$I$225,"")</f>
        <v>1.3380000000000001</v>
      </c>
      <c r="V13" s="2" cm="1">
        <f t="array" ref="V13">_xlfn.XLOOKUP(1,(Cordivari!$A$83:$A$225=V$2)*(Cordivari!$C$83:$C$225=$B5),Cordivari!$I$83:$I$225,"")</f>
        <v>1.3460000000000001</v>
      </c>
      <c r="W13" s="2" cm="1">
        <f t="array" ref="W13">_xlfn.XLOOKUP(1,(Cordivari!$A$83:$A$225=W$2)*(Cordivari!$C$83:$C$225=$B5),Cordivari!$I$83:$I$225,"")</f>
        <v>1.353</v>
      </c>
      <c r="X13" s="2" cm="1">
        <f t="array" ref="X13">_xlfn.XLOOKUP(1,(Cordivari!$A$83:$A$225=X$2)*(Cordivari!$C$83:$C$225=$B5),Cordivari!$I$83:$I$225,"")</f>
        <v>1.3560000000000001</v>
      </c>
      <c r="Y13" s="2" cm="1">
        <f t="array" ref="Y13">_xlfn.XLOOKUP(1,(Cordivari!$A$83:$A$225=Y$2)*(Cordivari!$C$83:$C$225=$B5),Cordivari!$I$83:$I$225,"")</f>
        <v>1.3640000000000001</v>
      </c>
      <c r="Z13" s="2" cm="1">
        <f t="array" ref="Z13">_xlfn.XLOOKUP(1,(Cordivari!$A$83:$A$225=Z$2)*(Cordivari!$C$83:$C$225=$B5),Cordivari!$I$83:$I$225,"")</f>
        <v>1.3660000000000001</v>
      </c>
      <c r="AA13" s="2" cm="1">
        <f t="array" ref="AA13">_xlfn.XLOOKUP(1,(Cordivari!$A$83:$A$225=AA$2)*(Cordivari!$C$83:$C$225=$B5),Cordivari!$I$83:$I$225,"")</f>
        <v>1.3740000000000001</v>
      </c>
      <c r="AB13" s="2" cm="1">
        <f t="array" ref="AB13">_xlfn.XLOOKUP(1,(Cordivari!$A$83:$A$225=AB$2)*(Cordivari!$C$83:$C$225=$B5),Cordivari!$I$83:$I$225,"")</f>
        <v>1.389</v>
      </c>
    </row>
    <row r="14" spans="1:29" x14ac:dyDescent="0.2">
      <c r="B14" s="2">
        <f>B6</f>
        <v>189</v>
      </c>
      <c r="C14" s="2" cm="1">
        <f t="array" ref="C14">_xlfn.XLOOKUP(1,(Cordivari!$A$83:$A$225=C$2)*(Cordivari!$C$83:$C$225=$B6),Cordivari!$I$83:$I$225,"")</f>
        <v>1.329</v>
      </c>
      <c r="D14" s="2" cm="1">
        <f t="array" ref="D14">_xlfn.XLOOKUP(1,(Cordivari!$A$83:$A$225=D$2)*(Cordivari!$C$83:$C$225=$B6),Cordivari!$I$83:$I$225,"")</f>
        <v>1.32</v>
      </c>
      <c r="E14" s="2" cm="1">
        <f t="array" ref="E14">_xlfn.XLOOKUP(1,(Cordivari!$A$83:$A$225=E$2)*(Cordivari!$C$83:$C$225=$B6),Cordivari!$I$83:$I$225,"")</f>
        <v>1.323</v>
      </c>
      <c r="F14" s="2" cm="1">
        <f t="array" ref="F14">_xlfn.XLOOKUP(1,(Cordivari!$A$83:$A$225=F$2)*(Cordivari!$C$83:$C$225=$B6),Cordivari!$I$83:$I$225,"")</f>
        <v>1.3260000000000001</v>
      </c>
      <c r="G14" s="2" cm="1">
        <f t="array" ref="G14">_xlfn.XLOOKUP(1,(Cordivari!$A$83:$A$225=G$2)*(Cordivari!$C$83:$C$225=$B6),Cordivari!$I$83:$I$225,"")</f>
        <v>1.3280000000000001</v>
      </c>
      <c r="H14" s="2" cm="1">
        <f t="array" ref="H14">_xlfn.XLOOKUP(1,(Cordivari!$A$83:$A$225=H$2)*(Cordivari!$C$83:$C$225=$B6),Cordivari!$I$83:$I$225,"")</f>
        <v>1.329</v>
      </c>
      <c r="I14" s="2" cm="1">
        <f t="array" ref="I14">_xlfn.XLOOKUP(1,(Cordivari!$A$83:$A$225=I$2)*(Cordivari!$C$83:$C$225=$B6),Cordivari!$I$83:$I$225,"")</f>
        <v>1.329</v>
      </c>
      <c r="J14" s="2" cm="1">
        <f t="array" ref="J14">_xlfn.XLOOKUP(1,(Cordivari!$A$83:$A$225=J$2)*(Cordivari!$C$83:$C$225=$B6),Cordivari!$I$83:$I$225,"")</f>
        <v>1.33</v>
      </c>
      <c r="K14" s="2" cm="1">
        <f t="array" ref="K14">_xlfn.XLOOKUP(1,(Cordivari!$A$83:$A$225=K$2)*(Cordivari!$C$83:$C$225=$B6),Cordivari!$I$83:$I$225,"")</f>
        <v>1.331</v>
      </c>
      <c r="L14" s="2" cm="1">
        <f t="array" ref="L14">_xlfn.XLOOKUP(1,(Cordivari!$A$83:$A$225=L$2)*(Cordivari!$C$83:$C$225=$B6),Cordivari!$I$83:$I$225,"")</f>
        <v>1.3320000000000001</v>
      </c>
      <c r="M14" s="2" cm="1">
        <f t="array" ref="M14">_xlfn.XLOOKUP(1,(Cordivari!$A$83:$A$225=M$2)*(Cordivari!$C$83:$C$225=$B6),Cordivari!$I$83:$I$225,"")</f>
        <v>1.3340000000000001</v>
      </c>
      <c r="N14" s="2" cm="1">
        <f t="array" ref="N14">_xlfn.XLOOKUP(1,(Cordivari!$A$83:$A$225=N$2)*(Cordivari!$C$83:$C$225=$B6),Cordivari!$I$83:$I$225,"")</f>
        <v>1.335</v>
      </c>
      <c r="O14" s="2" cm="1">
        <f t="array" ref="O14">_xlfn.XLOOKUP(1,(Cordivari!$A$83:$A$225=O$2)*(Cordivari!$C$83:$C$225=$B6),Cordivari!$I$83:$I$225,"")</f>
        <v>1.335</v>
      </c>
      <c r="P14" s="2" cm="1">
        <f t="array" ref="P14">_xlfn.XLOOKUP(1,(Cordivari!$A$83:$A$225=P$2)*(Cordivari!$C$83:$C$225=$B6),Cordivari!$I$83:$I$225,"")</f>
        <v>1.3380000000000001</v>
      </c>
      <c r="Q14" s="2" cm="1">
        <f t="array" ref="Q14">_xlfn.XLOOKUP(1,(Cordivari!$A$83:$A$225=Q$2)*(Cordivari!$C$83:$C$225=$B6),Cordivari!$I$83:$I$225,"")</f>
        <v>1.3380000000000001</v>
      </c>
      <c r="R14" s="2" cm="1">
        <f t="array" ref="R14">_xlfn.XLOOKUP(1,(Cordivari!$A$83:$A$225=R$2)*(Cordivari!$C$83:$C$225=$B6),Cordivari!$I$83:$I$225,"")</f>
        <v>1.3420000000000001</v>
      </c>
      <c r="S14" s="2" cm="1">
        <f t="array" ref="S14">_xlfn.XLOOKUP(1,(Cordivari!$A$83:$A$225=S$2)*(Cordivari!$C$83:$C$225=$B6),Cordivari!$I$83:$I$225,"")</f>
        <v>1.3480000000000001</v>
      </c>
      <c r="T14" s="2" cm="1">
        <f t="array" ref="T14">_xlfn.XLOOKUP(1,(Cordivari!$A$83:$A$225=T$2)*(Cordivari!$C$83:$C$225=$B6),Cordivari!$I$83:$I$225,"")</f>
        <v>1.3660000000000001</v>
      </c>
      <c r="U14" s="2" cm="1">
        <f t="array" ref="U14">_xlfn.XLOOKUP(1,(Cordivari!$A$83:$A$225=U$2)*(Cordivari!$C$83:$C$225=$B6),Cordivari!$I$83:$I$225,"")</f>
        <v>1.393</v>
      </c>
      <c r="V14" s="2" cm="1">
        <f t="array" ref="V14">_xlfn.XLOOKUP(1,(Cordivari!$A$83:$A$225=V$2)*(Cordivari!$C$83:$C$225=$B6),Cordivari!$I$83:$I$225,"")</f>
        <v>1.381</v>
      </c>
      <c r="W14" s="2" cm="1">
        <f t="array" ref="W14">_xlfn.XLOOKUP(1,(Cordivari!$A$83:$A$225=W$2)*(Cordivari!$C$83:$C$225=$B6),Cordivari!$I$83:$I$225,"")</f>
        <v>1.37</v>
      </c>
      <c r="X14" s="2" cm="1">
        <f t="array" ref="X14">_xlfn.XLOOKUP(1,(Cordivari!$A$83:$A$225=X$2)*(Cordivari!$C$83:$C$225=$B6),Cordivari!$I$83:$I$225,"")</f>
        <v>1.3660000000000001</v>
      </c>
      <c r="Y14" s="2" cm="1">
        <f t="array" ref="Y14">_xlfn.XLOOKUP(1,(Cordivari!$A$83:$A$225=Y$2)*(Cordivari!$C$83:$C$225=$B6),Cordivari!$I$83:$I$225,"")</f>
        <v>1.3560000000000001</v>
      </c>
      <c r="Z14" s="2" cm="1">
        <f t="array" ref="Z14">_xlfn.XLOOKUP(1,(Cordivari!$A$83:$A$225=Z$2)*(Cordivari!$C$83:$C$225=$B6),Cordivari!$I$83:$I$225,"")</f>
        <v>1.351</v>
      </c>
      <c r="AA14" s="2" cm="1">
        <f t="array" ref="AA14">_xlfn.XLOOKUP(1,(Cordivari!$A$83:$A$225=AA$2)*(Cordivari!$C$83:$C$225=$B6),Cordivari!$I$83:$I$225,"")</f>
        <v>1.341</v>
      </c>
      <c r="AB14" s="2" cm="1">
        <f t="array" ref="AB14">_xlfn.XLOOKUP(1,(Cordivari!$A$83:$A$225=AB$2)*(Cordivari!$C$83:$C$225=$B6),Cordivari!$I$83:$I$225,"")</f>
        <v>1.3180000000000001</v>
      </c>
    </row>
    <row r="15" spans="1:29" x14ac:dyDescent="0.2">
      <c r="B15" s="2">
        <f>B7</f>
        <v>230</v>
      </c>
      <c r="C15" s="2" cm="1">
        <f t="array" ref="C15">_xlfn.XLOOKUP(1,(Cordivari!$A$83:$A$225=C$2)*(Cordivari!$C$83:$C$225=$B7),Cordivari!$I$83:$I$225,"")</f>
        <v>1.3180000000000001</v>
      </c>
      <c r="D15" s="2" cm="1">
        <f t="array" ref="D15">_xlfn.XLOOKUP(1,(Cordivari!$A$83:$A$225=D$2)*(Cordivari!$C$83:$C$225=$B7),Cordivari!$I$83:$I$225,"")</f>
        <v>1.3220000000000001</v>
      </c>
      <c r="E15" s="2" cm="1">
        <f t="array" ref="E15">_xlfn.XLOOKUP(1,(Cordivari!$A$83:$A$225=E$2)*(Cordivari!$C$83:$C$225=$B7),Cordivari!$I$83:$I$225,"")</f>
        <v>1.3129999999999999</v>
      </c>
      <c r="F15" s="2" cm="1">
        <f t="array" ref="F15">_xlfn.XLOOKUP(1,(Cordivari!$A$83:$A$225=F$2)*(Cordivari!$C$83:$C$225=$B7),Cordivari!$I$83:$I$225,"")</f>
        <v>1.3049999999999999</v>
      </c>
      <c r="G15" s="2" cm="1">
        <f t="array" ref="G15">_xlfn.XLOOKUP(1,(Cordivari!$A$83:$A$225=G$2)*(Cordivari!$C$83:$C$225=$B7),Cordivari!$I$83:$I$225,"")</f>
        <v>1.3</v>
      </c>
      <c r="H15" s="2" cm="1">
        <f t="array" ref="H15">_xlfn.XLOOKUP(1,(Cordivari!$A$83:$A$225=H$2)*(Cordivari!$C$83:$C$225=$B7),Cordivari!$I$83:$I$225,"")</f>
        <v>1.298</v>
      </c>
      <c r="I15" s="2" cm="1">
        <f t="array" ref="I15">_xlfn.XLOOKUP(1,(Cordivari!$A$83:$A$225=I$2)*(Cordivari!$C$83:$C$225=$B7),Cordivari!$I$83:$I$225,"")</f>
        <v>1.296</v>
      </c>
      <c r="J15" s="2" cm="1">
        <f t="array" ref="J15">_xlfn.XLOOKUP(1,(Cordivari!$A$83:$A$225=J$2)*(Cordivari!$C$83:$C$225=$B7),Cordivari!$I$83:$I$225,"")</f>
        <v>1.294</v>
      </c>
      <c r="K15" s="2" cm="1">
        <f t="array" ref="K15">_xlfn.XLOOKUP(1,(Cordivari!$A$83:$A$225=K$2)*(Cordivari!$C$83:$C$225=$B7),Cordivari!$I$83:$I$225,"")</f>
        <v>1.292</v>
      </c>
      <c r="L15" s="2" cm="1">
        <f t="array" ref="L15">_xlfn.XLOOKUP(1,(Cordivari!$A$83:$A$225=L$2)*(Cordivari!$C$83:$C$225=$B7),Cordivari!$I$83:$I$225,"")</f>
        <v>1.29</v>
      </c>
      <c r="M15" s="2" cm="1">
        <f t="array" ref="M15">_xlfn.XLOOKUP(1,(Cordivari!$A$83:$A$225=M$2)*(Cordivari!$C$83:$C$225=$B7),Cordivari!$I$83:$I$225,"")</f>
        <v>1.284</v>
      </c>
      <c r="N15" s="2" cm="1">
        <f t="array" ref="N15">_xlfn.XLOOKUP(1,(Cordivari!$A$83:$A$225=N$2)*(Cordivari!$C$83:$C$225=$B7),Cordivari!$I$83:$I$225,"")</f>
        <v>1.2829999999999999</v>
      </c>
      <c r="O15" s="2" cm="1">
        <f t="array" ref="O15">_xlfn.XLOOKUP(1,(Cordivari!$A$83:$A$225=O$2)*(Cordivari!$C$83:$C$225=$B7),Cordivari!$I$83:$I$225,"")</f>
        <v>1.2809999999999999</v>
      </c>
      <c r="P15" s="2" cm="1">
        <f t="array" ref="P15">_xlfn.XLOOKUP(1,(Cordivari!$A$83:$A$225=P$2)*(Cordivari!$C$83:$C$225=$B7),Cordivari!$I$83:$I$225,"")</f>
        <v>1.2749999999999999</v>
      </c>
      <c r="Q15" s="2" cm="1">
        <f t="array" ref="Q15">_xlfn.XLOOKUP(1,(Cordivari!$A$83:$A$225=Q$2)*(Cordivari!$C$83:$C$225=$B7),Cordivari!$I$83:$I$225,"")</f>
        <v>1.2729999999999999</v>
      </c>
      <c r="R15" s="2" cm="1">
        <f t="array" ref="R15">_xlfn.XLOOKUP(1,(Cordivari!$A$83:$A$225=R$2)*(Cordivari!$C$83:$C$225=$B7),Cordivari!$I$83:$I$225,"")</f>
        <v>1.2769999999999999</v>
      </c>
      <c r="S15" s="2" cm="1">
        <f t="array" ref="S15">_xlfn.XLOOKUP(1,(Cordivari!$A$83:$A$225=S$2)*(Cordivari!$C$83:$C$225=$B7),Cordivari!$I$83:$I$225,"")</f>
        <v>1.296</v>
      </c>
      <c r="T15" s="2" cm="1">
        <f t="array" ref="T15">_xlfn.XLOOKUP(1,(Cordivari!$A$83:$A$225=T$2)*(Cordivari!$C$83:$C$225=$B7),Cordivari!$I$83:$I$225,"")</f>
        <v>1.345</v>
      </c>
      <c r="U15" s="2" cm="1">
        <f t="array" ref="U15">_xlfn.XLOOKUP(1,(Cordivari!$A$83:$A$225=U$2)*(Cordivari!$C$83:$C$225=$B7),Cordivari!$I$83:$I$225,"")</f>
        <v>1.4179999999999999</v>
      </c>
      <c r="V15" s="2" cm="1">
        <f t="array" ref="V15">_xlfn.XLOOKUP(1,(Cordivari!$A$83:$A$225=V$2)*(Cordivari!$C$83:$C$225=$B7),Cordivari!$I$83:$I$225,"")</f>
        <v>1.407</v>
      </c>
      <c r="W15" s="2" cm="1">
        <f t="array" ref="W15">_xlfn.XLOOKUP(1,(Cordivari!$A$83:$A$225=W$2)*(Cordivari!$C$83:$C$225=$B7),Cordivari!$I$83:$I$225,"")</f>
        <v>1.3959999999999999</v>
      </c>
      <c r="X15" s="2" cm="1">
        <f t="array" ref="X15">_xlfn.XLOOKUP(1,(Cordivari!$A$83:$A$225=X$2)*(Cordivari!$C$83:$C$225=$B7),Cordivari!$I$83:$I$225,"")</f>
        <v>1.3919999999999999</v>
      </c>
      <c r="Y15" s="2" cm="1">
        <f t="array" ref="Y15">_xlfn.XLOOKUP(1,(Cordivari!$A$83:$A$225=Y$2)*(Cordivari!$C$83:$C$225=$B7),Cordivari!$I$83:$I$225,"")</f>
        <v>1.3819999999999999</v>
      </c>
      <c r="Z15" s="2" cm="1">
        <f t="array" ref="Z15">_xlfn.XLOOKUP(1,(Cordivari!$A$83:$A$225=Z$2)*(Cordivari!$C$83:$C$225=$B7),Cordivari!$I$83:$I$225,"")</f>
        <v>1.3779999999999999</v>
      </c>
      <c r="AA15" s="2" cm="1">
        <f t="array" ref="AA15">_xlfn.XLOOKUP(1,(Cordivari!$A$83:$A$225=AA$2)*(Cordivari!$C$83:$C$225=$B7),Cordivari!$I$83:$I$225,"")</f>
        <v>1.367</v>
      </c>
      <c r="AB15" s="2" cm="1">
        <f t="array" ref="AB15">_xlfn.XLOOKUP(1,(Cordivari!$A$83:$A$225=AB$2)*(Cordivari!$C$83:$C$225=$B7),Cordivari!$I$83:$I$225,"")</f>
        <v>1.345</v>
      </c>
    </row>
    <row r="16" spans="1:29" x14ac:dyDescent="0.2">
      <c r="M16"/>
      <c r="N16"/>
      <c r="O16"/>
      <c r="P16"/>
      <c r="Q16"/>
    </row>
    <row r="17" spans="1:28" ht="26.25" x14ac:dyDescent="0.25">
      <c r="A17" s="57" t="s">
        <v>151</v>
      </c>
      <c r="C17" s="4" t="s">
        <v>2</v>
      </c>
      <c r="M17"/>
      <c r="N17"/>
      <c r="O17"/>
      <c r="P17"/>
      <c r="Q17"/>
    </row>
    <row r="18" spans="1:28" ht="12.75" customHeight="1" x14ac:dyDescent="0.2">
      <c r="A18" s="1" t="s">
        <v>152</v>
      </c>
      <c r="C18" s="5">
        <f t="shared" ref="C18:AB18" si="1">C$2</f>
        <v>207</v>
      </c>
      <c r="D18" s="5">
        <f t="shared" si="1"/>
        <v>300</v>
      </c>
      <c r="E18" s="5">
        <f t="shared" si="1"/>
        <v>400</v>
      </c>
      <c r="F18" s="5">
        <f t="shared" si="1"/>
        <v>500</v>
      </c>
      <c r="G18" s="5">
        <f t="shared" si="1"/>
        <v>556</v>
      </c>
      <c r="H18" s="5">
        <f t="shared" si="1"/>
        <v>586</v>
      </c>
      <c r="I18" s="5">
        <f t="shared" si="1"/>
        <v>600</v>
      </c>
      <c r="J18" s="5">
        <f t="shared" si="1"/>
        <v>626</v>
      </c>
      <c r="K18" s="5">
        <f t="shared" si="1"/>
        <v>656</v>
      </c>
      <c r="L18" s="5">
        <f t="shared" si="1"/>
        <v>676</v>
      </c>
      <c r="M18" s="5">
        <f t="shared" si="1"/>
        <v>750</v>
      </c>
      <c r="N18" s="5">
        <f t="shared" si="1"/>
        <v>756</v>
      </c>
      <c r="O18" s="5">
        <f t="shared" si="1"/>
        <v>786</v>
      </c>
      <c r="P18" s="5">
        <f t="shared" si="1"/>
        <v>856</v>
      </c>
      <c r="Q18" s="5">
        <f t="shared" si="1"/>
        <v>876</v>
      </c>
      <c r="R18" s="5">
        <f t="shared" si="1"/>
        <v>926</v>
      </c>
      <c r="S18" s="5">
        <f t="shared" si="1"/>
        <v>1000</v>
      </c>
      <c r="T18" s="5">
        <f t="shared" si="1"/>
        <v>1200</v>
      </c>
      <c r="U18" s="5">
        <f t="shared" si="1"/>
        <v>1500</v>
      </c>
      <c r="V18" s="5">
        <f t="shared" si="1"/>
        <v>1656</v>
      </c>
      <c r="W18" s="5">
        <f t="shared" si="1"/>
        <v>1800</v>
      </c>
      <c r="X18" s="5">
        <f t="shared" si="1"/>
        <v>1856</v>
      </c>
      <c r="Y18" s="5">
        <f t="shared" si="1"/>
        <v>2000</v>
      </c>
      <c r="Z18" s="5">
        <f t="shared" si="1"/>
        <v>2056</v>
      </c>
      <c r="AA18" s="5">
        <f t="shared" si="1"/>
        <v>2200</v>
      </c>
      <c r="AB18" s="5">
        <f t="shared" si="1"/>
        <v>2500</v>
      </c>
    </row>
    <row r="19" spans="1:28" ht="13.5" customHeight="1" x14ac:dyDescent="0.25">
      <c r="A19" s="4" t="s">
        <v>3</v>
      </c>
      <c r="B19" s="2">
        <f>B3</f>
        <v>66</v>
      </c>
      <c r="C19" s="2" cm="1">
        <f t="array" ref="C19">_xlfn.XLOOKUP(1,(Cordivari!$A$83:$A$225=C$2)*(Cordivari!$C$83:$C$225=$B3),Cordivari!$H$83:$H$225,"")</f>
        <v>0.35</v>
      </c>
      <c r="D19" s="2" cm="1">
        <f t="array" ref="D19">_xlfn.XLOOKUP(1,(Cordivari!$A$83:$A$225=D$2)*(Cordivari!$C$83:$C$225=$B3),Cordivari!$H$83:$H$225,"")</f>
        <v>0.49</v>
      </c>
      <c r="E19" s="2" cm="1">
        <f t="array" ref="E19">_xlfn.XLOOKUP(1,(Cordivari!$A$83:$A$225=E$2)*(Cordivari!$C$83:$C$225=$B3),Cordivari!$H$83:$H$225,"")</f>
        <v>0.63</v>
      </c>
      <c r="F19" s="2" cm="1">
        <f t="array" ref="F19">_xlfn.XLOOKUP(1,(Cordivari!$A$83:$A$225=F$2)*(Cordivari!$C$83:$C$225=$B3),Cordivari!$H$83:$H$225,"")</f>
        <v>0.77</v>
      </c>
      <c r="G19" s="2" cm="1">
        <f t="array" ref="G19">_xlfn.XLOOKUP(1,(Cordivari!$A$83:$A$225=G$2)*(Cordivari!$C$83:$C$225=$B3),Cordivari!$H$83:$H$225,"")</f>
        <v>0.85</v>
      </c>
      <c r="H19" s="2" cm="1">
        <f t="array" ref="H19">_xlfn.XLOOKUP(1,(Cordivari!$A$83:$A$225=H$2)*(Cordivari!$C$83:$C$225=$B3),Cordivari!$H$83:$H$225,"")</f>
        <v>0.89</v>
      </c>
      <c r="I19" s="2" cm="1">
        <f t="array" ref="I19">_xlfn.XLOOKUP(1,(Cordivari!$A$83:$A$225=I$2)*(Cordivari!$C$83:$C$225=$B3),Cordivari!$H$83:$H$225,"")</f>
        <v>0.91</v>
      </c>
      <c r="J19" s="2" cm="1">
        <f t="array" ref="J19">_xlfn.XLOOKUP(1,(Cordivari!$A$83:$A$225=J$2)*(Cordivari!$C$83:$C$225=$B3),Cordivari!$H$83:$H$225,"")</f>
        <v>0.95</v>
      </c>
      <c r="K19" s="2" cm="1">
        <f t="array" ref="K19">_xlfn.XLOOKUP(1,(Cordivari!$A$83:$A$225=K$2)*(Cordivari!$C$83:$C$225=$B3),Cordivari!$H$83:$H$225,"")</f>
        <v>0.99</v>
      </c>
      <c r="L19" s="2" cm="1">
        <f t="array" ref="L19">_xlfn.XLOOKUP(1,(Cordivari!$A$83:$A$225=L$2)*(Cordivari!$C$83:$C$225=$B3),Cordivari!$H$83:$H$225,"")</f>
        <v>1.02</v>
      </c>
      <c r="M19" s="2" cm="1">
        <f t="array" ref="M19">_xlfn.XLOOKUP(1,(Cordivari!$A$83:$A$225=M$2)*(Cordivari!$C$83:$C$225=$B3),Cordivari!$H$83:$H$225,"")</f>
        <v>1.1200000000000001</v>
      </c>
      <c r="N19" s="2" cm="1">
        <f t="array" ref="N19">_xlfn.XLOOKUP(1,(Cordivari!$A$83:$A$225=N$2)*(Cordivari!$C$83:$C$225=$B3),Cordivari!$H$83:$H$225,"")</f>
        <v>1.1299999999999999</v>
      </c>
      <c r="O19" s="2" cm="1">
        <f t="array" ref="O19">_xlfn.XLOOKUP(1,(Cordivari!$A$83:$A$225=O$2)*(Cordivari!$C$83:$C$225=$B3),Cordivari!$H$83:$H$225,"")</f>
        <v>1.18</v>
      </c>
      <c r="P19" s="2" cm="1">
        <f t="array" ref="P19">_xlfn.XLOOKUP(1,(Cordivari!$A$83:$A$225=P$2)*(Cordivari!$C$83:$C$225=$B3),Cordivari!$H$83:$H$225,"")</f>
        <v>1.27</v>
      </c>
      <c r="Q19" s="2" cm="1">
        <f t="array" ref="Q19">_xlfn.XLOOKUP(1,(Cordivari!$A$83:$A$225=Q$2)*(Cordivari!$C$83:$C$225=$B3),Cordivari!$H$83:$H$225,"")</f>
        <v>1.3</v>
      </c>
      <c r="R19" s="2" cm="1">
        <f t="array" ref="R19">_xlfn.XLOOKUP(1,(Cordivari!$A$83:$A$225=R$2)*(Cordivari!$C$83:$C$225=$B3),Cordivari!$H$83:$H$225,"")</f>
        <v>1.29</v>
      </c>
      <c r="S19" s="2" cm="1">
        <f t="array" ref="S19">_xlfn.XLOOKUP(1,(Cordivari!$A$83:$A$225=S$2)*(Cordivari!$C$83:$C$225=$B3),Cordivari!$H$83:$H$225,"")</f>
        <v>1.48</v>
      </c>
      <c r="T19" s="2" cm="1">
        <f t="array" ref="T19">_xlfn.XLOOKUP(1,(Cordivari!$A$83:$A$225=T$2)*(Cordivari!$C$83:$C$225=$B3),Cordivari!$H$83:$H$225,"")</f>
        <v>1.76</v>
      </c>
      <c r="U19" s="2" cm="1">
        <f t="array" ref="U19">_xlfn.XLOOKUP(1,(Cordivari!$A$83:$A$225=U$2)*(Cordivari!$C$83:$C$225=$B3),Cordivari!$H$83:$H$225,"")</f>
        <v>2.1800000000000002</v>
      </c>
      <c r="V19" s="2" cm="1">
        <f t="array" ref="V19">_xlfn.XLOOKUP(1,(Cordivari!$A$83:$A$225=V$2)*(Cordivari!$C$83:$C$225=$B3),Cordivari!$H$83:$H$225,"")</f>
        <v>2.4</v>
      </c>
      <c r="W19" s="2" cm="1">
        <f t="array" ref="W19">_xlfn.XLOOKUP(1,(Cordivari!$A$83:$A$225=W$2)*(Cordivari!$C$83:$C$225=$B3),Cordivari!$H$83:$H$225,"")</f>
        <v>2.6</v>
      </c>
      <c r="X19" s="2" cm="1">
        <f t="array" ref="X19">_xlfn.XLOOKUP(1,(Cordivari!$A$83:$A$225=X$2)*(Cordivari!$C$83:$C$225=$B3),Cordivari!$H$83:$H$225,"")</f>
        <v>2.69</v>
      </c>
      <c r="Y19" s="2" cm="1">
        <f t="array" ref="Y19">_xlfn.XLOOKUP(1,(Cordivari!$A$83:$A$225=Y$2)*(Cordivari!$C$83:$C$225=$B3),Cordivari!$H$83:$H$225,"")</f>
        <v>2.89</v>
      </c>
      <c r="Z19" s="2" cm="1">
        <f t="array" ref="Z19">_xlfn.XLOOKUP(1,(Cordivari!$A$83:$A$225=Z$2)*(Cordivari!$C$83:$C$225=$B3),Cordivari!$H$83:$H$225,"")</f>
        <v>2.98</v>
      </c>
      <c r="AA19" s="2" cm="1">
        <f t="array" ref="AA19">_xlfn.XLOOKUP(1,(Cordivari!$A$83:$A$225=AA$2)*(Cordivari!$C$83:$C$225=$B3),Cordivari!$H$83:$H$225,"")</f>
        <v>3.17</v>
      </c>
      <c r="AB19" s="2" cm="1">
        <f t="array" ref="AB19">_xlfn.XLOOKUP(1,(Cordivari!$A$83:$A$225=AB$2)*(Cordivari!$C$83:$C$225=$B3),Cordivari!$H$83:$H$225,"")</f>
        <v>3.59</v>
      </c>
    </row>
    <row r="20" spans="1:28" ht="12.75" customHeight="1" x14ac:dyDescent="0.2">
      <c r="B20" s="2">
        <f>B4</f>
        <v>107</v>
      </c>
      <c r="C20" s="2" cm="1">
        <f t="array" ref="C20">_xlfn.XLOOKUP(1,(Cordivari!$A$83:$A$225=C$2)*(Cordivari!$C$83:$C$225=$B4),Cordivari!$H$83:$H$225,"")</f>
        <v>0.53</v>
      </c>
      <c r="D20" s="2" cm="1">
        <f t="array" ref="D20">_xlfn.XLOOKUP(1,(Cordivari!$A$83:$A$225=D$2)*(Cordivari!$C$83:$C$225=$B4),Cordivari!$H$83:$H$225,"")</f>
        <v>0.74</v>
      </c>
      <c r="E20" s="2" cm="1">
        <f t="array" ref="E20">_xlfn.XLOOKUP(1,(Cordivari!$A$83:$A$225=E$2)*(Cordivari!$C$83:$C$225=$B4),Cordivari!$H$83:$H$225,"")</f>
        <v>0.95</v>
      </c>
      <c r="F20" s="2" cm="1">
        <f t="array" ref="F20">_xlfn.XLOOKUP(1,(Cordivari!$A$83:$A$225=F$2)*(Cordivari!$C$83:$C$225=$B4),Cordivari!$H$83:$H$225,"")</f>
        <v>1.1599999999999999</v>
      </c>
      <c r="G20" s="2" cm="1">
        <f t="array" ref="G20">_xlfn.XLOOKUP(1,(Cordivari!$A$83:$A$225=G$2)*(Cordivari!$C$83:$C$225=$B4),Cordivari!$H$83:$H$225,"")</f>
        <v>1.28</v>
      </c>
      <c r="H20" s="2" cm="1">
        <f t="array" ref="H20">_xlfn.XLOOKUP(1,(Cordivari!$A$83:$A$225=H$2)*(Cordivari!$C$83:$C$225=$B4),Cordivari!$H$83:$H$225,"")</f>
        <v>1.34</v>
      </c>
      <c r="I20" s="2" cm="1">
        <f t="array" ref="I20">_xlfn.XLOOKUP(1,(Cordivari!$A$83:$A$225=I$2)*(Cordivari!$C$83:$C$225=$B4),Cordivari!$H$83:$H$225,"")</f>
        <v>1.37</v>
      </c>
      <c r="J20" s="2" cm="1">
        <f t="array" ref="J20">_xlfn.XLOOKUP(1,(Cordivari!$A$83:$A$225=J$2)*(Cordivari!$C$83:$C$225=$B4),Cordivari!$H$83:$H$225,"")</f>
        <v>1.43</v>
      </c>
      <c r="K20" s="2" cm="1">
        <f t="array" ref="K20">_xlfn.XLOOKUP(1,(Cordivari!$A$83:$A$225=K$2)*(Cordivari!$C$83:$C$225=$B4),Cordivari!$H$83:$H$225,"")</f>
        <v>1.49</v>
      </c>
      <c r="L20" s="2" cm="1">
        <f t="array" ref="L20">_xlfn.XLOOKUP(1,(Cordivari!$A$83:$A$225=L$2)*(Cordivari!$C$83:$C$225=$B4),Cordivari!$H$83:$H$225,"")</f>
        <v>1.53</v>
      </c>
      <c r="M20" s="2" cm="1">
        <f t="array" ref="M20">_xlfn.XLOOKUP(1,(Cordivari!$A$83:$A$225=M$2)*(Cordivari!$C$83:$C$225=$B4),Cordivari!$H$83:$H$225,"")</f>
        <v>1.69</v>
      </c>
      <c r="N20" s="2" cm="1">
        <f t="array" ref="N20">_xlfn.XLOOKUP(1,(Cordivari!$A$83:$A$225=N$2)*(Cordivari!$C$83:$C$225=$B4),Cordivari!$H$83:$H$225,"")</f>
        <v>1.7</v>
      </c>
      <c r="O20" s="2" cm="1">
        <f t="array" ref="O20">_xlfn.XLOOKUP(1,(Cordivari!$A$83:$A$225=O$2)*(Cordivari!$C$83:$C$225=$B4),Cordivari!$H$83:$H$225,"")</f>
        <v>1.77</v>
      </c>
      <c r="P20" s="2" cm="1">
        <f t="array" ref="P20">_xlfn.XLOOKUP(1,(Cordivari!$A$83:$A$225=P$2)*(Cordivari!$C$83:$C$225=$B4),Cordivari!$H$83:$H$225,"")</f>
        <v>1.91</v>
      </c>
      <c r="Q20" s="2" cm="1">
        <f t="array" ref="Q20">_xlfn.XLOOKUP(1,(Cordivari!$A$83:$A$225=Q$2)*(Cordivari!$C$83:$C$225=$B4),Cordivari!$H$83:$H$225,"")</f>
        <v>1.96</v>
      </c>
      <c r="R20" s="2" cm="1">
        <f t="array" ref="R20">_xlfn.XLOOKUP(1,(Cordivari!$A$83:$A$225=R$2)*(Cordivari!$C$83:$C$225=$B4),Cordivari!$H$83:$H$225,"")</f>
        <v>1.95</v>
      </c>
      <c r="S20" s="2" cm="1">
        <f t="array" ref="S20">_xlfn.XLOOKUP(1,(Cordivari!$A$83:$A$225=S$2)*(Cordivari!$C$83:$C$225=$B4),Cordivari!$H$83:$H$225,"")</f>
        <v>2.2200000000000002</v>
      </c>
      <c r="T20" s="2" cm="1">
        <f t="array" ref="T20">_xlfn.XLOOKUP(1,(Cordivari!$A$83:$A$225=T$2)*(Cordivari!$C$83:$C$225=$B4),Cordivari!$H$83:$H$225,"")</f>
        <v>2.64</v>
      </c>
      <c r="U20" s="2" cm="1">
        <f t="array" ref="U20">_xlfn.XLOOKUP(1,(Cordivari!$A$83:$A$225=U$2)*(Cordivari!$C$83:$C$225=$B4),Cordivari!$H$83:$H$225,"")</f>
        <v>3.28</v>
      </c>
      <c r="V20" s="2" cm="1">
        <f t="array" ref="V20">_xlfn.XLOOKUP(1,(Cordivari!$A$83:$A$225=V$2)*(Cordivari!$C$83:$C$225=$B4),Cordivari!$H$83:$H$225,"")</f>
        <v>3.61</v>
      </c>
      <c r="W20" s="2" cm="1">
        <f t="array" ref="W20">_xlfn.XLOOKUP(1,(Cordivari!$A$83:$A$225=W$2)*(Cordivari!$C$83:$C$225=$B4),Cordivari!$H$83:$H$225,"")</f>
        <v>3.91</v>
      </c>
      <c r="X20" s="2" cm="1">
        <f t="array" ref="X20">_xlfn.XLOOKUP(1,(Cordivari!$A$83:$A$225=X$2)*(Cordivari!$C$83:$C$225=$B4),Cordivari!$H$83:$H$225,"")</f>
        <v>4.04</v>
      </c>
      <c r="Y20" s="2" cm="1">
        <f t="array" ref="Y20">_xlfn.XLOOKUP(1,(Cordivari!$A$83:$A$225=Y$2)*(Cordivari!$C$83:$C$225=$B4),Cordivari!$H$83:$H$225,"")</f>
        <v>4.33</v>
      </c>
      <c r="Z20" s="2" cm="1">
        <f t="array" ref="Z20">_xlfn.XLOOKUP(1,(Cordivari!$A$83:$A$225=Z$2)*(Cordivari!$C$83:$C$225=$B4),Cordivari!$H$83:$H$225,"")</f>
        <v>4.47</v>
      </c>
      <c r="AA20" s="2" cm="1">
        <f t="array" ref="AA20">_xlfn.XLOOKUP(1,(Cordivari!$A$83:$A$225=AA$2)*(Cordivari!$C$83:$C$225=$B4),Cordivari!$H$83:$H$225,"")</f>
        <v>4.76</v>
      </c>
      <c r="AB20" s="2" cm="1">
        <f t="array" ref="AB20">_xlfn.XLOOKUP(1,(Cordivari!$A$83:$A$225=AB$2)*(Cordivari!$C$83:$C$225=$B4),Cordivari!$H$83:$H$225,"")</f>
        <v>5.39</v>
      </c>
    </row>
    <row r="21" spans="1:28" ht="12.75" customHeight="1" x14ac:dyDescent="0.2">
      <c r="B21" s="2">
        <f>B5</f>
        <v>148</v>
      </c>
      <c r="C21" s="2" cm="1">
        <f t="array" ref="C21">_xlfn.XLOOKUP(1,(Cordivari!$A$83:$A$225=C$2)*(Cordivari!$C$83:$C$225=$B5),Cordivari!$H$83:$H$225,"")</f>
        <v>0.71</v>
      </c>
      <c r="D21" s="2" cm="1">
        <f t="array" ref="D21">_xlfn.XLOOKUP(1,(Cordivari!$A$83:$A$225=D$2)*(Cordivari!$C$83:$C$225=$B5),Cordivari!$H$83:$H$225,"")</f>
        <v>0.99</v>
      </c>
      <c r="E21" s="2" cm="1">
        <f t="array" ref="E21">_xlfn.XLOOKUP(1,(Cordivari!$A$83:$A$225=E$2)*(Cordivari!$C$83:$C$225=$B5),Cordivari!$H$83:$H$225,"")</f>
        <v>1.27</v>
      </c>
      <c r="F21" s="2" cm="1">
        <f t="array" ref="F21">_xlfn.XLOOKUP(1,(Cordivari!$A$83:$A$225=F$2)*(Cordivari!$C$83:$C$225=$B5),Cordivari!$H$83:$H$225,"")</f>
        <v>1.55</v>
      </c>
      <c r="G21" s="2" cm="1">
        <f t="array" ref="G21">_xlfn.XLOOKUP(1,(Cordivari!$A$83:$A$225=G$2)*(Cordivari!$C$83:$C$225=$B5),Cordivari!$H$83:$H$225,"")</f>
        <v>1.71</v>
      </c>
      <c r="H21" s="2" cm="1">
        <f t="array" ref="H21">_xlfn.XLOOKUP(1,(Cordivari!$A$83:$A$225=H$2)*(Cordivari!$C$83:$C$225=$B5),Cordivari!$H$83:$H$225,"")</f>
        <v>1.79</v>
      </c>
      <c r="I21" s="2" cm="1">
        <f t="array" ref="I21">_xlfn.XLOOKUP(1,(Cordivari!$A$83:$A$225=I$2)*(Cordivari!$C$83:$C$225=$B5),Cordivari!$H$83:$H$225,"")</f>
        <v>1.84</v>
      </c>
      <c r="J21" s="2" cm="1">
        <f t="array" ref="J21">_xlfn.XLOOKUP(1,(Cordivari!$A$83:$A$225=J$2)*(Cordivari!$C$83:$C$225=$B5),Cordivari!$H$83:$H$225,"")</f>
        <v>1.91</v>
      </c>
      <c r="K21" s="2" cm="1">
        <f t="array" ref="K21">_xlfn.XLOOKUP(1,(Cordivari!$A$83:$A$225=K$2)*(Cordivari!$C$83:$C$225=$B5),Cordivari!$H$83:$H$225,"")</f>
        <v>1.99</v>
      </c>
      <c r="L21" s="2" cm="1">
        <f t="array" ref="L21">_xlfn.XLOOKUP(1,(Cordivari!$A$83:$A$225=L$2)*(Cordivari!$C$83:$C$225=$B5),Cordivari!$H$83:$H$225,"")</f>
        <v>2.0499999999999998</v>
      </c>
      <c r="M21" s="2" cm="1">
        <f t="array" ref="M21">_xlfn.XLOOKUP(1,(Cordivari!$A$83:$A$225=M$2)*(Cordivari!$C$83:$C$225=$B5),Cordivari!$H$83:$H$225,"")</f>
        <v>2.2599999999999998</v>
      </c>
      <c r="N21" s="2" cm="1">
        <f t="array" ref="N21">_xlfn.XLOOKUP(1,(Cordivari!$A$83:$A$225=N$2)*(Cordivari!$C$83:$C$225=$B5),Cordivari!$H$83:$H$225,"")</f>
        <v>2.2799999999999998</v>
      </c>
      <c r="O21" s="2" cm="1">
        <f t="array" ref="O21">_xlfn.XLOOKUP(1,(Cordivari!$A$83:$A$225=O$2)*(Cordivari!$C$83:$C$225=$B5),Cordivari!$H$83:$H$225,"")</f>
        <v>2.37</v>
      </c>
      <c r="P21" s="2" cm="1">
        <f t="array" ref="P21">_xlfn.XLOOKUP(1,(Cordivari!$A$83:$A$225=P$2)*(Cordivari!$C$83:$C$225=$B5),Cordivari!$H$83:$H$225,"")</f>
        <v>2.56</v>
      </c>
      <c r="Q21" s="2" cm="1">
        <f t="array" ref="Q21">_xlfn.XLOOKUP(1,(Cordivari!$A$83:$A$225=Q$2)*(Cordivari!$C$83:$C$225=$B5),Cordivari!$H$83:$H$225,"")</f>
        <v>2.61</v>
      </c>
      <c r="R21" s="2" cm="1">
        <f t="array" ref="R21">_xlfn.XLOOKUP(1,(Cordivari!$A$83:$A$225=R$2)*(Cordivari!$C$83:$C$225=$B5),Cordivari!$H$83:$H$225,"")</f>
        <v>2.6</v>
      </c>
      <c r="S21" s="2" cm="1">
        <f t="array" ref="S21">_xlfn.XLOOKUP(1,(Cordivari!$A$83:$A$225=S$2)*(Cordivari!$C$83:$C$225=$B5),Cordivari!$H$83:$H$225,"")</f>
        <v>2.96</v>
      </c>
      <c r="T21" s="2" cm="1">
        <f t="array" ref="T21">_xlfn.XLOOKUP(1,(Cordivari!$A$83:$A$225=T$2)*(Cordivari!$C$83:$C$225=$B5),Cordivari!$H$83:$H$225,"")</f>
        <v>3.53</v>
      </c>
      <c r="U21" s="2" cm="1">
        <f t="array" ref="U21">_xlfn.XLOOKUP(1,(Cordivari!$A$83:$A$225=U$2)*(Cordivari!$C$83:$C$225=$B5),Cordivari!$H$83:$H$225,"")</f>
        <v>4.37</v>
      </c>
      <c r="V21" s="2" cm="1">
        <f t="array" ref="V21">_xlfn.XLOOKUP(1,(Cordivari!$A$83:$A$225=V$2)*(Cordivari!$C$83:$C$225=$B5),Cordivari!$H$83:$H$225,"")</f>
        <v>4.8099999999999996</v>
      </c>
      <c r="W21" s="2" cm="1">
        <f t="array" ref="W21">_xlfn.XLOOKUP(1,(Cordivari!$A$83:$A$225=W$2)*(Cordivari!$C$83:$C$225=$B5),Cordivari!$H$83:$H$225,"")</f>
        <v>5.22</v>
      </c>
      <c r="X21" s="2" cm="1">
        <f t="array" ref="X21">_xlfn.XLOOKUP(1,(Cordivari!$A$83:$A$225=X$2)*(Cordivari!$C$83:$C$225=$B5),Cordivari!$H$83:$H$225,"")</f>
        <v>5.4</v>
      </c>
      <c r="Y21" s="2" cm="1">
        <f t="array" ref="Y21">_xlfn.XLOOKUP(1,(Cordivari!$A$83:$A$225=Y$2)*(Cordivari!$C$83:$C$225=$B5),Cordivari!$H$83:$H$225,"")</f>
        <v>5.78</v>
      </c>
      <c r="Z21" s="2" cm="1">
        <f t="array" ref="Z21">_xlfn.XLOOKUP(1,(Cordivari!$A$83:$A$225=Z$2)*(Cordivari!$C$83:$C$225=$B5),Cordivari!$H$83:$H$225,"")</f>
        <v>5.96</v>
      </c>
      <c r="AA21" s="2" cm="1">
        <f t="array" ref="AA21">_xlfn.XLOOKUP(1,(Cordivari!$A$83:$A$225=AA$2)*(Cordivari!$C$83:$C$225=$B5),Cordivari!$H$83:$H$225,"")</f>
        <v>6.35</v>
      </c>
      <c r="AB21" s="2" cm="1">
        <f t="array" ref="AB21">_xlfn.XLOOKUP(1,(Cordivari!$A$83:$A$225=AB$2)*(Cordivari!$C$83:$C$225=$B5),Cordivari!$H$83:$H$225,"")</f>
        <v>7.19</v>
      </c>
    </row>
    <row r="22" spans="1:28" ht="12.75" customHeight="1" x14ac:dyDescent="0.2">
      <c r="B22" s="2">
        <f>B6</f>
        <v>189</v>
      </c>
      <c r="C22" s="2" cm="1">
        <f t="array" ref="C22">_xlfn.XLOOKUP(1,(Cordivari!$A$83:$A$225=C$2)*(Cordivari!$C$83:$C$225=$B6),Cordivari!$H$83:$H$225,"")</f>
        <v>0.89</v>
      </c>
      <c r="D22" s="2" cm="1">
        <f t="array" ref="D22">_xlfn.XLOOKUP(1,(Cordivari!$A$83:$A$225=D$2)*(Cordivari!$C$83:$C$225=$B6),Cordivari!$H$83:$H$225,"")</f>
        <v>1.24</v>
      </c>
      <c r="E22" s="2" cm="1">
        <f t="array" ref="E22">_xlfn.XLOOKUP(1,(Cordivari!$A$83:$A$225=E$2)*(Cordivari!$C$83:$C$225=$B6),Cordivari!$H$83:$H$225,"")</f>
        <v>1.59</v>
      </c>
      <c r="F22" s="2" cm="1">
        <f t="array" ref="F22">_xlfn.XLOOKUP(1,(Cordivari!$A$83:$A$225=F$2)*(Cordivari!$C$83:$C$225=$B6),Cordivari!$H$83:$H$225,"")</f>
        <v>1.95</v>
      </c>
      <c r="G22" s="2" cm="1">
        <f t="array" ref="G22">_xlfn.XLOOKUP(1,(Cordivari!$A$83:$A$225=G$2)*(Cordivari!$C$83:$C$225=$B6),Cordivari!$H$83:$H$225,"")</f>
        <v>2.14</v>
      </c>
      <c r="H22" s="2" cm="1">
        <f t="array" ref="H22">_xlfn.XLOOKUP(1,(Cordivari!$A$83:$A$225=H$2)*(Cordivari!$C$83:$C$225=$B6),Cordivari!$H$83:$H$225,"")</f>
        <v>2.2400000000000002</v>
      </c>
      <c r="I22" s="2" cm="1">
        <f t="array" ref="I22">_xlfn.XLOOKUP(1,(Cordivari!$A$83:$A$225=I$2)*(Cordivari!$C$83:$C$225=$B6),Cordivari!$H$83:$H$225,"")</f>
        <v>2.2999999999999998</v>
      </c>
      <c r="J22" s="2" cm="1">
        <f t="array" ref="J22">_xlfn.XLOOKUP(1,(Cordivari!$A$83:$A$225=J$2)*(Cordivari!$C$83:$C$225=$B6),Cordivari!$H$83:$H$225,"")</f>
        <v>2.39</v>
      </c>
      <c r="K22" s="2" cm="1">
        <f t="array" ref="K22">_xlfn.XLOOKUP(1,(Cordivari!$A$83:$A$225=K$2)*(Cordivari!$C$83:$C$225=$B6),Cordivari!$H$83:$H$225,"")</f>
        <v>2.5</v>
      </c>
      <c r="L22" s="2" cm="1">
        <f t="array" ref="L22">_xlfn.XLOOKUP(1,(Cordivari!$A$83:$A$225=L$2)*(Cordivari!$C$83:$C$225=$B6),Cordivari!$H$83:$H$225,"")</f>
        <v>2.57</v>
      </c>
      <c r="M22" s="2" cm="1">
        <f t="array" ref="M22">_xlfn.XLOOKUP(1,(Cordivari!$A$83:$A$225=M$2)*(Cordivari!$C$83:$C$225=$B6),Cordivari!$H$83:$H$225,"")</f>
        <v>2.83</v>
      </c>
      <c r="N22" s="2" cm="1">
        <f t="array" ref="N22">_xlfn.XLOOKUP(1,(Cordivari!$A$83:$A$225=N$2)*(Cordivari!$C$83:$C$225=$B6),Cordivari!$H$83:$H$225,"")</f>
        <v>2.85</v>
      </c>
      <c r="O22" s="2" cm="1">
        <f t="array" ref="O22">_xlfn.XLOOKUP(1,(Cordivari!$A$83:$A$225=O$2)*(Cordivari!$C$83:$C$225=$B6),Cordivari!$H$83:$H$225,"")</f>
        <v>2.97</v>
      </c>
      <c r="P22" s="2" cm="1">
        <f t="array" ref="P22">_xlfn.XLOOKUP(1,(Cordivari!$A$83:$A$225=P$2)*(Cordivari!$C$83:$C$225=$B6),Cordivari!$H$83:$H$225,"")</f>
        <v>3.2</v>
      </c>
      <c r="Q22" s="2" cm="1">
        <f t="array" ref="Q22">_xlfn.XLOOKUP(1,(Cordivari!$A$83:$A$225=Q$2)*(Cordivari!$C$83:$C$225=$B6),Cordivari!$H$83:$H$225,"")</f>
        <v>3.27</v>
      </c>
      <c r="R22" s="2" cm="1">
        <f t="array" ref="R22">_xlfn.XLOOKUP(1,(Cordivari!$A$83:$A$225=R$2)*(Cordivari!$C$83:$C$225=$B6),Cordivari!$H$83:$H$225,"")</f>
        <v>3.26</v>
      </c>
      <c r="S22" s="2" cm="1">
        <f t="array" ref="S22">_xlfn.XLOOKUP(1,(Cordivari!$A$83:$A$225=S$2)*(Cordivari!$C$83:$C$225=$B6),Cordivari!$H$83:$H$225,"")</f>
        <v>3.71</v>
      </c>
      <c r="T22" s="2" cm="1">
        <f t="array" ref="T22">_xlfn.XLOOKUP(1,(Cordivari!$A$83:$A$225=T$2)*(Cordivari!$C$83:$C$225=$B6),Cordivari!$H$83:$H$225,"")</f>
        <v>4.41</v>
      </c>
      <c r="U22" s="2" cm="1">
        <f t="array" ref="U22">_xlfn.XLOOKUP(1,(Cordivari!$A$83:$A$225=U$2)*(Cordivari!$C$83:$C$225=$B6),Cordivari!$H$83:$H$225,"")</f>
        <v>5.47</v>
      </c>
      <c r="V22" s="2" cm="1">
        <f t="array" ref="V22">_xlfn.XLOOKUP(1,(Cordivari!$A$83:$A$225=V$2)*(Cordivari!$C$83:$C$225=$B6),Cordivari!$H$83:$H$225,"")</f>
        <v>6.02</v>
      </c>
      <c r="W22" s="2" cm="1">
        <f t="array" ref="W22">_xlfn.XLOOKUP(1,(Cordivari!$A$83:$A$225=W$2)*(Cordivari!$C$83:$C$225=$B6),Cordivari!$H$83:$H$225,"")</f>
        <v>6.53</v>
      </c>
      <c r="X22" s="2" cm="1">
        <f t="array" ref="X22">_xlfn.XLOOKUP(1,(Cordivari!$A$83:$A$225=X$2)*(Cordivari!$C$83:$C$225=$B6),Cordivari!$H$83:$H$225,"")</f>
        <v>6.75</v>
      </c>
      <c r="Y22" s="2" cm="1">
        <f t="array" ref="Y22">_xlfn.XLOOKUP(1,(Cordivari!$A$83:$A$225=Y$2)*(Cordivari!$C$83:$C$225=$B6),Cordivari!$H$83:$H$225,"")</f>
        <v>7.23</v>
      </c>
      <c r="Z22" s="2" cm="1">
        <f t="array" ref="Z22">_xlfn.XLOOKUP(1,(Cordivari!$A$83:$A$225=Z$2)*(Cordivari!$C$83:$C$225=$B6),Cordivari!$H$83:$H$225,"")</f>
        <v>7.45</v>
      </c>
      <c r="AA22" s="2" cm="1">
        <f t="array" ref="AA22">_xlfn.XLOOKUP(1,(Cordivari!$A$83:$A$225=AA$2)*(Cordivari!$C$83:$C$225=$B6),Cordivari!$H$83:$H$225,"")</f>
        <v>7.94</v>
      </c>
      <c r="AB22" s="2" cm="1">
        <f t="array" ref="AB22">_xlfn.XLOOKUP(1,(Cordivari!$A$83:$A$225=AB$2)*(Cordivari!$C$83:$C$225=$B6),Cordivari!$H$83:$H$225,"")</f>
        <v>9</v>
      </c>
    </row>
    <row r="23" spans="1:28" x14ac:dyDescent="0.2">
      <c r="B23" s="2">
        <f>B7</f>
        <v>230</v>
      </c>
      <c r="C23" s="2" cm="1">
        <f t="array" ref="C23">_xlfn.XLOOKUP(1,(Cordivari!$A$83:$A$225=C$2)*(Cordivari!$C$83:$C$225=$B7),Cordivari!$H$83:$H$225,"")</f>
        <v>1.07</v>
      </c>
      <c r="D23" s="2" cm="1">
        <f t="array" ref="D23">_xlfn.XLOOKUP(1,(Cordivari!$A$83:$A$225=D$2)*(Cordivari!$C$83:$C$225=$B7),Cordivari!$H$83:$H$225,"")</f>
        <v>1.49</v>
      </c>
      <c r="E23" s="2" cm="1">
        <f t="array" ref="E23">_xlfn.XLOOKUP(1,(Cordivari!$A$83:$A$225=E$2)*(Cordivari!$C$83:$C$225=$B7),Cordivari!$H$83:$H$225,"")</f>
        <v>1.92</v>
      </c>
      <c r="F23" s="2" cm="1">
        <f t="array" ref="F23">_xlfn.XLOOKUP(1,(Cordivari!$A$83:$A$225=F$2)*(Cordivari!$C$83:$C$225=$B7),Cordivari!$H$83:$H$225,"")</f>
        <v>2.34</v>
      </c>
      <c r="G23" s="2" cm="1">
        <f t="array" ref="G23">_xlfn.XLOOKUP(1,(Cordivari!$A$83:$A$225=G$2)*(Cordivari!$C$83:$C$225=$B7),Cordivari!$H$83:$H$225,"")</f>
        <v>2.58</v>
      </c>
      <c r="H23" s="2" cm="1">
        <f t="array" ref="H23">_xlfn.XLOOKUP(1,(Cordivari!$A$83:$A$225=H$2)*(Cordivari!$C$83:$C$225=$B7),Cordivari!$H$83:$H$225,"")</f>
        <v>2.7</v>
      </c>
      <c r="I23" s="2" cm="1">
        <f t="array" ref="I23">_xlfn.XLOOKUP(1,(Cordivari!$A$83:$A$225=I$2)*(Cordivari!$C$83:$C$225=$B7),Cordivari!$H$83:$H$225,"")</f>
        <v>2.76</v>
      </c>
      <c r="J23" s="2" cm="1">
        <f t="array" ref="J23">_xlfn.XLOOKUP(1,(Cordivari!$A$83:$A$225=J$2)*(Cordivari!$C$83:$C$225=$B7),Cordivari!$H$83:$H$225,"")</f>
        <v>2.87</v>
      </c>
      <c r="K23" s="2" cm="1">
        <f t="array" ref="K23">_xlfn.XLOOKUP(1,(Cordivari!$A$83:$A$225=K$2)*(Cordivari!$C$83:$C$225=$B7),Cordivari!$H$83:$H$225,"")</f>
        <v>3</v>
      </c>
      <c r="L23" s="2" cm="1">
        <f t="array" ref="L23">_xlfn.XLOOKUP(1,(Cordivari!$A$83:$A$225=L$2)*(Cordivari!$C$83:$C$225=$B7),Cordivari!$H$83:$H$225,"")</f>
        <v>3.09</v>
      </c>
      <c r="M23" s="2" cm="1">
        <f t="array" ref="M23">_xlfn.XLOOKUP(1,(Cordivari!$A$83:$A$225=M$2)*(Cordivari!$C$83:$C$225=$B7),Cordivari!$H$83:$H$225,"")</f>
        <v>3.4</v>
      </c>
      <c r="N23" s="2" cm="1">
        <f t="array" ref="N23">_xlfn.XLOOKUP(1,(Cordivari!$A$83:$A$225=N$2)*(Cordivari!$C$83:$C$225=$B7),Cordivari!$H$83:$H$225,"")</f>
        <v>3.42</v>
      </c>
      <c r="O23" s="2" cm="1">
        <f t="array" ref="O23">_xlfn.XLOOKUP(1,(Cordivari!$A$83:$A$225=O$2)*(Cordivari!$C$83:$C$225=$B7),Cordivari!$H$83:$H$225,"")</f>
        <v>3.56</v>
      </c>
      <c r="P23" s="2" cm="1">
        <f t="array" ref="P23">_xlfn.XLOOKUP(1,(Cordivari!$A$83:$A$225=P$2)*(Cordivari!$C$83:$C$225=$B7),Cordivari!$H$83:$H$225,"")</f>
        <v>3.85</v>
      </c>
      <c r="Q23" s="2" cm="1">
        <f t="array" ref="Q23">_xlfn.XLOOKUP(1,(Cordivari!$A$83:$A$225=Q$2)*(Cordivari!$C$83:$C$225=$B7),Cordivari!$H$83:$H$225,"")</f>
        <v>3.93</v>
      </c>
      <c r="R23" s="2" cm="1">
        <f t="array" ref="R23">_xlfn.XLOOKUP(1,(Cordivari!$A$83:$A$225=R$2)*(Cordivari!$C$83:$C$225=$B7),Cordivari!$H$83:$H$225,"")</f>
        <v>3.92</v>
      </c>
      <c r="S23" s="2" cm="1">
        <f t="array" ref="S23">_xlfn.XLOOKUP(1,(Cordivari!$A$83:$A$225=S$2)*(Cordivari!$C$83:$C$225=$B7),Cordivari!$H$83:$H$225,"")</f>
        <v>4.46</v>
      </c>
      <c r="T23" s="2" cm="1">
        <f t="array" ref="T23">_xlfn.XLOOKUP(1,(Cordivari!$A$83:$A$225=T$2)*(Cordivari!$C$83:$C$225=$B7),Cordivari!$H$83:$H$225,"")</f>
        <v>5.3</v>
      </c>
      <c r="U23" s="2" cm="1">
        <f t="array" ref="U23">_xlfn.XLOOKUP(1,(Cordivari!$A$83:$A$225=U$2)*(Cordivari!$C$83:$C$225=$B7),Cordivari!$H$83:$H$225,"")</f>
        <v>6.57</v>
      </c>
      <c r="V23" s="2" cm="1">
        <f t="array" ref="V23">_xlfn.XLOOKUP(1,(Cordivari!$A$83:$A$225=V$2)*(Cordivari!$C$83:$C$225=$B7),Cordivari!$H$83:$H$225,"")</f>
        <v>7.23</v>
      </c>
      <c r="W23" s="2" cm="1">
        <f t="array" ref="W23">_xlfn.XLOOKUP(1,(Cordivari!$A$83:$A$225=W$2)*(Cordivari!$C$83:$C$225=$B7),Cordivari!$H$83:$H$225,"")</f>
        <v>7.84</v>
      </c>
      <c r="X23" s="2" cm="1">
        <f t="array" ref="X23">_xlfn.XLOOKUP(1,(Cordivari!$A$83:$A$225=X$2)*(Cordivari!$C$83:$C$225=$B7),Cordivari!$H$83:$H$225,"")</f>
        <v>8.11</v>
      </c>
      <c r="Y23" s="2" cm="1">
        <f t="array" ref="Y23">_xlfn.XLOOKUP(1,(Cordivari!$A$83:$A$225=Y$2)*(Cordivari!$C$83:$C$225=$B7),Cordivari!$H$83:$H$225,"")</f>
        <v>8.69</v>
      </c>
      <c r="Z23" s="2" cm="1">
        <f t="array" ref="Z23">_xlfn.XLOOKUP(1,(Cordivari!$A$83:$A$225=Z$2)*(Cordivari!$C$83:$C$225=$B7),Cordivari!$H$83:$H$225,"")</f>
        <v>8.9499999999999993</v>
      </c>
      <c r="AA23" s="2" cm="1">
        <f t="array" ref="AA23">_xlfn.XLOOKUP(1,(Cordivari!$A$83:$A$225=AA$2)*(Cordivari!$C$83:$C$225=$B7),Cordivari!$H$83:$H$225,"")</f>
        <v>9.5299999999999994</v>
      </c>
      <c r="AB23" s="2" cm="1">
        <f t="array" ref="AB23">_xlfn.XLOOKUP(1,(Cordivari!$A$83:$A$225=AB$2)*(Cordivari!$C$83:$C$225=$B7),Cordivari!$H$83:$H$225,"")</f>
        <v>10.8</v>
      </c>
    </row>
    <row r="24" spans="1:28" x14ac:dyDescent="0.2">
      <c r="C24" s="8"/>
      <c r="D24" s="8"/>
      <c r="E24" s="8"/>
      <c r="F24" s="8"/>
      <c r="G24" s="8"/>
      <c r="H24" s="8"/>
      <c r="I24" s="8"/>
      <c r="J24" s="8"/>
      <c r="K24" s="8"/>
      <c r="L24" s="8"/>
      <c r="M24"/>
      <c r="N24"/>
      <c r="O24"/>
      <c r="P24"/>
      <c r="Q24"/>
    </row>
    <row r="25" spans="1:28" ht="40.5" x14ac:dyDescent="0.25">
      <c r="A25" s="57" t="s">
        <v>153</v>
      </c>
      <c r="C25" s="4" t="s">
        <v>2</v>
      </c>
      <c r="M25"/>
      <c r="N25"/>
      <c r="O25"/>
      <c r="P25"/>
      <c r="Q25"/>
    </row>
    <row r="26" spans="1:28" x14ac:dyDescent="0.2">
      <c r="A26" s="1" t="s">
        <v>154</v>
      </c>
      <c r="C26" s="5">
        <f t="shared" ref="C26:AB26" si="2">C$2</f>
        <v>207</v>
      </c>
      <c r="D26" s="5">
        <f t="shared" si="2"/>
        <v>300</v>
      </c>
      <c r="E26" s="5">
        <f t="shared" si="2"/>
        <v>400</v>
      </c>
      <c r="F26" s="5">
        <f t="shared" si="2"/>
        <v>500</v>
      </c>
      <c r="G26" s="5">
        <f t="shared" si="2"/>
        <v>556</v>
      </c>
      <c r="H26" s="5">
        <f t="shared" si="2"/>
        <v>586</v>
      </c>
      <c r="I26" s="5">
        <f t="shared" si="2"/>
        <v>600</v>
      </c>
      <c r="J26" s="5">
        <f t="shared" si="2"/>
        <v>626</v>
      </c>
      <c r="K26" s="5">
        <f t="shared" si="2"/>
        <v>656</v>
      </c>
      <c r="L26" s="5">
        <f t="shared" si="2"/>
        <v>676</v>
      </c>
      <c r="M26" s="5">
        <f t="shared" si="2"/>
        <v>750</v>
      </c>
      <c r="N26" s="5">
        <f t="shared" si="2"/>
        <v>756</v>
      </c>
      <c r="O26" s="5">
        <f t="shared" si="2"/>
        <v>786</v>
      </c>
      <c r="P26" s="5">
        <f t="shared" si="2"/>
        <v>856</v>
      </c>
      <c r="Q26" s="5">
        <f t="shared" si="2"/>
        <v>876</v>
      </c>
      <c r="R26" s="5">
        <f t="shared" si="2"/>
        <v>926</v>
      </c>
      <c r="S26" s="5">
        <f t="shared" si="2"/>
        <v>1000</v>
      </c>
      <c r="T26" s="5">
        <f t="shared" si="2"/>
        <v>1200</v>
      </c>
      <c r="U26" s="5">
        <f t="shared" si="2"/>
        <v>1500</v>
      </c>
      <c r="V26" s="5">
        <f t="shared" si="2"/>
        <v>1656</v>
      </c>
      <c r="W26" s="5">
        <f t="shared" si="2"/>
        <v>1800</v>
      </c>
      <c r="X26" s="5">
        <f t="shared" si="2"/>
        <v>1856</v>
      </c>
      <c r="Y26" s="5">
        <f t="shared" si="2"/>
        <v>2000</v>
      </c>
      <c r="Z26" s="5">
        <f t="shared" si="2"/>
        <v>2056</v>
      </c>
      <c r="AA26" s="5">
        <f t="shared" si="2"/>
        <v>2200</v>
      </c>
      <c r="AB26" s="5">
        <f t="shared" si="2"/>
        <v>2500</v>
      </c>
    </row>
    <row r="27" spans="1:28" ht="13.5" x14ac:dyDescent="0.25">
      <c r="A27" s="4" t="s">
        <v>3</v>
      </c>
      <c r="B27" s="2">
        <f>B3</f>
        <v>66</v>
      </c>
      <c r="C27" s="2" cm="1">
        <f t="array" ref="C27">_xlfn.XLOOKUP(1,(Cordivari!$A$83:$A$225=C$2)*(Cordivari!$C$83:$C$225=$B3),Cordivari!$L$83:$L$225,"")</f>
        <v>0.03</v>
      </c>
      <c r="D27" s="2" cm="1">
        <f t="array" ref="D27">_xlfn.XLOOKUP(1,(Cordivari!$A$83:$A$225=D$2)*(Cordivari!$C$83:$C$225=$B3),Cordivari!$L$83:$L$225,"")</f>
        <v>0.05</v>
      </c>
      <c r="E27" s="2" cm="1">
        <f t="array" ref="E27">_xlfn.XLOOKUP(1,(Cordivari!$A$83:$A$225=E$2)*(Cordivari!$C$83:$C$225=$B3),Cordivari!$L$83:$L$225,"")</f>
        <v>0.06</v>
      </c>
      <c r="F27" s="2" cm="1">
        <f t="array" ref="F27">_xlfn.XLOOKUP(1,(Cordivari!$A$83:$A$225=F$2)*(Cordivari!$C$83:$C$225=$B3),Cordivari!$L$83:$L$225,"")</f>
        <v>0.08</v>
      </c>
      <c r="G27" s="2" cm="1">
        <f t="array" ref="G27">_xlfn.XLOOKUP(1,(Cordivari!$A$83:$A$225=G$2)*(Cordivari!$C$83:$C$225=$B3),Cordivari!$L$83:$L$225,"")</f>
        <v>0.09</v>
      </c>
      <c r="H27" s="2" cm="1">
        <f t="array" ref="H27">_xlfn.XLOOKUP(1,(Cordivari!$A$83:$A$225=H$2)*(Cordivari!$C$83:$C$225=$B3),Cordivari!$L$83:$L$225,"")</f>
        <v>0.09</v>
      </c>
      <c r="I27" s="2" cm="1">
        <f t="array" ref="I27">_xlfn.XLOOKUP(1,(Cordivari!$A$83:$A$225=I$2)*(Cordivari!$C$83:$C$225=$B3),Cordivari!$L$83:$L$225,"")</f>
        <v>0.09</v>
      </c>
      <c r="J27" s="2" cm="1">
        <f t="array" ref="J27">_xlfn.XLOOKUP(1,(Cordivari!$A$83:$A$225=J$2)*(Cordivari!$C$83:$C$225=$B3),Cordivari!$L$83:$L$225,"")</f>
        <v>0.12</v>
      </c>
      <c r="K27" s="2" cm="1">
        <f t="array" ref="K27">_xlfn.XLOOKUP(1,(Cordivari!$A$83:$A$225=K$2)*(Cordivari!$C$83:$C$225=$B3),Cordivari!$L$83:$L$225,"")</f>
        <v>0.1</v>
      </c>
      <c r="L27" s="2" cm="1">
        <f t="array" ref="L27">_xlfn.XLOOKUP(1,(Cordivari!$A$83:$A$225=L$2)*(Cordivari!$C$83:$C$225=$B3),Cordivari!$L$83:$L$225,"")</f>
        <v>0.11</v>
      </c>
      <c r="M27" s="2" cm="1">
        <f t="array" ref="M27">_xlfn.XLOOKUP(1,(Cordivari!$A$83:$A$225=M$2)*(Cordivari!$C$83:$C$225=$B3),Cordivari!$L$83:$L$225,"")</f>
        <v>0.12</v>
      </c>
      <c r="N27" s="2" cm="1">
        <f t="array" ref="N27">_xlfn.XLOOKUP(1,(Cordivari!$A$83:$A$225=N$2)*(Cordivari!$C$83:$C$225=$B3),Cordivari!$L$83:$L$225,"")</f>
        <v>0.12</v>
      </c>
      <c r="O27" s="2" cm="1">
        <f t="array" ref="O27">_xlfn.XLOOKUP(1,(Cordivari!$A$83:$A$225=O$2)*(Cordivari!$C$83:$C$225=$B3),Cordivari!$L$83:$L$225,"")</f>
        <v>0.1</v>
      </c>
      <c r="P27" s="2" cm="1">
        <f t="array" ref="P27">_xlfn.XLOOKUP(1,(Cordivari!$A$83:$A$225=P$2)*(Cordivari!$C$83:$C$225=$B3),Cordivari!$L$83:$L$225,"")</f>
        <v>0.13</v>
      </c>
      <c r="Q27" s="2" cm="1">
        <f t="array" ref="Q27">_xlfn.XLOOKUP(1,(Cordivari!$A$83:$A$225=Q$2)*(Cordivari!$C$83:$C$225=$B3),Cordivari!$L$83:$L$225,"")</f>
        <v>0.14000000000000001</v>
      </c>
      <c r="R27" s="2" cm="1">
        <f t="array" ref="R27">_xlfn.XLOOKUP(1,(Cordivari!$A$83:$A$225=R$2)*(Cordivari!$C$83:$C$225=$B3),Cordivari!$L$83:$L$225,"")</f>
        <v>0.14000000000000001</v>
      </c>
      <c r="S27" s="2" cm="1">
        <f t="array" ref="S27">_xlfn.XLOOKUP(1,(Cordivari!$A$83:$A$225=S$2)*(Cordivari!$C$83:$C$225=$B3),Cordivari!$L$83:$L$225,"")</f>
        <v>0.15</v>
      </c>
      <c r="T27" s="2" cm="1">
        <f t="array" ref="T27">_xlfn.XLOOKUP(1,(Cordivari!$A$83:$A$225=T$2)*(Cordivari!$C$83:$C$225=$B3),Cordivari!$L$83:$L$225,"")</f>
        <v>0.18</v>
      </c>
      <c r="U27" s="2" cm="1">
        <f t="array" ref="U27">_xlfn.XLOOKUP(1,(Cordivari!$A$83:$A$225=U$2)*(Cordivari!$C$83:$C$225=$B3),Cordivari!$L$83:$L$225,"")</f>
        <v>0.23</v>
      </c>
      <c r="V27" s="2" cm="1">
        <f t="array" ref="V27">_xlfn.XLOOKUP(1,(Cordivari!$A$83:$A$225=V$2)*(Cordivari!$C$83:$C$225=$B3),Cordivari!$L$83:$L$225,"")</f>
        <v>0.25</v>
      </c>
      <c r="W27" s="2" cm="1">
        <f t="array" ref="W27">_xlfn.XLOOKUP(1,(Cordivari!$A$83:$A$225=W$2)*(Cordivari!$C$83:$C$225=$B3),Cordivari!$L$83:$L$225,"")</f>
        <v>0.28000000000000003</v>
      </c>
      <c r="X27" s="2" cm="1">
        <f t="array" ref="X27">_xlfn.XLOOKUP(1,(Cordivari!$A$83:$A$225=X$2)*(Cordivari!$C$83:$C$225=$B3),Cordivari!$L$83:$L$225,"")</f>
        <v>0.28000000000000003</v>
      </c>
      <c r="Y27" s="2" cm="1">
        <f t="array" ref="Y27">_xlfn.XLOOKUP(1,(Cordivari!$A$83:$A$225=Y$2)*(Cordivari!$C$83:$C$225=$B3),Cordivari!$L$83:$L$225,"")</f>
        <v>0.31</v>
      </c>
      <c r="Z27" s="2" cm="1">
        <f t="array" ref="Z27">_xlfn.XLOOKUP(1,(Cordivari!$A$83:$A$225=Z$2)*(Cordivari!$C$83:$C$225=$B3),Cordivari!$L$83:$L$225,"")</f>
        <v>0.31</v>
      </c>
      <c r="AA27" s="2" cm="1">
        <f t="array" ref="AA27">_xlfn.XLOOKUP(1,(Cordivari!$A$83:$A$225=AA$2)*(Cordivari!$C$83:$C$225=$B3),Cordivari!$L$83:$L$225,"")</f>
        <v>0.34</v>
      </c>
      <c r="AB27" s="2" cm="1">
        <f t="array" ref="AB27">_xlfn.XLOOKUP(1,(Cordivari!$A$83:$A$225=AB$2)*(Cordivari!$C$83:$C$225=$B3),Cordivari!$L$83:$L$225,"")</f>
        <v>0.38</v>
      </c>
    </row>
    <row r="28" spans="1:28" x14ac:dyDescent="0.2">
      <c r="B28" s="2">
        <f>B4</f>
        <v>107</v>
      </c>
      <c r="C28" s="2" cm="1">
        <f t="array" ref="C28">_xlfn.XLOOKUP(1,(Cordivari!$A$83:$A$225=C$2)*(Cordivari!$C$83:$C$225=$B4),Cordivari!$L$83:$L$225,"")</f>
        <v>0.05</v>
      </c>
      <c r="D28" s="2" cm="1">
        <f t="array" ref="D28">_xlfn.XLOOKUP(1,(Cordivari!$A$83:$A$225=D$2)*(Cordivari!$C$83:$C$225=$B4),Cordivari!$L$83:$L$225,"")</f>
        <v>7.0000000000000007E-2</v>
      </c>
      <c r="E28" s="2" cm="1">
        <f t="array" ref="E28">_xlfn.XLOOKUP(1,(Cordivari!$A$83:$A$225=E$2)*(Cordivari!$C$83:$C$225=$B4),Cordivari!$L$83:$L$225,"")</f>
        <v>0.1</v>
      </c>
      <c r="F28" s="2" cm="1">
        <f t="array" ref="F28">_xlfn.XLOOKUP(1,(Cordivari!$A$83:$A$225=F$2)*(Cordivari!$C$83:$C$225=$B4),Cordivari!$L$83:$L$225,"")</f>
        <v>0.12</v>
      </c>
      <c r="G28" s="2" cm="1">
        <f t="array" ref="G28">_xlfn.XLOOKUP(1,(Cordivari!$A$83:$A$225=G$2)*(Cordivari!$C$83:$C$225=$B4),Cordivari!$L$83:$L$225,"")</f>
        <v>0.13</v>
      </c>
      <c r="H28" s="2" cm="1">
        <f t="array" ref="H28">_xlfn.XLOOKUP(1,(Cordivari!$A$83:$A$225=H$2)*(Cordivari!$C$83:$C$225=$B4),Cordivari!$L$83:$L$225,"")</f>
        <v>0.14000000000000001</v>
      </c>
      <c r="I28" s="2" cm="1">
        <f t="array" ref="I28">_xlfn.XLOOKUP(1,(Cordivari!$A$83:$A$225=I$2)*(Cordivari!$C$83:$C$225=$B4),Cordivari!$L$83:$L$225,"")</f>
        <v>0.14000000000000001</v>
      </c>
      <c r="J28" s="2" cm="1">
        <f t="array" ref="J28">_xlfn.XLOOKUP(1,(Cordivari!$A$83:$A$225=J$2)*(Cordivari!$C$83:$C$225=$B4),Cordivari!$L$83:$L$225,"")</f>
        <v>0.15</v>
      </c>
      <c r="K28" s="2" cm="1">
        <f t="array" ref="K28">_xlfn.XLOOKUP(1,(Cordivari!$A$83:$A$225=K$2)*(Cordivari!$C$83:$C$225=$B4),Cordivari!$L$83:$L$225,"")</f>
        <v>0.15</v>
      </c>
      <c r="L28" s="2" cm="1">
        <f t="array" ref="L28">_xlfn.XLOOKUP(1,(Cordivari!$A$83:$A$225=L$2)*(Cordivari!$C$83:$C$225=$B4),Cordivari!$L$83:$L$225,"")</f>
        <v>0.16</v>
      </c>
      <c r="M28" s="2" cm="1">
        <f t="array" ref="M28">_xlfn.XLOOKUP(1,(Cordivari!$A$83:$A$225=M$2)*(Cordivari!$C$83:$C$225=$B4),Cordivari!$L$83:$L$225,"")</f>
        <v>0.18</v>
      </c>
      <c r="N28" s="2" cm="1">
        <f t="array" ref="N28">_xlfn.XLOOKUP(1,(Cordivari!$A$83:$A$225=N$2)*(Cordivari!$C$83:$C$225=$B4),Cordivari!$L$83:$L$225,"")</f>
        <v>0.18</v>
      </c>
      <c r="O28" s="2" cm="1">
        <f t="array" ref="O28">_xlfn.XLOOKUP(1,(Cordivari!$A$83:$A$225=O$2)*(Cordivari!$C$83:$C$225=$B4),Cordivari!$L$83:$L$225,"")</f>
        <v>0.18</v>
      </c>
      <c r="P28" s="2" cm="1">
        <f t="array" ref="P28">_xlfn.XLOOKUP(1,(Cordivari!$A$83:$A$225=P$2)*(Cordivari!$C$83:$C$225=$B4),Cordivari!$L$83:$L$225,"")</f>
        <v>0.2</v>
      </c>
      <c r="Q28" s="2" cm="1">
        <f t="array" ref="Q28">_xlfn.XLOOKUP(1,(Cordivari!$A$83:$A$225=Q$2)*(Cordivari!$C$83:$C$225=$B4),Cordivari!$L$83:$L$225,"")</f>
        <v>0.2</v>
      </c>
      <c r="R28" s="2" cm="1">
        <f t="array" ref="R28">_xlfn.XLOOKUP(1,(Cordivari!$A$83:$A$225=R$2)*(Cordivari!$C$83:$C$225=$B4),Cordivari!$L$83:$L$225,"")</f>
        <v>0.22</v>
      </c>
      <c r="S28" s="2" cm="1">
        <f t="array" ref="S28">_xlfn.XLOOKUP(1,(Cordivari!$A$83:$A$225=S$2)*(Cordivari!$C$83:$C$225=$B4),Cordivari!$L$83:$L$225,"")</f>
        <v>0.23</v>
      </c>
      <c r="T28" s="2" cm="1">
        <f t="array" ref="T28">_xlfn.XLOOKUP(1,(Cordivari!$A$83:$A$225=T$2)*(Cordivari!$C$83:$C$225=$B4),Cordivari!$L$83:$L$225,"")</f>
        <v>0.28000000000000003</v>
      </c>
      <c r="U28" s="2" cm="1">
        <f t="array" ref="U28">_xlfn.XLOOKUP(1,(Cordivari!$A$83:$A$225=U$2)*(Cordivari!$C$83:$C$225=$B4),Cordivari!$L$83:$L$225,"")</f>
        <v>0.35</v>
      </c>
      <c r="V28" s="2" cm="1">
        <f t="array" ref="V28">_xlfn.XLOOKUP(1,(Cordivari!$A$83:$A$225=V$2)*(Cordivari!$C$83:$C$225=$B4),Cordivari!$L$83:$L$225,"")</f>
        <v>0.38</v>
      </c>
      <c r="W28" s="2" cm="1">
        <f t="array" ref="W28">_xlfn.XLOOKUP(1,(Cordivari!$A$83:$A$225=W$2)*(Cordivari!$C$83:$C$225=$B4),Cordivari!$L$83:$L$225,"")</f>
        <v>0.41</v>
      </c>
      <c r="X28" s="2" cm="1">
        <f t="array" ref="X28">_xlfn.XLOOKUP(1,(Cordivari!$A$83:$A$225=X$2)*(Cordivari!$C$83:$C$225=$B4),Cordivari!$L$83:$L$225,"")</f>
        <v>0.43</v>
      </c>
      <c r="Y28" s="2" cm="1">
        <f t="array" ref="Y28">_xlfn.XLOOKUP(1,(Cordivari!$A$83:$A$225=Y$2)*(Cordivari!$C$83:$C$225=$B4),Cordivari!$L$83:$L$225,"")</f>
        <v>0.46</v>
      </c>
      <c r="Z28" s="2" cm="1">
        <f t="array" ref="Z28">_xlfn.XLOOKUP(1,(Cordivari!$A$83:$A$225=Z$2)*(Cordivari!$C$83:$C$225=$B4),Cordivari!$L$83:$L$225,"")</f>
        <v>0.47</v>
      </c>
      <c r="AA28" s="2" cm="1">
        <f t="array" ref="AA28">_xlfn.XLOOKUP(1,(Cordivari!$A$83:$A$225=AA$2)*(Cordivari!$C$83:$C$225=$B4),Cordivari!$L$83:$L$225,"")</f>
        <v>0.5</v>
      </c>
      <c r="AB28" s="2" cm="1">
        <f t="array" ref="AB28">_xlfn.XLOOKUP(1,(Cordivari!$A$83:$A$225=AB$2)*(Cordivari!$C$83:$C$225=$B4),Cordivari!$L$83:$L$225,"")</f>
        <v>0.56999999999999995</v>
      </c>
    </row>
    <row r="29" spans="1:28" x14ac:dyDescent="0.2">
      <c r="B29" s="2">
        <f>B5</f>
        <v>148</v>
      </c>
      <c r="C29" s="2" cm="1">
        <f t="array" ref="C29">_xlfn.XLOOKUP(1,(Cordivari!$A$83:$A$225=C$2)*(Cordivari!$C$83:$C$225=$B5),Cordivari!$L$83:$L$225,"")</f>
        <v>7.0000000000000007E-2</v>
      </c>
      <c r="D29" s="2" cm="1">
        <f t="array" ref="D29">_xlfn.XLOOKUP(1,(Cordivari!$A$83:$A$225=D$2)*(Cordivari!$C$83:$C$225=$B5),Cordivari!$L$83:$L$225,"")</f>
        <v>0.1</v>
      </c>
      <c r="E29" s="2" cm="1">
        <f t="array" ref="E29">_xlfn.XLOOKUP(1,(Cordivari!$A$83:$A$225=E$2)*(Cordivari!$C$83:$C$225=$B5),Cordivari!$L$83:$L$225,"")</f>
        <v>0.13</v>
      </c>
      <c r="F29" s="2" cm="1">
        <f t="array" ref="F29">_xlfn.XLOOKUP(1,(Cordivari!$A$83:$A$225=F$2)*(Cordivari!$C$83:$C$225=$B5),Cordivari!$L$83:$L$225,"")</f>
        <v>0.16</v>
      </c>
      <c r="G29" s="2" cm="1">
        <f t="array" ref="G29">_xlfn.XLOOKUP(1,(Cordivari!$A$83:$A$225=G$2)*(Cordivari!$C$83:$C$225=$B5),Cordivari!$L$83:$L$225,"")</f>
        <v>0.18</v>
      </c>
      <c r="H29" s="2" cm="1">
        <f t="array" ref="H29">_xlfn.XLOOKUP(1,(Cordivari!$A$83:$A$225=H$2)*(Cordivari!$C$83:$C$225=$B5),Cordivari!$L$83:$L$225,"")</f>
        <v>0.19</v>
      </c>
      <c r="I29" s="2" cm="1">
        <f t="array" ref="I29">_xlfn.XLOOKUP(1,(Cordivari!$A$83:$A$225=I$2)*(Cordivari!$C$83:$C$225=$B5),Cordivari!$L$83:$L$225,"")</f>
        <v>0.19</v>
      </c>
      <c r="J29" s="2" cm="1">
        <f t="array" ref="J29">_xlfn.XLOOKUP(1,(Cordivari!$A$83:$A$225=J$2)*(Cordivari!$C$83:$C$225=$B5),Cordivari!$L$83:$L$225,"")</f>
        <v>0.2</v>
      </c>
      <c r="K29" s="2" cm="1">
        <f t="array" ref="K29">_xlfn.XLOOKUP(1,(Cordivari!$A$83:$A$225=K$2)*(Cordivari!$C$83:$C$225=$B5),Cordivari!$L$83:$L$225,"")</f>
        <v>0.21</v>
      </c>
      <c r="L29" s="2" cm="1">
        <f t="array" ref="L29">_xlfn.XLOOKUP(1,(Cordivari!$A$83:$A$225=L$2)*(Cordivari!$C$83:$C$225=$B5),Cordivari!$L$83:$L$225,"")</f>
        <v>0.21</v>
      </c>
      <c r="M29" s="2" cm="1">
        <f t="array" ref="M29">_xlfn.XLOOKUP(1,(Cordivari!$A$83:$A$225=M$2)*(Cordivari!$C$83:$C$225=$B5),Cordivari!$L$83:$L$225,"")</f>
        <v>0.23</v>
      </c>
      <c r="N29" s="2" cm="1">
        <f t="array" ref="N29">_xlfn.XLOOKUP(1,(Cordivari!$A$83:$A$225=N$2)*(Cordivari!$C$83:$C$225=$B5),Cordivari!$L$83:$L$225,"")</f>
        <v>0.24</v>
      </c>
      <c r="O29" s="2" cm="1">
        <f t="array" ref="O29">_xlfn.XLOOKUP(1,(Cordivari!$A$83:$A$225=O$2)*(Cordivari!$C$83:$C$225=$B5),Cordivari!$L$83:$L$225,"")</f>
        <v>0.25</v>
      </c>
      <c r="P29" s="2" cm="1">
        <f t="array" ref="P29">_xlfn.XLOOKUP(1,(Cordivari!$A$83:$A$225=P$2)*(Cordivari!$C$83:$C$225=$B5),Cordivari!$L$83:$L$225,"")</f>
        <v>0.27</v>
      </c>
      <c r="Q29" s="2" cm="1">
        <f t="array" ref="Q29">_xlfn.XLOOKUP(1,(Cordivari!$A$83:$A$225=Q$2)*(Cordivari!$C$83:$C$225=$B5),Cordivari!$L$83:$L$225,"")</f>
        <v>0.27</v>
      </c>
      <c r="R29" s="2" cm="1">
        <f t="array" ref="R29">_xlfn.XLOOKUP(1,(Cordivari!$A$83:$A$225=R$2)*(Cordivari!$C$83:$C$225=$B5),Cordivari!$L$83:$L$225,"")</f>
        <v>0.28999999999999998</v>
      </c>
      <c r="S29" s="2" cm="1">
        <f t="array" ref="S29">_xlfn.XLOOKUP(1,(Cordivari!$A$83:$A$225=S$2)*(Cordivari!$C$83:$C$225=$B5),Cordivari!$L$83:$L$225,"")</f>
        <v>0.31</v>
      </c>
      <c r="T29" s="2" cm="1">
        <f t="array" ref="T29">_xlfn.XLOOKUP(1,(Cordivari!$A$83:$A$225=T$2)*(Cordivari!$C$83:$C$225=$B5),Cordivari!$L$83:$L$225,"")</f>
        <v>0.37</v>
      </c>
      <c r="U29" s="2" cm="1">
        <f t="array" ref="U29">_xlfn.XLOOKUP(1,(Cordivari!$A$83:$A$225=U$2)*(Cordivari!$C$83:$C$225=$B5),Cordivari!$L$83:$L$225,"")</f>
        <v>0.46</v>
      </c>
      <c r="V29" s="2" cm="1">
        <f t="array" ref="V29">_xlfn.XLOOKUP(1,(Cordivari!$A$83:$A$225=V$2)*(Cordivari!$C$83:$C$225=$B5),Cordivari!$L$83:$L$225,"")</f>
        <v>0.51</v>
      </c>
      <c r="W29" s="2" cm="1">
        <f t="array" ref="W29">_xlfn.XLOOKUP(1,(Cordivari!$A$83:$A$225=W$2)*(Cordivari!$C$83:$C$225=$B5),Cordivari!$L$83:$L$225,"")</f>
        <v>0.55000000000000004</v>
      </c>
      <c r="X29" s="2" cm="1">
        <f t="array" ref="X29">_xlfn.XLOOKUP(1,(Cordivari!$A$83:$A$225=X$2)*(Cordivari!$C$83:$C$225=$B5),Cordivari!$L$83:$L$225,"")</f>
        <v>0.56999999999999995</v>
      </c>
      <c r="Y29" s="2" cm="1">
        <f t="array" ref="Y29">_xlfn.XLOOKUP(1,(Cordivari!$A$83:$A$225=Y$2)*(Cordivari!$C$83:$C$225=$B5),Cordivari!$L$83:$L$225,"")</f>
        <v>0.61</v>
      </c>
      <c r="Z29" s="2" cm="1">
        <f t="array" ref="Z29">_xlfn.XLOOKUP(1,(Cordivari!$A$83:$A$225=Z$2)*(Cordivari!$C$83:$C$225=$B5),Cordivari!$L$83:$L$225,"")</f>
        <v>0.63</v>
      </c>
      <c r="AA29" s="2" cm="1">
        <f t="array" ref="AA29">_xlfn.XLOOKUP(1,(Cordivari!$A$83:$A$225=AA$2)*(Cordivari!$C$83:$C$225=$B5),Cordivari!$L$83:$L$225,"")</f>
        <v>0.67</v>
      </c>
      <c r="AB29" s="2" cm="1">
        <f t="array" ref="AB29">_xlfn.XLOOKUP(1,(Cordivari!$A$83:$A$225=AB$2)*(Cordivari!$C$83:$C$225=$B5),Cordivari!$L$83:$L$225,"")</f>
        <v>0.76</v>
      </c>
    </row>
    <row r="30" spans="1:28" x14ac:dyDescent="0.2">
      <c r="B30" s="2">
        <f>B6</f>
        <v>189</v>
      </c>
      <c r="C30" s="2" cm="1">
        <f t="array" ref="C30">_xlfn.XLOOKUP(1,(Cordivari!$A$83:$A$225=C$2)*(Cordivari!$C$83:$C$225=$B6),Cordivari!$L$83:$L$225,"")</f>
        <v>0.09</v>
      </c>
      <c r="D30" s="2" cm="1">
        <f t="array" ref="D30">_xlfn.XLOOKUP(1,(Cordivari!$A$83:$A$225=D$2)*(Cordivari!$C$83:$C$225=$B6),Cordivari!$L$83:$L$225,"")</f>
        <v>0.12</v>
      </c>
      <c r="E30" s="2" cm="1">
        <f t="array" ref="E30">_xlfn.XLOOKUP(1,(Cordivari!$A$83:$A$225=E$2)*(Cordivari!$C$83:$C$225=$B6),Cordivari!$L$83:$L$225,"")</f>
        <v>0.16</v>
      </c>
      <c r="F30" s="2" cm="1">
        <f t="array" ref="F30">_xlfn.XLOOKUP(1,(Cordivari!$A$83:$A$225=F$2)*(Cordivari!$C$83:$C$225=$B6),Cordivari!$L$83:$L$225,"")</f>
        <v>0.2</v>
      </c>
      <c r="G30" s="2" cm="1">
        <f t="array" ref="G30">_xlfn.XLOOKUP(1,(Cordivari!$A$83:$A$225=G$2)*(Cordivari!$C$83:$C$225=$B6),Cordivari!$L$83:$L$225,"")</f>
        <v>0.22</v>
      </c>
      <c r="H30" s="2" cm="1">
        <f t="array" ref="H30">_xlfn.XLOOKUP(1,(Cordivari!$A$83:$A$225=H$2)*(Cordivari!$C$83:$C$225=$B6),Cordivari!$L$83:$L$225,"")</f>
        <v>0.23</v>
      </c>
      <c r="I30" s="2" cm="1">
        <f t="array" ref="I30">_xlfn.XLOOKUP(1,(Cordivari!$A$83:$A$225=I$2)*(Cordivari!$C$83:$C$225=$B6),Cordivari!$L$83:$L$225,"")</f>
        <v>0.24</v>
      </c>
      <c r="J30" s="2" cm="1">
        <f t="array" ref="J30">_xlfn.XLOOKUP(1,(Cordivari!$A$83:$A$225=J$2)*(Cordivari!$C$83:$C$225=$B6),Cordivari!$L$83:$L$225,"")</f>
        <v>0.25</v>
      </c>
      <c r="K30" s="2" cm="1">
        <f t="array" ref="K30">_xlfn.XLOOKUP(1,(Cordivari!$A$83:$A$225=K$2)*(Cordivari!$C$83:$C$225=$B6),Cordivari!$L$83:$L$225,"")</f>
        <v>0.26</v>
      </c>
      <c r="L30" s="2" cm="1">
        <f t="array" ref="L30">_xlfn.XLOOKUP(1,(Cordivari!$A$83:$A$225=L$2)*(Cordivari!$C$83:$C$225=$B6),Cordivari!$L$83:$L$225,"")</f>
        <v>0.27</v>
      </c>
      <c r="M30" s="2" cm="1">
        <f t="array" ref="M30">_xlfn.XLOOKUP(1,(Cordivari!$A$83:$A$225=M$2)*(Cordivari!$C$83:$C$225=$B6),Cordivari!$L$83:$L$225,"")</f>
        <v>0.28999999999999998</v>
      </c>
      <c r="N30" s="2" cm="1">
        <f t="array" ref="N30">_xlfn.XLOOKUP(1,(Cordivari!$A$83:$A$225=N$2)*(Cordivari!$C$83:$C$225=$B6),Cordivari!$L$83:$L$225,"")</f>
        <v>0.3</v>
      </c>
      <c r="O30" s="2" cm="1">
        <f t="array" ref="O30">_xlfn.XLOOKUP(1,(Cordivari!$A$83:$A$225=O$2)*(Cordivari!$C$83:$C$225=$B6),Cordivari!$L$83:$L$225,"")</f>
        <v>0.31</v>
      </c>
      <c r="P30" s="2" cm="1">
        <f t="array" ref="P30">_xlfn.XLOOKUP(1,(Cordivari!$A$83:$A$225=P$2)*(Cordivari!$C$83:$C$225=$B6),Cordivari!$L$83:$L$225,"")</f>
        <v>0.33</v>
      </c>
      <c r="Q30" s="2" cm="1">
        <f t="array" ref="Q30">_xlfn.XLOOKUP(1,(Cordivari!$A$83:$A$225=Q$2)*(Cordivari!$C$83:$C$225=$B6),Cordivari!$L$83:$L$225,"")</f>
        <v>0.34</v>
      </c>
      <c r="R30" s="2" cm="1">
        <f t="array" ref="R30">_xlfn.XLOOKUP(1,(Cordivari!$A$83:$A$225=R$2)*(Cordivari!$C$83:$C$225=$B6),Cordivari!$L$83:$L$225,"")</f>
        <v>0.36</v>
      </c>
      <c r="S30" s="2" cm="1">
        <f t="array" ref="S30">_xlfn.XLOOKUP(1,(Cordivari!$A$83:$A$225=S$2)*(Cordivari!$C$83:$C$225=$B6),Cordivari!$L$83:$L$225,"")</f>
        <v>0.39</v>
      </c>
      <c r="T30" s="2" cm="1">
        <f t="array" ref="T30">_xlfn.XLOOKUP(1,(Cordivari!$A$83:$A$225=T$2)*(Cordivari!$C$83:$C$225=$B6),Cordivari!$L$83:$L$225,"")</f>
        <v>0.46</v>
      </c>
      <c r="U30" s="2" cm="1">
        <f t="array" ref="U30">_xlfn.XLOOKUP(1,(Cordivari!$A$83:$A$225=U$2)*(Cordivari!$C$83:$C$225=$B6),Cordivari!$L$83:$L$225,"")</f>
        <v>0.57999999999999996</v>
      </c>
      <c r="V30" s="2" cm="1">
        <f t="array" ref="V30">_xlfn.XLOOKUP(1,(Cordivari!$A$83:$A$225=V$2)*(Cordivari!$C$83:$C$225=$B6),Cordivari!$L$83:$L$225,"")</f>
        <v>0.64</v>
      </c>
      <c r="W30" s="2" cm="1">
        <f t="array" ref="W30">_xlfn.XLOOKUP(1,(Cordivari!$A$83:$A$225=W$2)*(Cordivari!$C$83:$C$225=$B6),Cordivari!$L$83:$L$225,"")</f>
        <v>0.69</v>
      </c>
      <c r="X30" s="2" cm="1">
        <f t="array" ref="X30">_xlfn.XLOOKUP(1,(Cordivari!$A$83:$A$225=X$2)*(Cordivari!$C$83:$C$225=$B6),Cordivari!$L$83:$L$225,"")</f>
        <v>0.71</v>
      </c>
      <c r="Y30" s="2" cm="1">
        <f t="array" ref="Y30">_xlfn.XLOOKUP(1,(Cordivari!$A$83:$A$225=Y$2)*(Cordivari!$C$83:$C$225=$B6),Cordivari!$L$83:$L$225,"")</f>
        <v>0.77</v>
      </c>
      <c r="Z30" s="2" cm="1">
        <f t="array" ref="Z30">_xlfn.XLOOKUP(1,(Cordivari!$A$83:$A$225=Z$2)*(Cordivari!$C$83:$C$225=$B6),Cordivari!$L$83:$L$225,"")</f>
        <v>0.79</v>
      </c>
      <c r="AA30" s="2" cm="1">
        <f t="array" ref="AA30">_xlfn.XLOOKUP(1,(Cordivari!$A$83:$A$225=AA$2)*(Cordivari!$C$83:$C$225=$B6),Cordivari!$L$83:$L$225,"")</f>
        <v>0.84</v>
      </c>
      <c r="AB30" s="2" cm="1">
        <f t="array" ref="AB30">_xlfn.XLOOKUP(1,(Cordivari!$A$83:$A$225=AB$2)*(Cordivari!$C$83:$C$225=$B6),Cordivari!$L$83:$L$225,"")</f>
        <v>0.95</v>
      </c>
    </row>
    <row r="31" spans="1:28" x14ac:dyDescent="0.2">
      <c r="B31" s="2">
        <f>B7</f>
        <v>230</v>
      </c>
      <c r="C31" s="2" cm="1">
        <f t="array" ref="C31">_xlfn.XLOOKUP(1,(Cordivari!$A$83:$A$225=C$2)*(Cordivari!$C$83:$C$225=$B7),Cordivari!$L$83:$L$225,"")</f>
        <v>0.11</v>
      </c>
      <c r="D31" s="2" cm="1">
        <f t="array" ref="D31">_xlfn.XLOOKUP(1,(Cordivari!$A$83:$A$225=D$2)*(Cordivari!$C$83:$C$225=$B7),Cordivari!$L$83:$L$225,"")</f>
        <v>0.15</v>
      </c>
      <c r="E31" s="2" cm="1">
        <f t="array" ref="E31">_xlfn.XLOOKUP(1,(Cordivari!$A$83:$A$225=E$2)*(Cordivari!$C$83:$C$225=$B7),Cordivari!$L$83:$L$225,"")</f>
        <v>0.19</v>
      </c>
      <c r="F31" s="2" cm="1">
        <f t="array" ref="F31">_xlfn.XLOOKUP(1,(Cordivari!$A$83:$A$225=F$2)*(Cordivari!$C$83:$C$225=$B7),Cordivari!$L$83:$L$225,"")</f>
        <v>0.24</v>
      </c>
      <c r="G31" s="2" cm="1">
        <f t="array" ref="G31">_xlfn.XLOOKUP(1,(Cordivari!$A$83:$A$225=G$2)*(Cordivari!$C$83:$C$225=$B7),Cordivari!$L$83:$L$225,"")</f>
        <v>0.27</v>
      </c>
      <c r="H31" s="2" cm="1">
        <f t="array" ref="H31">_xlfn.XLOOKUP(1,(Cordivari!$A$83:$A$225=H$2)*(Cordivari!$C$83:$C$225=$B7),Cordivari!$L$83:$L$225,"")</f>
        <v>0.28000000000000003</v>
      </c>
      <c r="I31" s="2" cm="1">
        <f t="array" ref="I31">_xlfn.XLOOKUP(1,(Cordivari!$A$83:$A$225=I$2)*(Cordivari!$C$83:$C$225=$B7),Cordivari!$L$83:$L$225,"")</f>
        <v>0.28999999999999998</v>
      </c>
      <c r="J31" s="2" cm="1">
        <f t="array" ref="J31">_xlfn.XLOOKUP(1,(Cordivari!$A$83:$A$225=J$2)*(Cordivari!$C$83:$C$225=$B7),Cordivari!$L$83:$L$225,"")</f>
        <v>0.3</v>
      </c>
      <c r="K31" s="2" cm="1">
        <f t="array" ref="K31">_xlfn.XLOOKUP(1,(Cordivari!$A$83:$A$225=K$2)*(Cordivari!$C$83:$C$225=$B7),Cordivari!$L$83:$L$225,"")</f>
        <v>0.31</v>
      </c>
      <c r="L31" s="2" cm="1">
        <f t="array" ref="L31">_xlfn.XLOOKUP(1,(Cordivari!$A$83:$A$225=L$2)*(Cordivari!$C$83:$C$225=$B7),Cordivari!$L$83:$L$225,"")</f>
        <v>0.32</v>
      </c>
      <c r="M31" s="2" cm="1">
        <f t="array" ref="M31">_xlfn.XLOOKUP(1,(Cordivari!$A$83:$A$225=M$2)*(Cordivari!$C$83:$C$225=$B7),Cordivari!$L$83:$L$225,"")</f>
        <v>0.35</v>
      </c>
      <c r="N31" s="2" cm="1">
        <f t="array" ref="N31">_xlfn.XLOOKUP(1,(Cordivari!$A$83:$A$225=N$2)*(Cordivari!$C$83:$C$225=$B7),Cordivari!$L$83:$L$225,"")</f>
        <v>0.36</v>
      </c>
      <c r="O31" s="2" cm="1">
        <f t="array" ref="O31">_xlfn.XLOOKUP(1,(Cordivari!$A$83:$A$225=O$2)*(Cordivari!$C$83:$C$225=$B7),Cordivari!$L$83:$L$225,"")</f>
        <v>0.37</v>
      </c>
      <c r="P31" s="2" cm="1">
        <f t="array" ref="P31">_xlfn.XLOOKUP(1,(Cordivari!$A$83:$A$225=P$2)*(Cordivari!$C$83:$C$225=$B7),Cordivari!$L$83:$L$225,"")</f>
        <v>0.4</v>
      </c>
      <c r="Q31" s="2" cm="1">
        <f t="array" ref="Q31">_xlfn.XLOOKUP(1,(Cordivari!$A$83:$A$225=Q$2)*(Cordivari!$C$83:$C$225=$B7),Cordivari!$L$83:$L$225,"")</f>
        <v>0.41</v>
      </c>
      <c r="R31" s="2" cm="1">
        <f t="array" ref="R31">_xlfn.XLOOKUP(1,(Cordivari!$A$83:$A$225=R$2)*(Cordivari!$C$83:$C$225=$B7),Cordivari!$L$83:$L$225,"")</f>
        <v>0.43</v>
      </c>
      <c r="S31" s="2" cm="1">
        <f t="array" ref="S31">_xlfn.XLOOKUP(1,(Cordivari!$A$83:$A$225=S$2)*(Cordivari!$C$83:$C$225=$B7),Cordivari!$L$83:$L$225,"")</f>
        <v>0.47</v>
      </c>
      <c r="T31" s="2" cm="1">
        <f t="array" ref="T31">_xlfn.XLOOKUP(1,(Cordivari!$A$83:$A$225=T$2)*(Cordivari!$C$83:$C$225=$B7),Cordivari!$L$83:$L$225,"")</f>
        <v>0.56000000000000005</v>
      </c>
      <c r="U31" s="2" cm="1">
        <f t="array" ref="U31">_xlfn.XLOOKUP(1,(Cordivari!$A$83:$A$225=U$2)*(Cordivari!$C$83:$C$225=$B7),Cordivari!$L$83:$L$225,"")</f>
        <v>0.69</v>
      </c>
      <c r="V31" s="2" cm="1">
        <f t="array" ref="V31">_xlfn.XLOOKUP(1,(Cordivari!$A$83:$A$225=V$2)*(Cordivari!$C$83:$C$225=$B7),Cordivari!$L$83:$L$225,"")</f>
        <v>0.76</v>
      </c>
      <c r="W31" s="2" cm="1">
        <f t="array" ref="W31">_xlfn.XLOOKUP(1,(Cordivari!$A$83:$A$225=W$2)*(Cordivari!$C$83:$C$225=$B7),Cordivari!$L$83:$L$225,"")</f>
        <v>0.83</v>
      </c>
      <c r="X31" s="2" cm="1">
        <f t="array" ref="X31">_xlfn.XLOOKUP(1,(Cordivari!$A$83:$A$225=X$2)*(Cordivari!$C$83:$C$225=$B7),Cordivari!$L$83:$L$225,"")</f>
        <v>0.85</v>
      </c>
      <c r="Y31" s="2" cm="1">
        <f t="array" ref="Y31">_xlfn.XLOOKUP(1,(Cordivari!$A$83:$A$225=Y$2)*(Cordivari!$C$83:$C$225=$B7),Cordivari!$L$83:$L$225,"")</f>
        <v>0.92</v>
      </c>
      <c r="Z31" s="2" cm="1">
        <f t="array" ref="Z31">_xlfn.XLOOKUP(1,(Cordivari!$A$83:$A$225=Z$2)*(Cordivari!$C$83:$C$225=$B7),Cordivari!$L$83:$L$225,"")</f>
        <v>0.94</v>
      </c>
      <c r="AA31" s="2" cm="1">
        <f t="array" ref="AA31">_xlfn.XLOOKUP(1,(Cordivari!$A$83:$A$225=AA$2)*(Cordivari!$C$83:$C$225=$B7),Cordivari!$L$83:$L$225,"")</f>
        <v>1.01</v>
      </c>
      <c r="AB31" s="2" cm="1">
        <f t="array" ref="AB31">_xlfn.XLOOKUP(1,(Cordivari!$A$83:$A$225=AB$2)*(Cordivari!$C$83:$C$225=$B7),Cordivari!$L$83:$L$225,"")</f>
        <v>1.1399999999999999</v>
      </c>
    </row>
    <row r="32" spans="1:28" x14ac:dyDescent="0.2">
      <c r="C32" s="8"/>
      <c r="D32" s="8"/>
      <c r="E32" s="8"/>
      <c r="F32" s="8"/>
      <c r="G32" s="8"/>
      <c r="H32" s="8"/>
      <c r="I32" s="8"/>
      <c r="J32" s="8"/>
      <c r="K32" s="8"/>
      <c r="L32" s="8"/>
      <c r="M32"/>
      <c r="N32"/>
      <c r="O32"/>
      <c r="P32"/>
      <c r="Q32"/>
    </row>
    <row r="33" spans="1:35" ht="39" x14ac:dyDescent="0.25">
      <c r="A33" s="57" t="s">
        <v>155</v>
      </c>
      <c r="C33" s="4" t="s">
        <v>2</v>
      </c>
      <c r="M33"/>
      <c r="N33"/>
      <c r="O33"/>
      <c r="P33"/>
      <c r="Q33"/>
    </row>
    <row r="34" spans="1:35" x14ac:dyDescent="0.2">
      <c r="A34" s="57" t="s">
        <v>156</v>
      </c>
      <c r="C34" s="5">
        <f t="shared" ref="C34:AB34" si="3">C$2</f>
        <v>207</v>
      </c>
      <c r="D34" s="5">
        <f t="shared" si="3"/>
        <v>300</v>
      </c>
      <c r="E34" s="5">
        <f t="shared" si="3"/>
        <v>400</v>
      </c>
      <c r="F34" s="5">
        <f t="shared" si="3"/>
        <v>500</v>
      </c>
      <c r="G34" s="5">
        <f t="shared" si="3"/>
        <v>556</v>
      </c>
      <c r="H34" s="5">
        <f t="shared" si="3"/>
        <v>586</v>
      </c>
      <c r="I34" s="5">
        <f t="shared" si="3"/>
        <v>600</v>
      </c>
      <c r="J34" s="5">
        <f t="shared" si="3"/>
        <v>626</v>
      </c>
      <c r="K34" s="5">
        <f t="shared" si="3"/>
        <v>656</v>
      </c>
      <c r="L34" s="5">
        <f t="shared" si="3"/>
        <v>676</v>
      </c>
      <c r="M34" s="5">
        <f t="shared" si="3"/>
        <v>750</v>
      </c>
      <c r="N34" s="5">
        <f t="shared" si="3"/>
        <v>756</v>
      </c>
      <c r="O34" s="5">
        <f t="shared" si="3"/>
        <v>786</v>
      </c>
      <c r="P34" s="5">
        <f t="shared" si="3"/>
        <v>856</v>
      </c>
      <c r="Q34" s="5">
        <f t="shared" si="3"/>
        <v>876</v>
      </c>
      <c r="R34" s="5">
        <f t="shared" si="3"/>
        <v>926</v>
      </c>
      <c r="S34" s="5">
        <f t="shared" si="3"/>
        <v>1000</v>
      </c>
      <c r="T34" s="5">
        <f t="shared" si="3"/>
        <v>1200</v>
      </c>
      <c r="U34" s="5">
        <f t="shared" si="3"/>
        <v>1500</v>
      </c>
      <c r="V34" s="5">
        <f t="shared" si="3"/>
        <v>1656</v>
      </c>
      <c r="W34" s="5">
        <f t="shared" si="3"/>
        <v>1800</v>
      </c>
      <c r="X34" s="5">
        <f t="shared" si="3"/>
        <v>1856</v>
      </c>
      <c r="Y34" s="5">
        <f t="shared" si="3"/>
        <v>2000</v>
      </c>
      <c r="Z34" s="5">
        <f t="shared" si="3"/>
        <v>2056</v>
      </c>
      <c r="AA34" s="5">
        <f t="shared" si="3"/>
        <v>2200</v>
      </c>
      <c r="AB34" s="5">
        <f t="shared" si="3"/>
        <v>2500</v>
      </c>
      <c r="AC34" s="5"/>
      <c r="AD34" s="5"/>
      <c r="AE34" s="5"/>
      <c r="AF34" s="5"/>
      <c r="AG34" s="5"/>
      <c r="AH34" s="5"/>
      <c r="AI34" s="5"/>
    </row>
    <row r="35" spans="1:35" ht="13.5" x14ac:dyDescent="0.25">
      <c r="A35" s="4" t="s">
        <v>3</v>
      </c>
      <c r="B35" s="2">
        <f>B3</f>
        <v>66</v>
      </c>
      <c r="C35" s="2" cm="1">
        <f t="array" ref="C35">_xlfn.XLOOKUP(1,(Cordivari!$A$83:$A$225=C$2)*(Cordivari!$C$83:$C$225=$B3),Cordivari!$G$83:$G$225,"")</f>
        <v>0.28999999999999998</v>
      </c>
      <c r="D35" s="2" cm="1">
        <f t="array" ref="D35">_xlfn.XLOOKUP(1,(Cordivari!$A$83:$A$225=D$2)*(Cordivari!$C$83:$C$225=$B3),Cordivari!$G$83:$G$225,"")</f>
        <v>0.37</v>
      </c>
      <c r="E35" s="2" cm="1">
        <f t="array" ref="E35">_xlfn.XLOOKUP(1,(Cordivari!$A$83:$A$225=E$2)*(Cordivari!$C$83:$C$225=$B3),Cordivari!$G$83:$G$225,"")</f>
        <v>0.45</v>
      </c>
      <c r="F35" s="2" cm="1">
        <f t="array" ref="F35">_xlfn.XLOOKUP(1,(Cordivari!$A$83:$A$225=F$2)*(Cordivari!$C$83:$C$225=$B3),Cordivari!$G$83:$G$225,"")</f>
        <v>0.53</v>
      </c>
      <c r="G35" s="2" cm="1">
        <f t="array" ref="G35">_xlfn.XLOOKUP(1,(Cordivari!$A$83:$A$225=G$2)*(Cordivari!$C$83:$C$225=$B3),Cordivari!$G$83:$G$225,"")</f>
        <v>0.57999999999999996</v>
      </c>
      <c r="H35" s="2" cm="1">
        <f t="array" ref="H35">_xlfn.XLOOKUP(1,(Cordivari!$A$83:$A$225=H$2)*(Cordivari!$C$83:$C$225=$B3),Cordivari!$G$83:$G$225,"")</f>
        <v>0.6</v>
      </c>
      <c r="I35" s="2" cm="1">
        <f t="array" ref="I35">_xlfn.XLOOKUP(1,(Cordivari!$A$83:$A$225=I$2)*(Cordivari!$C$83:$C$225=$B3),Cordivari!$G$83:$G$225,"")</f>
        <v>0.61</v>
      </c>
      <c r="J35" s="2" cm="1">
        <f t="array" ref="J35">_xlfn.XLOOKUP(1,(Cordivari!$A$83:$A$225=J$2)*(Cordivari!$C$83:$C$225=$B3),Cordivari!$G$83:$G$225,"")</f>
        <v>0.63</v>
      </c>
      <c r="K35" s="2" cm="1">
        <f t="array" ref="K35">_xlfn.XLOOKUP(1,(Cordivari!$A$83:$A$225=K$2)*(Cordivari!$C$83:$C$225=$B3),Cordivari!$G$83:$G$225,"")</f>
        <v>0.66</v>
      </c>
      <c r="L35" s="2" cm="1">
        <f t="array" ref="L35">_xlfn.XLOOKUP(1,(Cordivari!$A$83:$A$225=L$2)*(Cordivari!$C$83:$C$225=$B3),Cordivari!$G$83:$G$225,"")</f>
        <v>0.67</v>
      </c>
      <c r="M35" s="2" cm="1">
        <f t="array" ref="M35">_xlfn.XLOOKUP(1,(Cordivari!$A$83:$A$225=M$2)*(Cordivari!$C$83:$C$225=$B3),Cordivari!$G$83:$G$225,"")</f>
        <v>0.73</v>
      </c>
      <c r="N35" s="2" cm="1">
        <f t="array" ref="N35">_xlfn.XLOOKUP(1,(Cordivari!$A$83:$A$225=N$2)*(Cordivari!$C$83:$C$225=$B3),Cordivari!$G$83:$G$225,"")</f>
        <v>0.74</v>
      </c>
      <c r="O35" s="2" cm="1">
        <f t="array" ref="O35">_xlfn.XLOOKUP(1,(Cordivari!$A$83:$A$225=O$2)*(Cordivari!$C$83:$C$225=$B3),Cordivari!$G$83:$G$225,"")</f>
        <v>0.76</v>
      </c>
      <c r="P35" s="2" cm="1">
        <f t="array" ref="P35">_xlfn.XLOOKUP(1,(Cordivari!$A$83:$A$225=P$2)*(Cordivari!$C$83:$C$225=$B3),Cordivari!$G$83:$G$225,"")</f>
        <v>0.82</v>
      </c>
      <c r="Q35" s="2" cm="1">
        <f t="array" ref="Q35">_xlfn.XLOOKUP(1,(Cordivari!$A$83:$A$225=Q$2)*(Cordivari!$C$83:$C$225=$B3),Cordivari!$G$83:$G$225,"")</f>
        <v>0.83</v>
      </c>
      <c r="R35" s="2" cm="1">
        <f t="array" ref="R35">_xlfn.XLOOKUP(1,(Cordivari!$A$83:$A$225=R$2)*(Cordivari!$C$83:$C$225=$B3),Cordivari!$G$83:$G$225,"")</f>
        <v>0.78</v>
      </c>
      <c r="S35" s="2" cm="1">
        <f t="array" ref="S35">_xlfn.XLOOKUP(1,(Cordivari!$A$83:$A$225=S$2)*(Cordivari!$C$83:$C$225=$B3),Cordivari!$G$83:$G$225,"")</f>
        <v>0.93</v>
      </c>
      <c r="T35" s="2" cm="1">
        <f t="array" ref="T35">_xlfn.XLOOKUP(1,(Cordivari!$A$83:$A$225=T$2)*(Cordivari!$C$83:$C$225=$B3),Cordivari!$G$83:$G$225,"")</f>
        <v>1.0900000000000001</v>
      </c>
      <c r="U35" s="2" cm="1">
        <f t="array" ref="U35">_xlfn.XLOOKUP(1,(Cordivari!$A$83:$A$225=U$2)*(Cordivari!$C$83:$C$225=$B3),Cordivari!$G$83:$G$225,"")</f>
        <v>1.33</v>
      </c>
      <c r="V35" s="2" cm="1">
        <f t="array" ref="V35">_xlfn.XLOOKUP(1,(Cordivari!$A$83:$A$225=V$2)*(Cordivari!$C$83:$C$225=$B3),Cordivari!$G$83:$G$225,"")</f>
        <v>1.46</v>
      </c>
      <c r="W35" s="2" cm="1">
        <f t="array" ref="W35">_xlfn.XLOOKUP(1,(Cordivari!$A$83:$A$225=W$2)*(Cordivari!$C$83:$C$225=$B3),Cordivari!$G$83:$G$225,"")</f>
        <v>1.58</v>
      </c>
      <c r="X35" s="2" cm="1">
        <f t="array" ref="X35">_xlfn.XLOOKUP(1,(Cordivari!$A$83:$A$225=X$2)*(Cordivari!$C$83:$C$225=$B3),Cordivari!$G$83:$G$225,"")</f>
        <v>1.62</v>
      </c>
      <c r="Y35" s="2" cm="1">
        <f t="array" ref="Y35">_xlfn.XLOOKUP(1,(Cordivari!$A$83:$A$225=Y$2)*(Cordivari!$C$83:$C$225=$B3),Cordivari!$G$83:$G$225,"")</f>
        <v>1.74</v>
      </c>
      <c r="Z35" s="2" cm="1">
        <f t="array" ref="Z35">_xlfn.XLOOKUP(1,(Cordivari!$A$83:$A$225=Z$2)*(Cordivari!$C$83:$C$225=$B3),Cordivari!$G$83:$G$225,"")</f>
        <v>1.78</v>
      </c>
      <c r="AA35" s="2" cm="1">
        <f t="array" ref="AA35">_xlfn.XLOOKUP(1,(Cordivari!$A$83:$A$225=AA$2)*(Cordivari!$C$83:$C$225=$B3),Cordivari!$G$83:$G$225,"")</f>
        <v>1.9</v>
      </c>
      <c r="AB35" s="2" cm="1">
        <f t="array" ref="AB35">_xlfn.XLOOKUP(1,(Cordivari!$A$83:$A$225=AB$2)*(Cordivari!$C$83:$C$225=$B3),Cordivari!$G$83:$G$225,"")</f>
        <v>2.14</v>
      </c>
    </row>
    <row r="36" spans="1:35" x14ac:dyDescent="0.2">
      <c r="B36" s="2">
        <f>B4</f>
        <v>107</v>
      </c>
      <c r="C36" s="2" cm="1">
        <f t="array" ref="C36">_xlfn.XLOOKUP(1,(Cordivari!$A$83:$A$225=C$2)*(Cordivari!$C$83:$C$225=$B4),Cordivari!$G$83:$G$225,"")</f>
        <v>0.42</v>
      </c>
      <c r="D36" s="2" cm="1">
        <f t="array" ref="D36">_xlfn.XLOOKUP(1,(Cordivari!$A$83:$A$225=D$2)*(Cordivari!$C$83:$C$225=$B4),Cordivari!$G$83:$G$225,"")</f>
        <v>0.54</v>
      </c>
      <c r="E36" s="2" cm="1">
        <f t="array" ref="E36">_xlfn.XLOOKUP(1,(Cordivari!$A$83:$A$225=E$2)*(Cordivari!$C$83:$C$225=$B4),Cordivari!$G$83:$G$225,"")</f>
        <v>0.66</v>
      </c>
      <c r="F36" s="2" cm="1">
        <f t="array" ref="F36">_xlfn.XLOOKUP(1,(Cordivari!$A$83:$A$225=F$2)*(Cordivari!$C$83:$C$225=$B4),Cordivari!$G$83:$G$225,"")</f>
        <v>0.79</v>
      </c>
      <c r="G36" s="2" cm="1">
        <f t="array" ref="G36">_xlfn.XLOOKUP(1,(Cordivari!$A$83:$A$225=G$2)*(Cordivari!$C$83:$C$225=$B4),Cordivari!$G$83:$G$225,"")</f>
        <v>0.85</v>
      </c>
      <c r="H36" s="2" cm="1">
        <f t="array" ref="H36">_xlfn.XLOOKUP(1,(Cordivari!$A$83:$A$225=H$2)*(Cordivari!$C$83:$C$225=$B4),Cordivari!$G$83:$G$225,"")</f>
        <v>0.89</v>
      </c>
      <c r="I36" s="2" cm="1">
        <f t="array" ref="I36">_xlfn.XLOOKUP(1,(Cordivari!$A$83:$A$225=I$2)*(Cordivari!$C$83:$C$225=$B4),Cordivari!$G$83:$G$225,"")</f>
        <v>0.91</v>
      </c>
      <c r="J36" s="2" cm="1">
        <f t="array" ref="J36">_xlfn.XLOOKUP(1,(Cordivari!$A$83:$A$225=J$2)*(Cordivari!$C$83:$C$225=$B4),Cordivari!$G$83:$G$225,"")</f>
        <v>0.94</v>
      </c>
      <c r="K36" s="2" cm="1">
        <f t="array" ref="K36">_xlfn.XLOOKUP(1,(Cordivari!$A$83:$A$225=K$2)*(Cordivari!$C$83:$C$225=$B4),Cordivari!$G$83:$G$225,"")</f>
        <v>0.97</v>
      </c>
      <c r="L36" s="2" cm="1">
        <f t="array" ref="L36">_xlfn.XLOOKUP(1,(Cordivari!$A$83:$A$225=L$2)*(Cordivari!$C$83:$C$225=$B4),Cordivari!$G$83:$G$225,"")</f>
        <v>1</v>
      </c>
      <c r="M36" s="2" cm="1">
        <f t="array" ref="M36">_xlfn.XLOOKUP(1,(Cordivari!$A$83:$A$225=M$2)*(Cordivari!$C$83:$C$225=$B4),Cordivari!$G$83:$G$225,"")</f>
        <v>1.0900000000000001</v>
      </c>
      <c r="N36" s="2" cm="1">
        <f t="array" ref="N36">_xlfn.XLOOKUP(1,(Cordivari!$A$83:$A$225=N$2)*(Cordivari!$C$83:$C$225=$B4),Cordivari!$G$83:$G$225,"")</f>
        <v>1.0900000000000001</v>
      </c>
      <c r="O36" s="2" cm="1">
        <f t="array" ref="O36">_xlfn.XLOOKUP(1,(Cordivari!$A$83:$A$225=O$2)*(Cordivari!$C$83:$C$225=$B4),Cordivari!$G$83:$G$225,"")</f>
        <v>1.1299999999999999</v>
      </c>
      <c r="P36" s="2" cm="1">
        <f t="array" ref="P36">_xlfn.XLOOKUP(1,(Cordivari!$A$83:$A$225=P$2)*(Cordivari!$C$83:$C$225=$B4),Cordivari!$G$83:$G$225,"")</f>
        <v>1.21</v>
      </c>
      <c r="Q36" s="2" cm="1">
        <f t="array" ref="Q36">_xlfn.XLOOKUP(1,(Cordivari!$A$83:$A$225=Q$2)*(Cordivari!$C$83:$C$225=$B4),Cordivari!$G$83:$G$225,"")</f>
        <v>1.24</v>
      </c>
      <c r="R36" s="2" cm="1">
        <f t="array" ref="R36">_xlfn.XLOOKUP(1,(Cordivari!$A$83:$A$225=R$2)*(Cordivari!$C$83:$C$225=$B4),Cordivari!$G$83:$G$225,"")</f>
        <v>1.26</v>
      </c>
      <c r="S36" s="2" cm="1">
        <f t="array" ref="S36">_xlfn.XLOOKUP(1,(Cordivari!$A$83:$A$225=S$2)*(Cordivari!$C$83:$C$225=$B4),Cordivari!$G$83:$G$225,"")</f>
        <v>1.39</v>
      </c>
      <c r="T36" s="2" cm="1">
        <f t="array" ref="T36">_xlfn.XLOOKUP(1,(Cordivari!$A$83:$A$225=T$2)*(Cordivari!$C$83:$C$225=$B4),Cordivari!$G$83:$G$225,"")</f>
        <v>1.63</v>
      </c>
      <c r="U36" s="2" cm="1">
        <f t="array" ref="U36">_xlfn.XLOOKUP(1,(Cordivari!$A$83:$A$225=U$2)*(Cordivari!$C$83:$C$225=$B4),Cordivari!$G$83:$G$225,"")</f>
        <v>1.99</v>
      </c>
      <c r="V36" s="2" cm="1">
        <f t="array" ref="V36">_xlfn.XLOOKUP(1,(Cordivari!$A$83:$A$225=V$2)*(Cordivari!$C$83:$C$225=$B4),Cordivari!$G$83:$G$225,"")</f>
        <v>2.1800000000000002</v>
      </c>
      <c r="W36" s="2" cm="1">
        <f t="array" ref="W36">_xlfn.XLOOKUP(1,(Cordivari!$A$83:$A$225=W$2)*(Cordivari!$C$83:$C$225=$B4),Cordivari!$G$83:$G$225,"")</f>
        <v>2.35</v>
      </c>
      <c r="X36" s="2" cm="1">
        <f t="array" ref="X36">_xlfn.XLOOKUP(1,(Cordivari!$A$83:$A$225=X$2)*(Cordivari!$C$83:$C$225=$B4),Cordivari!$G$83:$G$225,"")</f>
        <v>2.42</v>
      </c>
      <c r="Y36" s="2" cm="1">
        <f t="array" ref="Y36">_xlfn.XLOOKUP(1,(Cordivari!$A$83:$A$225=Y$2)*(Cordivari!$C$83:$C$225=$B4),Cordivari!$G$83:$G$225,"")</f>
        <v>2.59</v>
      </c>
      <c r="Z36" s="2" cm="1">
        <f t="array" ref="Z36">_xlfn.XLOOKUP(1,(Cordivari!$A$83:$A$225=Z$2)*(Cordivari!$C$83:$C$225=$B4),Cordivari!$G$83:$G$225,"")</f>
        <v>2.66</v>
      </c>
      <c r="AA36" s="2" cm="1">
        <f t="array" ref="AA36">_xlfn.XLOOKUP(1,(Cordivari!$A$83:$A$225=AA$2)*(Cordivari!$C$83:$C$225=$B4),Cordivari!$G$83:$G$225,"")</f>
        <v>2.83</v>
      </c>
      <c r="AB36" s="2" cm="1">
        <f t="array" ref="AB36">_xlfn.XLOOKUP(1,(Cordivari!$A$83:$A$225=AB$2)*(Cordivari!$C$83:$C$225=$B4),Cordivari!$G$83:$G$225,"")</f>
        <v>3.19</v>
      </c>
    </row>
    <row r="37" spans="1:35" x14ac:dyDescent="0.2">
      <c r="B37" s="2">
        <f>B5</f>
        <v>148</v>
      </c>
      <c r="C37" s="2" cm="1">
        <f t="array" ref="C37">_xlfn.XLOOKUP(1,(Cordivari!$A$83:$A$225=C$2)*(Cordivari!$C$83:$C$225=$B5),Cordivari!$G$83:$G$225,"")</f>
        <v>0.56000000000000005</v>
      </c>
      <c r="D37" s="2" cm="1">
        <f t="array" ref="D37">_xlfn.XLOOKUP(1,(Cordivari!$A$83:$A$225=D$2)*(Cordivari!$C$83:$C$225=$B5),Cordivari!$G$83:$G$225,"")</f>
        <v>0.72</v>
      </c>
      <c r="E37" s="2" cm="1">
        <f t="array" ref="E37">_xlfn.XLOOKUP(1,(Cordivari!$A$83:$A$225=E$2)*(Cordivari!$C$83:$C$225=$B5),Cordivari!$G$83:$G$225,"")</f>
        <v>0.88</v>
      </c>
      <c r="F37" s="2" cm="1">
        <f t="array" ref="F37">_xlfn.XLOOKUP(1,(Cordivari!$A$83:$A$225=F$2)*(Cordivari!$C$83:$C$225=$B5),Cordivari!$G$83:$G$225,"")</f>
        <v>1.04</v>
      </c>
      <c r="G37" s="2" cm="1">
        <f t="array" ref="G37">_xlfn.XLOOKUP(1,(Cordivari!$A$83:$A$225=G$2)*(Cordivari!$C$83:$C$225=$B5),Cordivari!$G$83:$G$225,"")</f>
        <v>1.1299999999999999</v>
      </c>
      <c r="H37" s="2" cm="1">
        <f t="array" ref="H37">_xlfn.XLOOKUP(1,(Cordivari!$A$83:$A$225=H$2)*(Cordivari!$C$83:$C$225=$B5),Cordivari!$G$83:$G$225,"")</f>
        <v>1.18</v>
      </c>
      <c r="I37" s="2" cm="1">
        <f t="array" ref="I37">_xlfn.XLOOKUP(1,(Cordivari!$A$83:$A$225=I$2)*(Cordivari!$C$83:$C$225=$B5),Cordivari!$G$83:$G$225,"")</f>
        <v>1.2</v>
      </c>
      <c r="J37" s="2" cm="1">
        <f t="array" ref="J37">_xlfn.XLOOKUP(1,(Cordivari!$A$83:$A$225=J$2)*(Cordivari!$C$83:$C$225=$B5),Cordivari!$G$83:$G$225,"")</f>
        <v>1.24</v>
      </c>
      <c r="K37" s="2" cm="1">
        <f t="array" ref="K37">_xlfn.XLOOKUP(1,(Cordivari!$A$83:$A$225=K$2)*(Cordivari!$C$83:$C$225=$B5),Cordivari!$G$83:$G$225,"")</f>
        <v>1.29</v>
      </c>
      <c r="L37" s="2" cm="1">
        <f t="array" ref="L37">_xlfn.XLOOKUP(1,(Cordivari!$A$83:$A$225=L$2)*(Cordivari!$C$83:$C$225=$B5),Cordivari!$G$83:$G$225,"")</f>
        <v>1.32</v>
      </c>
      <c r="M37" s="2" cm="1">
        <f t="array" ref="M37">_xlfn.XLOOKUP(1,(Cordivari!$A$83:$A$225=M$2)*(Cordivari!$C$83:$C$225=$B5),Cordivari!$G$83:$G$225,"")</f>
        <v>1.44</v>
      </c>
      <c r="N37" s="2" cm="1">
        <f t="array" ref="N37">_xlfn.XLOOKUP(1,(Cordivari!$A$83:$A$225=N$2)*(Cordivari!$C$83:$C$225=$B5),Cordivari!$G$83:$G$225,"")</f>
        <v>1.45</v>
      </c>
      <c r="O37" s="2" cm="1">
        <f t="array" ref="O37">_xlfn.XLOOKUP(1,(Cordivari!$A$83:$A$225=O$2)*(Cordivari!$C$83:$C$225=$B5),Cordivari!$G$83:$G$225,"")</f>
        <v>1.5</v>
      </c>
      <c r="P37" s="2" cm="1">
        <f t="array" ref="P37">_xlfn.XLOOKUP(1,(Cordivari!$A$83:$A$225=P$2)*(Cordivari!$C$83:$C$225=$B5),Cordivari!$G$83:$G$225,"")</f>
        <v>1.61</v>
      </c>
      <c r="Q37" s="2" cm="1">
        <f t="array" ref="Q37">_xlfn.XLOOKUP(1,(Cordivari!$A$83:$A$225=Q$2)*(Cordivari!$C$83:$C$225=$B5),Cordivari!$G$83:$G$225,"")</f>
        <v>1.65</v>
      </c>
      <c r="R37" s="2" cm="1">
        <f t="array" ref="R37">_xlfn.XLOOKUP(1,(Cordivari!$A$83:$A$225=R$2)*(Cordivari!$C$83:$C$225=$B5),Cordivari!$G$83:$G$225,"")</f>
        <v>1.7</v>
      </c>
      <c r="S37" s="2" cm="1">
        <f t="array" ref="S37">_xlfn.XLOOKUP(1,(Cordivari!$A$83:$A$225=S$2)*(Cordivari!$C$83:$C$225=$B5),Cordivari!$G$83:$G$225,"")</f>
        <v>1.84</v>
      </c>
      <c r="T37" s="2" cm="1">
        <f t="array" ref="T37">_xlfn.XLOOKUP(1,(Cordivari!$A$83:$A$225=T$2)*(Cordivari!$C$83:$C$225=$B5),Cordivari!$G$83:$G$225,"")</f>
        <v>2.17</v>
      </c>
      <c r="U37" s="2" cm="1">
        <f t="array" ref="U37">_xlfn.XLOOKUP(1,(Cordivari!$A$83:$A$225=U$2)*(Cordivari!$C$83:$C$225=$B5),Cordivari!$G$83:$G$225,"")</f>
        <v>2.65</v>
      </c>
      <c r="V37" s="2" cm="1">
        <f t="array" ref="V37">_xlfn.XLOOKUP(1,(Cordivari!$A$83:$A$225=V$2)*(Cordivari!$C$83:$C$225=$B5),Cordivari!$G$83:$G$225,"")</f>
        <v>2.9</v>
      </c>
      <c r="W37" s="2" cm="1">
        <f t="array" ref="W37">_xlfn.XLOOKUP(1,(Cordivari!$A$83:$A$225=W$2)*(Cordivari!$C$83:$C$225=$B5),Cordivari!$G$83:$G$225,"")</f>
        <v>3.13</v>
      </c>
      <c r="X37" s="2" cm="1">
        <f t="array" ref="X37">_xlfn.XLOOKUP(1,(Cordivari!$A$83:$A$225=X$2)*(Cordivari!$C$83:$C$225=$B5),Cordivari!$G$83:$G$225,"")</f>
        <v>3.22</v>
      </c>
      <c r="Y37" s="2" cm="1">
        <f t="array" ref="Y37">_xlfn.XLOOKUP(1,(Cordivari!$A$83:$A$225=Y$2)*(Cordivari!$C$83:$C$225=$B5),Cordivari!$G$83:$G$225,"")</f>
        <v>3.45</v>
      </c>
      <c r="Z37" s="2" cm="1">
        <f t="array" ref="Z37">_xlfn.XLOOKUP(1,(Cordivari!$A$83:$A$225=Z$2)*(Cordivari!$C$83:$C$225=$B5),Cordivari!$G$83:$G$225,"")</f>
        <v>3.54</v>
      </c>
      <c r="AA37" s="2" cm="1">
        <f t="array" ref="AA37">_xlfn.XLOOKUP(1,(Cordivari!$A$83:$A$225=AA$2)*(Cordivari!$C$83:$C$225=$B5),Cordivari!$G$83:$G$225,"")</f>
        <v>3.77</v>
      </c>
      <c r="AB37" s="2" cm="1">
        <f t="array" ref="AB37">_xlfn.XLOOKUP(1,(Cordivari!$A$83:$A$225=AB$2)*(Cordivari!$C$83:$C$225=$B5),Cordivari!$G$83:$G$225,"")</f>
        <v>4.25</v>
      </c>
    </row>
    <row r="38" spans="1:35" x14ac:dyDescent="0.2">
      <c r="B38" s="2">
        <f>B6</f>
        <v>189</v>
      </c>
      <c r="C38" s="2" cm="1">
        <f t="array" ref="C38">_xlfn.XLOOKUP(1,(Cordivari!$A$83:$A$225=C$2)*(Cordivari!$C$83:$C$225=$B6),Cordivari!$G$83:$G$225,"")</f>
        <v>0.7</v>
      </c>
      <c r="D38" s="2" cm="1">
        <f t="array" ref="D38">_xlfn.XLOOKUP(1,(Cordivari!$A$83:$A$225=D$2)*(Cordivari!$C$83:$C$225=$B6),Cordivari!$G$83:$G$225,"")</f>
        <v>0.9</v>
      </c>
      <c r="E38" s="2" cm="1">
        <f t="array" ref="E38">_xlfn.XLOOKUP(1,(Cordivari!$A$83:$A$225=E$2)*(Cordivari!$C$83:$C$225=$B6),Cordivari!$G$83:$G$225,"")</f>
        <v>1.1000000000000001</v>
      </c>
      <c r="F38" s="2" cm="1">
        <f t="array" ref="F38">_xlfn.XLOOKUP(1,(Cordivari!$A$83:$A$225=F$2)*(Cordivari!$C$83:$C$225=$B6),Cordivari!$G$83:$G$225,"")</f>
        <v>1.3</v>
      </c>
      <c r="G38" s="2" cm="1">
        <f t="array" ref="G38">_xlfn.XLOOKUP(1,(Cordivari!$A$83:$A$225=G$2)*(Cordivari!$C$83:$C$225=$B6),Cordivari!$G$83:$G$225,"")</f>
        <v>1.41</v>
      </c>
      <c r="H38" s="2" cm="1">
        <f t="array" ref="H38">_xlfn.XLOOKUP(1,(Cordivari!$A$83:$A$225=H$2)*(Cordivari!$C$83:$C$225=$B6),Cordivari!$G$83:$G$225,"")</f>
        <v>1.47</v>
      </c>
      <c r="I38" s="2" cm="1">
        <f t="array" ref="I38">_xlfn.XLOOKUP(1,(Cordivari!$A$83:$A$225=I$2)*(Cordivari!$C$83:$C$225=$B6),Cordivari!$G$83:$G$225,"")</f>
        <v>1.5</v>
      </c>
      <c r="J38" s="2" cm="1">
        <f t="array" ref="J38">_xlfn.XLOOKUP(1,(Cordivari!$A$83:$A$225=J$2)*(Cordivari!$C$83:$C$225=$B6),Cordivari!$G$83:$G$225,"")</f>
        <v>1.55</v>
      </c>
      <c r="K38" s="2" cm="1">
        <f t="array" ref="K38">_xlfn.XLOOKUP(1,(Cordivari!$A$83:$A$225=K$2)*(Cordivari!$C$83:$C$225=$B6),Cordivari!$G$83:$G$225,"")</f>
        <v>1.61</v>
      </c>
      <c r="L38" s="2" cm="1">
        <f t="array" ref="L38">_xlfn.XLOOKUP(1,(Cordivari!$A$83:$A$225=L$2)*(Cordivari!$C$83:$C$225=$B6),Cordivari!$G$83:$G$225,"")</f>
        <v>1.65</v>
      </c>
      <c r="M38" s="2" cm="1">
        <f t="array" ref="M38">_xlfn.XLOOKUP(1,(Cordivari!$A$83:$A$225=M$2)*(Cordivari!$C$83:$C$225=$B6),Cordivari!$G$83:$G$225,"")</f>
        <v>1.8</v>
      </c>
      <c r="N38" s="2" cm="1">
        <f t="array" ref="N38">_xlfn.XLOOKUP(1,(Cordivari!$A$83:$A$225=N$2)*(Cordivari!$C$83:$C$225=$B6),Cordivari!$G$83:$G$225,"")</f>
        <v>1.81</v>
      </c>
      <c r="O38" s="2" cm="1">
        <f t="array" ref="O38">_xlfn.XLOOKUP(1,(Cordivari!$A$83:$A$225=O$2)*(Cordivari!$C$83:$C$225=$B6),Cordivari!$G$83:$G$225,"")</f>
        <v>1.87</v>
      </c>
      <c r="P38" s="2" cm="1">
        <f t="array" ref="P38">_xlfn.XLOOKUP(1,(Cordivari!$A$83:$A$225=P$2)*(Cordivari!$C$83:$C$225=$B6),Cordivari!$G$83:$G$225,"")</f>
        <v>2.0099999999999998</v>
      </c>
      <c r="Q38" s="2" cm="1">
        <f t="array" ref="Q38">_xlfn.XLOOKUP(1,(Cordivari!$A$83:$A$225=Q$2)*(Cordivari!$C$83:$C$225=$B6),Cordivari!$G$83:$G$225,"")</f>
        <v>2.0499999999999998</v>
      </c>
      <c r="R38" s="2" cm="1">
        <f t="array" ref="R38">_xlfn.XLOOKUP(1,(Cordivari!$A$83:$A$225=R$2)*(Cordivari!$C$83:$C$225=$B6),Cordivari!$G$83:$G$225,"")</f>
        <v>2.13</v>
      </c>
      <c r="S38" s="2" cm="1">
        <f t="array" ref="S38">_xlfn.XLOOKUP(1,(Cordivari!$A$83:$A$225=S$2)*(Cordivari!$C$83:$C$225=$B6),Cordivari!$G$83:$G$225,"")</f>
        <v>2.2999999999999998</v>
      </c>
      <c r="T38" s="2" cm="1">
        <f t="array" ref="T38">_xlfn.XLOOKUP(1,(Cordivari!$A$83:$A$225=T$2)*(Cordivari!$C$83:$C$225=$B6),Cordivari!$G$83:$G$225,"")</f>
        <v>2.7</v>
      </c>
      <c r="U38" s="2" cm="1">
        <f t="array" ref="U38">_xlfn.XLOOKUP(1,(Cordivari!$A$83:$A$225=U$2)*(Cordivari!$C$83:$C$225=$B6),Cordivari!$G$83:$G$225,"")</f>
        <v>3.3</v>
      </c>
      <c r="V38" s="2" cm="1">
        <f t="array" ref="V38">_xlfn.XLOOKUP(1,(Cordivari!$A$83:$A$225=V$2)*(Cordivari!$C$83:$C$225=$B6),Cordivari!$G$83:$G$225,"")</f>
        <v>3.62</v>
      </c>
      <c r="W38" s="2" cm="1">
        <f t="array" ref="W38">_xlfn.XLOOKUP(1,(Cordivari!$A$83:$A$225=W$2)*(Cordivari!$C$83:$C$225=$B6),Cordivari!$G$83:$G$225,"")</f>
        <v>3.91</v>
      </c>
      <c r="X38" s="2" cm="1">
        <f t="array" ref="X38">_xlfn.XLOOKUP(1,(Cordivari!$A$83:$A$225=X$2)*(Cordivari!$C$83:$C$225=$B6),Cordivari!$G$83:$G$225,"")</f>
        <v>4.0199999999999996</v>
      </c>
      <c r="Y38" s="2" cm="1">
        <f t="array" ref="Y38">_xlfn.XLOOKUP(1,(Cordivari!$A$83:$A$225=Y$2)*(Cordivari!$C$83:$C$225=$B6),Cordivari!$G$83:$G$225,"")</f>
        <v>4.3099999999999996</v>
      </c>
      <c r="Z38" s="2" cm="1">
        <f t="array" ref="Z38">_xlfn.XLOOKUP(1,(Cordivari!$A$83:$A$225=Z$2)*(Cordivari!$C$83:$C$225=$B6),Cordivari!$G$83:$G$225,"")</f>
        <v>4.42</v>
      </c>
      <c r="AA38" s="2" cm="1">
        <f t="array" ref="AA38">_xlfn.XLOOKUP(1,(Cordivari!$A$83:$A$225=AA$2)*(Cordivari!$C$83:$C$225=$B6),Cordivari!$G$83:$G$225,"")</f>
        <v>4.71</v>
      </c>
      <c r="AB38" s="2" cm="1">
        <f t="array" ref="AB38">_xlfn.XLOOKUP(1,(Cordivari!$A$83:$A$225=AB$2)*(Cordivari!$C$83:$C$225=$B6),Cordivari!$G$83:$G$225,"")</f>
        <v>5.31</v>
      </c>
    </row>
    <row r="39" spans="1:35" x14ac:dyDescent="0.2">
      <c r="B39" s="2">
        <f>B7</f>
        <v>230</v>
      </c>
      <c r="C39" s="2" cm="1">
        <f t="array" ref="C39">_xlfn.XLOOKUP(1,(Cordivari!$A$83:$A$225=C$2)*(Cordivari!$C$83:$C$225=$B7),Cordivari!$G$83:$G$225,"")</f>
        <v>0.8</v>
      </c>
      <c r="D39" s="2" cm="1">
        <f t="array" ref="D39">_xlfn.XLOOKUP(1,(Cordivari!$A$83:$A$225=D$2)*(Cordivari!$C$83:$C$225=$B7),Cordivari!$G$83:$G$225,"")</f>
        <v>1.1000000000000001</v>
      </c>
      <c r="E39" s="2" cm="1">
        <f t="array" ref="E39">_xlfn.XLOOKUP(1,(Cordivari!$A$83:$A$225=E$2)*(Cordivari!$C$83:$C$225=$B7),Cordivari!$G$83:$G$225,"")</f>
        <v>1.3</v>
      </c>
      <c r="F39" s="2" cm="1">
        <f t="array" ref="F39">_xlfn.XLOOKUP(1,(Cordivari!$A$83:$A$225=F$2)*(Cordivari!$C$83:$C$225=$B7),Cordivari!$G$83:$G$225,"")</f>
        <v>1.6</v>
      </c>
      <c r="G39" s="2" cm="1">
        <f t="array" ref="G39">_xlfn.XLOOKUP(1,(Cordivari!$A$83:$A$225=G$2)*(Cordivari!$C$83:$C$225=$B7),Cordivari!$G$83:$G$225,"")</f>
        <v>1.7</v>
      </c>
      <c r="H39" s="2" cm="1">
        <f t="array" ref="H39">_xlfn.XLOOKUP(1,(Cordivari!$A$83:$A$225=H$2)*(Cordivari!$C$83:$C$225=$B7),Cordivari!$G$83:$G$225,"")</f>
        <v>1.77</v>
      </c>
      <c r="I39" s="2" cm="1">
        <f t="array" ref="I39">_xlfn.XLOOKUP(1,(Cordivari!$A$83:$A$225=I$2)*(Cordivari!$C$83:$C$225=$B7),Cordivari!$G$83:$G$225,"")</f>
        <v>1.8</v>
      </c>
      <c r="J39" s="2" cm="1">
        <f t="array" ref="J39">_xlfn.XLOOKUP(1,(Cordivari!$A$83:$A$225=J$2)*(Cordivari!$C$83:$C$225=$B7),Cordivari!$G$83:$G$225,"")</f>
        <v>1.85</v>
      </c>
      <c r="K39" s="2" cm="1">
        <f t="array" ref="K39">_xlfn.XLOOKUP(1,(Cordivari!$A$83:$A$225=K$2)*(Cordivari!$C$83:$C$225=$B7),Cordivari!$G$83:$G$225,"")</f>
        <v>1.9</v>
      </c>
      <c r="L39" s="2" cm="1">
        <f t="array" ref="L39">_xlfn.XLOOKUP(1,(Cordivari!$A$83:$A$225=L$2)*(Cordivari!$C$83:$C$225=$B7),Cordivari!$G$83:$G$225,"")</f>
        <v>2</v>
      </c>
      <c r="M39" s="2" cm="1">
        <f t="array" ref="M39">_xlfn.XLOOKUP(1,(Cordivari!$A$83:$A$225=M$2)*(Cordivari!$C$83:$C$225=$B7),Cordivari!$G$83:$G$225,"")</f>
        <v>2.2000000000000002</v>
      </c>
      <c r="N39" s="2" cm="1">
        <f t="array" ref="N39">_xlfn.XLOOKUP(1,(Cordivari!$A$83:$A$225=N$2)*(Cordivari!$C$83:$C$225=$B7),Cordivari!$G$83:$G$225,"")</f>
        <v>2.2000000000000002</v>
      </c>
      <c r="O39" s="2" cm="1">
        <f t="array" ref="O39">_xlfn.XLOOKUP(1,(Cordivari!$A$83:$A$225=O$2)*(Cordivari!$C$83:$C$225=$B7),Cordivari!$G$83:$G$225,"")</f>
        <v>2.25</v>
      </c>
      <c r="P39" s="2" cm="1">
        <f t="array" ref="P39">_xlfn.XLOOKUP(1,(Cordivari!$A$83:$A$225=P$2)*(Cordivari!$C$83:$C$225=$B7),Cordivari!$G$83:$G$225,"")</f>
        <v>2.4</v>
      </c>
      <c r="Q39" s="2" cm="1">
        <f t="array" ref="Q39">_xlfn.XLOOKUP(1,(Cordivari!$A$83:$A$225=Q$2)*(Cordivari!$C$83:$C$225=$B7),Cordivari!$G$83:$G$225,"")</f>
        <v>2.5</v>
      </c>
      <c r="R39" s="2" cm="1">
        <f t="array" ref="R39">_xlfn.XLOOKUP(1,(Cordivari!$A$83:$A$225=R$2)*(Cordivari!$C$83:$C$225=$B7),Cordivari!$G$83:$G$225,"")</f>
        <v>2.56</v>
      </c>
      <c r="S39" s="2" cm="1">
        <f t="array" ref="S39">_xlfn.XLOOKUP(1,(Cordivari!$A$83:$A$225=S$2)*(Cordivari!$C$83:$C$225=$B7),Cordivari!$G$83:$G$225,"")</f>
        <v>2.8</v>
      </c>
      <c r="T39" s="2" cm="1">
        <f t="array" ref="T39">_xlfn.XLOOKUP(1,(Cordivari!$A$83:$A$225=T$2)*(Cordivari!$C$83:$C$225=$B7),Cordivari!$G$83:$G$225,"")</f>
        <v>3.2</v>
      </c>
      <c r="U39" s="2" cm="1">
        <f t="array" ref="U39">_xlfn.XLOOKUP(1,(Cordivari!$A$83:$A$225=U$2)*(Cordivari!$C$83:$C$225=$B7),Cordivari!$G$83:$G$225,"")</f>
        <v>4</v>
      </c>
      <c r="V39" s="2" cm="1">
        <f t="array" ref="V39">_xlfn.XLOOKUP(1,(Cordivari!$A$83:$A$225=V$2)*(Cordivari!$C$83:$C$225=$B7),Cordivari!$G$83:$G$225,"")</f>
        <v>4.3600000000000003</v>
      </c>
      <c r="W39" s="2" cm="1">
        <f t="array" ref="W39">_xlfn.XLOOKUP(1,(Cordivari!$A$83:$A$225=W$2)*(Cordivari!$C$83:$C$225=$B7),Cordivari!$G$83:$G$225,"")</f>
        <v>4.7</v>
      </c>
      <c r="X39" s="2" cm="1">
        <f t="array" ref="X39">_xlfn.XLOOKUP(1,(Cordivari!$A$83:$A$225=X$2)*(Cordivari!$C$83:$C$225=$B7),Cordivari!$G$83:$G$225,"")</f>
        <v>4.84</v>
      </c>
      <c r="Y39" s="2" cm="1">
        <f t="array" ref="Y39">_xlfn.XLOOKUP(1,(Cordivari!$A$83:$A$225=Y$2)*(Cordivari!$C$83:$C$225=$B7),Cordivari!$G$83:$G$225,"")</f>
        <v>5.2</v>
      </c>
      <c r="Z39" s="2" cm="1">
        <f t="array" ref="Z39">_xlfn.XLOOKUP(1,(Cordivari!$A$83:$A$225=Z$2)*(Cordivari!$C$83:$C$225=$B7),Cordivari!$G$83:$G$225,"")</f>
        <v>5.29</v>
      </c>
      <c r="AA39" s="2" cm="1">
        <f t="array" ref="AA39">_xlfn.XLOOKUP(1,(Cordivari!$A$83:$A$225=AA$2)*(Cordivari!$C$83:$C$225=$B7),Cordivari!$G$83:$G$225,"")</f>
        <v>5.6</v>
      </c>
      <c r="AB39" s="2" cm="1">
        <f t="array" ref="AB39">_xlfn.XLOOKUP(1,(Cordivari!$A$83:$A$225=AB$2)*(Cordivari!$C$83:$C$225=$B7),Cordivari!$G$83:$G$225,"")</f>
        <v>6.4</v>
      </c>
    </row>
    <row r="40" spans="1:35" x14ac:dyDescent="0.2">
      <c r="M40"/>
      <c r="N40"/>
      <c r="O40"/>
      <c r="P40"/>
      <c r="Q40"/>
    </row>
    <row r="41" spans="1:35" ht="51.75" x14ac:dyDescent="0.25">
      <c r="A41" s="57" t="s">
        <v>157</v>
      </c>
      <c r="C41" s="4" t="s">
        <v>2</v>
      </c>
      <c r="M41"/>
      <c r="N41"/>
      <c r="O41"/>
      <c r="P41"/>
      <c r="Q41"/>
    </row>
    <row r="42" spans="1:35" x14ac:dyDescent="0.2">
      <c r="A42" s="57" t="s">
        <v>158</v>
      </c>
      <c r="C42" s="5">
        <f t="shared" ref="C42:AB42" si="4">C$2</f>
        <v>207</v>
      </c>
      <c r="D42" s="5">
        <f t="shared" si="4"/>
        <v>300</v>
      </c>
      <c r="E42" s="5">
        <f t="shared" si="4"/>
        <v>400</v>
      </c>
      <c r="F42" s="5">
        <f t="shared" si="4"/>
        <v>500</v>
      </c>
      <c r="G42" s="5">
        <f t="shared" si="4"/>
        <v>556</v>
      </c>
      <c r="H42" s="5">
        <f t="shared" si="4"/>
        <v>586</v>
      </c>
      <c r="I42" s="5">
        <f t="shared" si="4"/>
        <v>600</v>
      </c>
      <c r="J42" s="5">
        <f t="shared" si="4"/>
        <v>626</v>
      </c>
      <c r="K42" s="5">
        <f t="shared" si="4"/>
        <v>656</v>
      </c>
      <c r="L42" s="5">
        <f t="shared" si="4"/>
        <v>676</v>
      </c>
      <c r="M42" s="5">
        <f t="shared" si="4"/>
        <v>750</v>
      </c>
      <c r="N42" s="5">
        <f t="shared" si="4"/>
        <v>756</v>
      </c>
      <c r="O42" s="5">
        <f t="shared" si="4"/>
        <v>786</v>
      </c>
      <c r="P42" s="5">
        <f t="shared" si="4"/>
        <v>856</v>
      </c>
      <c r="Q42" s="5">
        <f t="shared" si="4"/>
        <v>876</v>
      </c>
      <c r="R42" s="5">
        <f t="shared" si="4"/>
        <v>926</v>
      </c>
      <c r="S42" s="5">
        <f t="shared" si="4"/>
        <v>1000</v>
      </c>
      <c r="T42" s="5">
        <f t="shared" si="4"/>
        <v>1200</v>
      </c>
      <c r="U42" s="5">
        <f t="shared" si="4"/>
        <v>1500</v>
      </c>
      <c r="V42" s="5">
        <f t="shared" si="4"/>
        <v>1656</v>
      </c>
      <c r="W42" s="5">
        <f t="shared" si="4"/>
        <v>1800</v>
      </c>
      <c r="X42" s="5">
        <f t="shared" si="4"/>
        <v>1856</v>
      </c>
      <c r="Y42" s="5">
        <f t="shared" si="4"/>
        <v>2000</v>
      </c>
      <c r="Z42" s="5">
        <f t="shared" si="4"/>
        <v>2056</v>
      </c>
      <c r="AA42" s="5">
        <f t="shared" si="4"/>
        <v>2200</v>
      </c>
      <c r="AB42" s="5">
        <f t="shared" si="4"/>
        <v>2500</v>
      </c>
    </row>
    <row r="43" spans="1:35" ht="13.5" x14ac:dyDescent="0.25">
      <c r="A43" s="4" t="s">
        <v>3</v>
      </c>
      <c r="B43" s="2">
        <f>B3</f>
        <v>66</v>
      </c>
      <c r="C43" s="2" cm="1">
        <f t="array" ref="C43">_xlfn.XLOOKUP(1,(Cordivari!$A$83:$A$225=C$2)*(Cordivari!$C$83:$C$225=$B3),Cordivari!$J$83:$J$225,"")</f>
        <v>1.5</v>
      </c>
      <c r="D43" s="2" cm="1">
        <f t="array" ref="D43">_xlfn.XLOOKUP(1,(Cordivari!$A$83:$A$225=D$2)*(Cordivari!$C$83:$C$225=$B3),Cordivari!$J$83:$J$225,"")</f>
        <v>2.2000000000000002</v>
      </c>
      <c r="E43" s="2" cm="1">
        <f t="array" ref="E43">_xlfn.XLOOKUP(1,(Cordivari!$A$83:$A$225=E$2)*(Cordivari!$C$83:$C$225=$B3),Cordivari!$J$83:$J$225,"")</f>
        <v>2.8</v>
      </c>
      <c r="F43" s="2" cm="1">
        <f t="array" ref="F43">_xlfn.XLOOKUP(1,(Cordivari!$A$83:$A$225=F$2)*(Cordivari!$C$83:$C$225=$B3),Cordivari!$J$83:$J$225,"")</f>
        <v>3.4</v>
      </c>
      <c r="G43" s="2" cm="1">
        <f t="array" ref="G43">_xlfn.XLOOKUP(1,(Cordivari!$A$83:$A$225=G$2)*(Cordivari!$C$83:$C$225=$B3),Cordivari!$J$83:$J$225,"")</f>
        <v>3.8</v>
      </c>
      <c r="H43" s="2" cm="1">
        <f t="array" ref="H43">_xlfn.XLOOKUP(1,(Cordivari!$A$83:$A$225=H$2)*(Cordivari!$C$83:$C$225=$B3),Cordivari!$J$83:$J$225,"")</f>
        <v>4</v>
      </c>
      <c r="I43" s="2" cm="1">
        <f t="array" ref="I43">_xlfn.XLOOKUP(1,(Cordivari!$A$83:$A$225=I$2)*(Cordivari!$C$83:$C$225=$B3),Cordivari!$J$83:$J$225,"")</f>
        <v>4.0999999999999996</v>
      </c>
      <c r="J43" s="2" cm="1">
        <f t="array" ref="J43">_xlfn.XLOOKUP(1,(Cordivari!$A$83:$A$225=J$2)*(Cordivari!$C$83:$C$225=$B3),Cordivari!$J$83:$J$225,"")</f>
        <v>4.2</v>
      </c>
      <c r="K43" s="2" cm="1">
        <f t="array" ref="K43">_xlfn.XLOOKUP(1,(Cordivari!$A$83:$A$225=K$2)*(Cordivari!$C$83:$C$225=$B3),Cordivari!$J$83:$J$225,"")</f>
        <v>4.4000000000000004</v>
      </c>
      <c r="L43" s="2" cm="1">
        <f t="array" ref="L43">_xlfn.XLOOKUP(1,(Cordivari!$A$83:$A$225=L$2)*(Cordivari!$C$83:$C$225=$B3),Cordivari!$J$83:$J$225,"")</f>
        <v>4.5</v>
      </c>
      <c r="M43" s="2" cm="1">
        <f t="array" ref="M43">_xlfn.XLOOKUP(1,(Cordivari!$A$83:$A$225=M$2)*(Cordivari!$C$83:$C$225=$B3),Cordivari!$J$83:$J$225,"")</f>
        <v>5</v>
      </c>
      <c r="N43" s="2" cm="1">
        <f t="array" ref="N43">_xlfn.XLOOKUP(1,(Cordivari!$A$83:$A$225=N$2)*(Cordivari!$C$83:$C$225=$B3),Cordivari!$J$83:$J$225,"")</f>
        <v>5</v>
      </c>
      <c r="O43" s="2" cm="1">
        <f t="array" ref="O43">_xlfn.XLOOKUP(1,(Cordivari!$A$83:$A$225=O$2)*(Cordivari!$C$83:$C$225=$B3),Cordivari!$J$83:$J$225,"")</f>
        <v>5.2</v>
      </c>
      <c r="P43" s="2" cm="1">
        <f t="array" ref="P43">_xlfn.XLOOKUP(1,(Cordivari!$A$83:$A$225=P$2)*(Cordivari!$C$83:$C$225=$B3),Cordivari!$J$83:$J$225,"")</f>
        <v>5.6</v>
      </c>
      <c r="Q43" s="2" cm="1">
        <f t="array" ref="Q43">_xlfn.XLOOKUP(1,(Cordivari!$A$83:$A$225=Q$2)*(Cordivari!$C$83:$C$225=$B3),Cordivari!$J$83:$J$225,"")</f>
        <v>5.7</v>
      </c>
      <c r="R43" s="2" cm="1">
        <f t="array" ref="R43">_xlfn.XLOOKUP(1,(Cordivari!$A$83:$A$225=R$2)*(Cordivari!$C$83:$C$225=$B3),Cordivari!$J$83:$J$225,"")</f>
        <v>6</v>
      </c>
      <c r="S43" s="2" cm="1">
        <f t="array" ref="S43">_xlfn.XLOOKUP(1,(Cordivari!$A$83:$A$225=S$2)*(Cordivari!$C$83:$C$225=$B3),Cordivari!$J$83:$J$225,"")</f>
        <v>6.5</v>
      </c>
      <c r="T43" s="2" cm="1">
        <f t="array" ref="T43">_xlfn.XLOOKUP(1,(Cordivari!$A$83:$A$225=T$2)*(Cordivari!$C$83:$C$225=$B3),Cordivari!$J$83:$J$225,"")</f>
        <v>7.7</v>
      </c>
      <c r="U43" s="2" cm="1">
        <f t="array" ref="U43">_xlfn.XLOOKUP(1,(Cordivari!$A$83:$A$225=U$2)*(Cordivari!$C$83:$C$225=$B3),Cordivari!$J$83:$J$225,"")</f>
        <v>9.6</v>
      </c>
      <c r="V43" s="2" cm="1">
        <f t="array" ref="V43">_xlfn.XLOOKUP(1,(Cordivari!$A$83:$A$225=V$2)*(Cordivari!$C$83:$C$225=$B3),Cordivari!$J$83:$J$225,"")</f>
        <v>10.6</v>
      </c>
      <c r="W43" s="2" cm="1">
        <f t="array" ref="W43">_xlfn.XLOOKUP(1,(Cordivari!$A$83:$A$225=W$2)*(Cordivari!$C$83:$C$225=$B3),Cordivari!$J$83:$J$225,"")</f>
        <v>11.5</v>
      </c>
      <c r="X43" s="2" cm="1">
        <f t="array" ref="X43">_xlfn.XLOOKUP(1,(Cordivari!$A$83:$A$225=X$2)*(Cordivari!$C$83:$C$225=$B3),Cordivari!$J$83:$J$225,"")</f>
        <v>11.9</v>
      </c>
      <c r="Y43" s="2" cm="1">
        <f t="array" ref="Y43">_xlfn.XLOOKUP(1,(Cordivari!$A$83:$A$225=Y$2)*(Cordivari!$C$83:$C$225=$B3),Cordivari!$J$83:$J$225,"")</f>
        <v>12.9</v>
      </c>
      <c r="Z43" s="2" cm="1">
        <f t="array" ref="Z43">_xlfn.XLOOKUP(1,(Cordivari!$A$83:$A$225=Z$2)*(Cordivari!$C$83:$C$225=$B3),Cordivari!$J$83:$J$225,"")</f>
        <v>13.3</v>
      </c>
      <c r="AA43" s="2" cm="1">
        <f t="array" ref="AA43">_xlfn.XLOOKUP(1,(Cordivari!$A$83:$A$225=AA$2)*(Cordivari!$C$83:$C$225=$B3),Cordivari!$J$83:$J$225,"")</f>
        <v>14.3</v>
      </c>
      <c r="AB43" s="2" cm="1">
        <f t="array" ref="AB43">_xlfn.XLOOKUP(1,(Cordivari!$A$83:$A$225=AB$2)*(Cordivari!$C$83:$C$225=$B3),Cordivari!$J$83:$J$225,"")</f>
        <v>16.399999999999999</v>
      </c>
    </row>
    <row r="44" spans="1:35" ht="12.75" customHeight="1" x14ac:dyDescent="0.2">
      <c r="B44" s="2">
        <f>B4</f>
        <v>107</v>
      </c>
      <c r="C44" s="2" cm="1">
        <f t="array" ref="C44">_xlfn.XLOOKUP(1,(Cordivari!$A$83:$A$225=C$2)*(Cordivari!$C$83:$C$225=$B4),Cordivari!$J$83:$J$225,"")</f>
        <v>2.1</v>
      </c>
      <c r="D44" s="2" cm="1">
        <f t="array" ref="D44">_xlfn.XLOOKUP(1,(Cordivari!$A$83:$A$225=D$2)*(Cordivari!$C$83:$C$225=$B4),Cordivari!$J$83:$J$225,"")</f>
        <v>3</v>
      </c>
      <c r="E44" s="2" cm="1">
        <f t="array" ref="E44">_xlfn.XLOOKUP(1,(Cordivari!$A$83:$A$225=E$2)*(Cordivari!$C$83:$C$225=$B4),Cordivari!$J$83:$J$225,"")</f>
        <v>3.9</v>
      </c>
      <c r="F44" s="2" cm="1">
        <f t="array" ref="F44">_xlfn.XLOOKUP(1,(Cordivari!$A$83:$A$225=F$2)*(Cordivari!$C$83:$C$225=$B4),Cordivari!$J$83:$J$225,"")</f>
        <v>4.7</v>
      </c>
      <c r="G44" s="2" cm="1">
        <f t="array" ref="G44">_xlfn.XLOOKUP(1,(Cordivari!$A$83:$A$225=G$2)*(Cordivari!$C$83:$C$225=$B4),Cordivari!$J$83:$J$225,"")</f>
        <v>5.2</v>
      </c>
      <c r="H44" s="2" cm="1">
        <f t="array" ref="H44">_xlfn.XLOOKUP(1,(Cordivari!$A$83:$A$225=H$2)*(Cordivari!$C$83:$C$225=$B4),Cordivari!$J$83:$J$225,"")</f>
        <v>5.5</v>
      </c>
      <c r="I44" s="2" cm="1">
        <f t="array" ref="I44">_xlfn.XLOOKUP(1,(Cordivari!$A$83:$A$225=I$2)*(Cordivari!$C$83:$C$225=$B4),Cordivari!$J$83:$J$225,"")</f>
        <v>5.6</v>
      </c>
      <c r="J44" s="2" cm="1">
        <f t="array" ref="J44">_xlfn.XLOOKUP(1,(Cordivari!$A$83:$A$225=J$2)*(Cordivari!$C$83:$C$225=$B4),Cordivari!$J$83:$J$225,"")</f>
        <v>5.8</v>
      </c>
      <c r="K44" s="2" cm="1">
        <f t="array" ref="K44">_xlfn.XLOOKUP(1,(Cordivari!$A$83:$A$225=K$2)*(Cordivari!$C$83:$C$225=$B4),Cordivari!$J$83:$J$225,"")</f>
        <v>6.1</v>
      </c>
      <c r="L44" s="2" cm="1">
        <f t="array" ref="L44">_xlfn.XLOOKUP(1,(Cordivari!$A$83:$A$225=L$2)*(Cordivari!$C$83:$C$225=$B4),Cordivari!$J$83:$J$225,"")</f>
        <v>6.3</v>
      </c>
      <c r="M44" s="2" cm="1">
        <f t="array" ref="M44">_xlfn.XLOOKUP(1,(Cordivari!$A$83:$A$225=M$2)*(Cordivari!$C$83:$C$225=$B4),Cordivari!$J$83:$J$225,"")</f>
        <v>6.9</v>
      </c>
      <c r="N44" s="2" cm="1">
        <f t="array" ref="N44">_xlfn.XLOOKUP(1,(Cordivari!$A$83:$A$225=N$2)*(Cordivari!$C$83:$C$225=$B4),Cordivari!$J$83:$J$225,"")</f>
        <v>6.9</v>
      </c>
      <c r="O44" s="2" cm="1">
        <f t="array" ref="O44">_xlfn.XLOOKUP(1,(Cordivari!$A$83:$A$225=O$2)*(Cordivari!$C$83:$C$225=$B4),Cordivari!$J$83:$J$225,"")</f>
        <v>7.2</v>
      </c>
      <c r="P44" s="2" cm="1">
        <f t="array" ref="P44">_xlfn.XLOOKUP(1,(Cordivari!$A$83:$A$225=P$2)*(Cordivari!$C$83:$C$225=$B4),Cordivari!$J$83:$J$225,"")</f>
        <v>7.8</v>
      </c>
      <c r="Q44" s="2" cm="1">
        <f t="array" ref="Q44">_xlfn.XLOOKUP(1,(Cordivari!$A$83:$A$225=Q$2)*(Cordivari!$C$83:$C$225=$B4),Cordivari!$J$83:$J$225,"")</f>
        <v>7.9</v>
      </c>
      <c r="R44" s="2" cm="1">
        <f t="array" ref="R44">_xlfn.XLOOKUP(1,(Cordivari!$A$83:$A$225=R$2)*(Cordivari!$C$83:$C$225=$B4),Cordivari!$J$83:$J$225,"")</f>
        <v>8.4</v>
      </c>
      <c r="S44" s="2" cm="1">
        <f t="array" ref="S44">_xlfn.XLOOKUP(1,(Cordivari!$A$83:$A$225=S$2)*(Cordivari!$C$83:$C$225=$B4),Cordivari!$J$83:$J$225,"")</f>
        <v>9</v>
      </c>
      <c r="T44" s="2" cm="1">
        <f t="array" ref="T44">_xlfn.XLOOKUP(1,(Cordivari!$A$83:$A$225=T$2)*(Cordivari!$C$83:$C$225=$B4),Cordivari!$J$83:$J$225,"")</f>
        <v>10.6</v>
      </c>
      <c r="U44" s="2" cm="1">
        <f t="array" ref="U44">_xlfn.XLOOKUP(1,(Cordivari!$A$83:$A$225=U$2)*(Cordivari!$C$83:$C$225=$B4),Cordivari!$J$83:$J$225,"")</f>
        <v>13.1</v>
      </c>
      <c r="V44" s="2" cm="1">
        <f t="array" ref="V44">_xlfn.XLOOKUP(1,(Cordivari!$A$83:$A$225=V$2)*(Cordivari!$C$83:$C$225=$B4),Cordivari!$J$83:$J$225,"")</f>
        <v>14.3</v>
      </c>
      <c r="W44" s="2" cm="1">
        <f t="array" ref="W44">_xlfn.XLOOKUP(1,(Cordivari!$A$83:$A$225=W$2)*(Cordivari!$C$83:$C$225=$B4),Cordivari!$J$83:$J$225,"")</f>
        <v>15.5</v>
      </c>
      <c r="X44" s="2" cm="1">
        <f t="array" ref="X44">_xlfn.XLOOKUP(1,(Cordivari!$A$83:$A$225=X$2)*(Cordivari!$C$83:$C$225=$B4),Cordivari!$J$83:$J$225,"")</f>
        <v>16</v>
      </c>
      <c r="Y44" s="2" cm="1">
        <f t="array" ref="Y44">_xlfn.XLOOKUP(1,(Cordivari!$A$83:$A$225=Y$2)*(Cordivari!$C$83:$C$225=$B4),Cordivari!$J$83:$J$225,"")</f>
        <v>17.100000000000001</v>
      </c>
      <c r="Z44" s="2" cm="1">
        <f t="array" ref="Z44">_xlfn.XLOOKUP(1,(Cordivari!$A$83:$A$225=Z$2)*(Cordivari!$C$83:$C$225=$B4),Cordivari!$J$83:$J$225,"")</f>
        <v>17.600000000000001</v>
      </c>
      <c r="AA44" s="2" cm="1">
        <f t="array" ref="AA44">_xlfn.XLOOKUP(1,(Cordivari!$A$83:$A$225=AA$2)*(Cordivari!$C$83:$C$225=$B4),Cordivari!$J$83:$J$225,"")</f>
        <v>18.7</v>
      </c>
      <c r="AB44" s="2" cm="1">
        <f t="array" ref="AB44">_xlfn.XLOOKUP(1,(Cordivari!$A$83:$A$225=AB$2)*(Cordivari!$C$83:$C$225=$B4),Cordivari!$J$83:$J$225,"")</f>
        <v>21.1</v>
      </c>
    </row>
    <row r="45" spans="1:35" ht="12.75" customHeight="1" x14ac:dyDescent="0.2">
      <c r="B45" s="2">
        <f>B5</f>
        <v>148</v>
      </c>
      <c r="C45" s="2" cm="1">
        <f t="array" ref="C45">_xlfn.XLOOKUP(1,(Cordivari!$A$83:$A$225=C$2)*(Cordivari!$C$83:$C$225=$B5),Cordivari!$J$83:$J$225,"")</f>
        <v>2.8</v>
      </c>
      <c r="D45" s="2" cm="1">
        <f t="array" ref="D45">_xlfn.XLOOKUP(1,(Cordivari!$A$83:$A$225=D$2)*(Cordivari!$C$83:$C$225=$B5),Cordivari!$J$83:$J$225,"")</f>
        <v>4</v>
      </c>
      <c r="E45" s="2" cm="1">
        <f t="array" ref="E45">_xlfn.XLOOKUP(1,(Cordivari!$A$83:$A$225=E$2)*(Cordivari!$C$83:$C$225=$B5),Cordivari!$J$83:$J$225,"")</f>
        <v>5.0999999999999996</v>
      </c>
      <c r="F45" s="2" cm="1">
        <f t="array" ref="F45">_xlfn.XLOOKUP(1,(Cordivari!$A$83:$A$225=F$2)*(Cordivari!$C$83:$C$225=$B5),Cordivari!$J$83:$J$225,"")</f>
        <v>6.2</v>
      </c>
      <c r="G45" s="2" cm="1">
        <f t="array" ref="G45">_xlfn.XLOOKUP(1,(Cordivari!$A$83:$A$225=G$2)*(Cordivari!$C$83:$C$225=$B5),Cordivari!$J$83:$J$225,"")</f>
        <v>6.8</v>
      </c>
      <c r="H45" s="2" cm="1">
        <f t="array" ref="H45">_xlfn.XLOOKUP(1,(Cordivari!$A$83:$A$225=H$2)*(Cordivari!$C$83:$C$225=$B5),Cordivari!$J$83:$J$225,"")</f>
        <v>7.1</v>
      </c>
      <c r="I45" s="2" cm="1">
        <f t="array" ref="I45">_xlfn.XLOOKUP(1,(Cordivari!$A$83:$A$225=I$2)*(Cordivari!$C$83:$C$225=$B5),Cordivari!$J$83:$J$225,"")</f>
        <v>7.3</v>
      </c>
      <c r="J45" s="2" cm="1">
        <f t="array" ref="J45">_xlfn.XLOOKUP(1,(Cordivari!$A$83:$A$225=J$2)*(Cordivari!$C$83:$C$225=$B5),Cordivari!$J$83:$J$225,"")</f>
        <v>7.6</v>
      </c>
      <c r="K45" s="2" cm="1">
        <f t="array" ref="K45">_xlfn.XLOOKUP(1,(Cordivari!$A$83:$A$225=K$2)*(Cordivari!$C$83:$C$225=$B5),Cordivari!$J$83:$J$225,"")</f>
        <v>7.9</v>
      </c>
      <c r="L45" s="2" cm="1">
        <f t="array" ref="L45">_xlfn.XLOOKUP(1,(Cordivari!$A$83:$A$225=L$2)*(Cordivari!$C$83:$C$225=$B5),Cordivari!$J$83:$J$225,"")</f>
        <v>8.1</v>
      </c>
      <c r="M45" s="2" cm="1">
        <f t="array" ref="M45">_xlfn.XLOOKUP(1,(Cordivari!$A$83:$A$225=M$2)*(Cordivari!$C$83:$C$225=$B5),Cordivari!$J$83:$J$225,"")</f>
        <v>8.8000000000000007</v>
      </c>
      <c r="N45" s="2" cm="1">
        <f t="array" ref="N45">_xlfn.XLOOKUP(1,(Cordivari!$A$83:$A$225=N$2)*(Cordivari!$C$83:$C$225=$B5),Cordivari!$J$83:$J$225,"")</f>
        <v>8.9</v>
      </c>
      <c r="O45" s="2" cm="1">
        <f t="array" ref="O45">_xlfn.XLOOKUP(1,(Cordivari!$A$83:$A$225=O$2)*(Cordivari!$C$83:$C$225=$B5),Cordivari!$J$83:$J$225,"")</f>
        <v>9.1999999999999993</v>
      </c>
      <c r="P45" s="2" cm="1">
        <f t="array" ref="P45">_xlfn.XLOOKUP(1,(Cordivari!$A$83:$A$225=P$2)*(Cordivari!$C$83:$C$225=$B5),Cordivari!$J$83:$J$225,"")</f>
        <v>9.9</v>
      </c>
      <c r="Q45" s="2" cm="1">
        <f t="array" ref="Q45">_xlfn.XLOOKUP(1,(Cordivari!$A$83:$A$225=Q$2)*(Cordivari!$C$83:$C$225=$B5),Cordivari!$J$83:$J$225,"")</f>
        <v>10.1</v>
      </c>
      <c r="R45" s="2" cm="1">
        <f t="array" ref="R45">_xlfn.XLOOKUP(1,(Cordivari!$A$83:$A$225=R$2)*(Cordivari!$C$83:$C$225=$B5),Cordivari!$J$83:$J$225,"")</f>
        <v>10.7</v>
      </c>
      <c r="S45" s="2" cm="1">
        <f t="array" ref="S45">_xlfn.XLOOKUP(1,(Cordivari!$A$83:$A$225=S$2)*(Cordivari!$C$83:$C$225=$B5),Cordivari!$J$83:$J$225,"")</f>
        <v>11.4</v>
      </c>
      <c r="T45" s="2" cm="1">
        <f t="array" ref="T45">_xlfn.XLOOKUP(1,(Cordivari!$A$83:$A$225=T$2)*(Cordivari!$C$83:$C$225=$B5),Cordivari!$J$83:$J$225,"")</f>
        <v>13.4</v>
      </c>
      <c r="U45" s="2" cm="1">
        <f t="array" ref="U45">_xlfn.XLOOKUP(1,(Cordivari!$A$83:$A$225=U$2)*(Cordivari!$C$83:$C$225=$B5),Cordivari!$J$83:$J$225,"")</f>
        <v>16.5</v>
      </c>
      <c r="V45" s="2" cm="1">
        <f t="array" ref="V45">_xlfn.XLOOKUP(1,(Cordivari!$A$83:$A$225=V$2)*(Cordivari!$C$83:$C$225=$B5),Cordivari!$J$83:$J$225,"")</f>
        <v>18</v>
      </c>
      <c r="W45" s="2" cm="1">
        <f t="array" ref="W45">_xlfn.XLOOKUP(1,(Cordivari!$A$83:$A$225=W$2)*(Cordivari!$C$83:$C$225=$B5),Cordivari!$J$83:$J$225,"")</f>
        <v>19.5</v>
      </c>
      <c r="X45" s="2" cm="1">
        <f t="array" ref="X45">_xlfn.XLOOKUP(1,(Cordivari!$A$83:$A$225=X$2)*(Cordivari!$C$83:$C$225=$B5),Cordivari!$J$83:$J$225,"")</f>
        <v>20.100000000000001</v>
      </c>
      <c r="Y45" s="2" cm="1">
        <f t="array" ref="Y45">_xlfn.XLOOKUP(1,(Cordivari!$A$83:$A$225=Y$2)*(Cordivari!$C$83:$C$225=$B5),Cordivari!$J$83:$J$225,"")</f>
        <v>21.5</v>
      </c>
      <c r="Z45" s="2" cm="1">
        <f t="array" ref="Z45">_xlfn.XLOOKUP(1,(Cordivari!$A$83:$A$225=Z$2)*(Cordivari!$C$83:$C$225=$B5),Cordivari!$J$83:$J$225,"")</f>
        <v>22.1</v>
      </c>
      <c r="AA45" s="2" cm="1">
        <f t="array" ref="AA45">_xlfn.XLOOKUP(1,(Cordivari!$A$83:$A$225=AA$2)*(Cordivari!$C$83:$C$225=$B5),Cordivari!$J$83:$J$225,"")</f>
        <v>23.6</v>
      </c>
      <c r="AB45" s="2" cm="1">
        <f t="array" ref="AB45">_xlfn.XLOOKUP(1,(Cordivari!$A$83:$A$225=AB$2)*(Cordivari!$C$83:$C$225=$B5),Cordivari!$J$83:$J$225,"")</f>
        <v>26.7</v>
      </c>
    </row>
    <row r="46" spans="1:35" x14ac:dyDescent="0.2">
      <c r="B46" s="2">
        <f>B6</f>
        <v>189</v>
      </c>
      <c r="C46" s="2" cm="1">
        <f t="array" ref="C46">_xlfn.XLOOKUP(1,(Cordivari!$A$83:$A$225=C$2)*(Cordivari!$C$83:$C$225=$B6),Cordivari!$J$83:$J$225,"")</f>
        <v>3.4</v>
      </c>
      <c r="D46" s="2" cm="1">
        <f t="array" ref="D46">_xlfn.XLOOKUP(1,(Cordivari!$A$83:$A$225=D$2)*(Cordivari!$C$83:$C$225=$B6),Cordivari!$J$83:$J$225,"")</f>
        <v>4.9000000000000004</v>
      </c>
      <c r="E46" s="2" cm="1">
        <f t="array" ref="E46">_xlfn.XLOOKUP(1,(Cordivari!$A$83:$A$225=E$2)*(Cordivari!$C$83:$C$225=$B6),Cordivari!$J$83:$J$225,"")</f>
        <v>6.2</v>
      </c>
      <c r="F46" s="2" cm="1">
        <f t="array" ref="F46">_xlfn.XLOOKUP(1,(Cordivari!$A$83:$A$225=F$2)*(Cordivari!$C$83:$C$225=$B6),Cordivari!$J$83:$J$225,"")</f>
        <v>7.5</v>
      </c>
      <c r="G46" s="2" cm="1">
        <f t="array" ref="G46">_xlfn.XLOOKUP(1,(Cordivari!$A$83:$A$225=G$2)*(Cordivari!$C$83:$C$225=$B6),Cordivari!$J$83:$J$225,"")</f>
        <v>8.3000000000000007</v>
      </c>
      <c r="H46" s="2" cm="1">
        <f t="array" ref="H46">_xlfn.XLOOKUP(1,(Cordivari!$A$83:$A$225=H$2)*(Cordivari!$C$83:$C$225=$B6),Cordivari!$J$83:$J$225,"")</f>
        <v>8.6999999999999993</v>
      </c>
      <c r="I46" s="2" cm="1">
        <f t="array" ref="I46">_xlfn.XLOOKUP(1,(Cordivari!$A$83:$A$225=I$2)*(Cordivari!$C$83:$C$225=$B6),Cordivari!$J$83:$J$225,"")</f>
        <v>8.8000000000000007</v>
      </c>
      <c r="J46" s="2" cm="1">
        <f t="array" ref="J46">_xlfn.XLOOKUP(1,(Cordivari!$A$83:$A$225=J$2)*(Cordivari!$C$83:$C$225=$B6),Cordivari!$J$83:$J$225,"")</f>
        <v>9.1999999999999993</v>
      </c>
      <c r="K46" s="2" cm="1">
        <f t="array" ref="K46">_xlfn.XLOOKUP(1,(Cordivari!$A$83:$A$225=K$2)*(Cordivari!$C$83:$C$225=$B6),Cordivari!$J$83:$J$225,"")</f>
        <v>9.5</v>
      </c>
      <c r="L46" s="2" cm="1">
        <f t="array" ref="L46">_xlfn.XLOOKUP(1,(Cordivari!$A$83:$A$225=L$2)*(Cordivari!$C$83:$C$225=$B6),Cordivari!$J$83:$J$225,"")</f>
        <v>9.8000000000000007</v>
      </c>
      <c r="M46" s="2" cm="1">
        <f t="array" ref="M46">_xlfn.XLOOKUP(1,(Cordivari!$A$83:$A$225=M$2)*(Cordivari!$C$83:$C$225=$B6),Cordivari!$J$83:$J$225,"")</f>
        <v>10.7</v>
      </c>
      <c r="N46" s="2" cm="1">
        <f t="array" ref="N46">_xlfn.XLOOKUP(1,(Cordivari!$A$83:$A$225=N$2)*(Cordivari!$C$83:$C$225=$B6),Cordivari!$J$83:$J$225,"")</f>
        <v>10.8</v>
      </c>
      <c r="O46" s="2" cm="1">
        <f t="array" ref="O46">_xlfn.XLOOKUP(1,(Cordivari!$A$83:$A$225=O$2)*(Cordivari!$C$83:$C$225=$B6),Cordivari!$J$83:$J$225,"")</f>
        <v>11.2</v>
      </c>
      <c r="P46" s="2" cm="1">
        <f t="array" ref="P46">_xlfn.XLOOKUP(1,(Cordivari!$A$83:$A$225=P$2)*(Cordivari!$C$83:$C$225=$B6),Cordivari!$J$83:$J$225,"")</f>
        <v>12</v>
      </c>
      <c r="Q46" s="2" cm="1">
        <f t="array" ref="Q46">_xlfn.XLOOKUP(1,(Cordivari!$A$83:$A$225=Q$2)*(Cordivari!$C$83:$C$225=$B6),Cordivari!$J$83:$J$225,"")</f>
        <v>12.3</v>
      </c>
      <c r="R46" s="2" cm="1">
        <f t="array" ref="R46">_xlfn.XLOOKUP(1,(Cordivari!$A$83:$A$225=R$2)*(Cordivari!$C$83:$C$225=$B6),Cordivari!$J$83:$J$225,"")</f>
        <v>12.9</v>
      </c>
      <c r="S46" s="2" cm="1">
        <f t="array" ref="S46">_xlfn.XLOOKUP(1,(Cordivari!$A$83:$A$225=S$2)*(Cordivari!$C$83:$C$225=$B6),Cordivari!$J$83:$J$225,"")</f>
        <v>13.8</v>
      </c>
      <c r="T46" s="2" cm="1">
        <f t="array" ref="T46">_xlfn.XLOOKUP(1,(Cordivari!$A$83:$A$225=T$2)*(Cordivari!$C$83:$C$225=$B6),Cordivari!$J$83:$J$225,"")</f>
        <v>16.2</v>
      </c>
      <c r="U46" s="2" cm="1">
        <f t="array" ref="U46">_xlfn.XLOOKUP(1,(Cordivari!$A$83:$A$225=U$2)*(Cordivari!$C$83:$C$225=$B6),Cordivari!$J$83:$J$225,"")</f>
        <v>19.8</v>
      </c>
      <c r="V46" s="2" cm="1">
        <f t="array" ref="V46">_xlfn.XLOOKUP(1,(Cordivari!$A$83:$A$225=V$2)*(Cordivari!$C$83:$C$225=$B6),Cordivari!$J$83:$J$225,"")</f>
        <v>21.7</v>
      </c>
      <c r="W46" s="2" cm="1">
        <f t="array" ref="W46">_xlfn.XLOOKUP(1,(Cordivari!$A$83:$A$225=W$2)*(Cordivari!$C$83:$C$225=$B6),Cordivari!$J$83:$J$225,"")</f>
        <v>23.4</v>
      </c>
      <c r="X46" s="2" cm="1">
        <f t="array" ref="X46">_xlfn.XLOOKUP(1,(Cordivari!$A$83:$A$225=X$2)*(Cordivari!$C$83:$C$225=$B6),Cordivari!$J$83:$J$225,"")</f>
        <v>24</v>
      </c>
      <c r="Y46" s="2" cm="1">
        <f t="array" ref="Y46">_xlfn.XLOOKUP(1,(Cordivari!$A$83:$A$225=Y$2)*(Cordivari!$C$83:$C$225=$B6),Cordivari!$J$83:$J$225,"")</f>
        <v>25.7</v>
      </c>
      <c r="Z46" s="2" cm="1">
        <f t="array" ref="Z46">_xlfn.XLOOKUP(1,(Cordivari!$A$83:$A$225=Z$2)*(Cordivari!$C$83:$C$225=$B6),Cordivari!$J$83:$J$225,"")</f>
        <v>26.4</v>
      </c>
      <c r="AA46" s="2" cm="1">
        <f t="array" ref="AA46">_xlfn.XLOOKUP(1,(Cordivari!$A$83:$A$225=AA$2)*(Cordivari!$C$83:$C$225=$B6),Cordivari!$J$83:$J$225,"")</f>
        <v>28.1</v>
      </c>
      <c r="AB46" s="2" cm="1">
        <f t="array" ref="AB46">_xlfn.XLOOKUP(1,(Cordivari!$A$83:$A$225=AB$2)*(Cordivari!$C$83:$C$225=$B6),Cordivari!$J$83:$J$225,"")</f>
        <v>31.6</v>
      </c>
    </row>
    <row r="47" spans="1:35" x14ac:dyDescent="0.2">
      <c r="B47" s="2">
        <f>B7</f>
        <v>230</v>
      </c>
      <c r="C47" s="2" cm="1">
        <f t="array" ref="C47">_xlfn.XLOOKUP(1,(Cordivari!$A$83:$A$225=C$2)*(Cordivari!$C$83:$C$225=$B7),Cordivari!$J$83:$J$225,"")</f>
        <v>4.2</v>
      </c>
      <c r="D47" s="2" cm="1">
        <f t="array" ref="D47">_xlfn.XLOOKUP(1,(Cordivari!$A$83:$A$225=D$2)*(Cordivari!$C$83:$C$225=$B7),Cordivari!$J$83:$J$225,"")</f>
        <v>5.8</v>
      </c>
      <c r="E47" s="2" cm="1">
        <f t="array" ref="E47">_xlfn.XLOOKUP(1,(Cordivari!$A$83:$A$225=E$2)*(Cordivari!$C$83:$C$225=$B7),Cordivari!$J$83:$J$225,"")</f>
        <v>7.5</v>
      </c>
      <c r="F47" s="2" cm="1">
        <f t="array" ref="F47">_xlfn.XLOOKUP(1,(Cordivari!$A$83:$A$225=F$2)*(Cordivari!$C$83:$C$225=$B7),Cordivari!$J$83:$J$225,"")</f>
        <v>9.1</v>
      </c>
      <c r="G47" s="2" cm="1">
        <f t="array" ref="G47">_xlfn.XLOOKUP(1,(Cordivari!$A$83:$A$225=G$2)*(Cordivari!$C$83:$C$225=$B7),Cordivari!$J$83:$J$225,"")</f>
        <v>10</v>
      </c>
      <c r="H47" s="2" cm="1">
        <f t="array" ref="H47">_xlfn.XLOOKUP(1,(Cordivari!$A$83:$A$225=H$2)*(Cordivari!$C$83:$C$225=$B7),Cordivari!$J$83:$J$225,"")</f>
        <v>10.5</v>
      </c>
      <c r="I47" s="2" cm="1">
        <f t="array" ref="I47">_xlfn.XLOOKUP(1,(Cordivari!$A$83:$A$225=I$2)*(Cordivari!$C$83:$C$225=$B7),Cordivari!$J$83:$J$225,"")</f>
        <v>10.7</v>
      </c>
      <c r="J47" s="2" cm="1">
        <f t="array" ref="J47">_xlfn.XLOOKUP(1,(Cordivari!$A$83:$A$225=J$2)*(Cordivari!$C$83:$C$225=$B7),Cordivari!$J$83:$J$225,"")</f>
        <v>11.1</v>
      </c>
      <c r="K47" s="2" cm="1">
        <f t="array" ref="K47">_xlfn.XLOOKUP(1,(Cordivari!$A$83:$A$225=K$2)*(Cordivari!$C$83:$C$225=$B7),Cordivari!$J$83:$J$225,"")</f>
        <v>11.6</v>
      </c>
      <c r="L47" s="2" cm="1">
        <f t="array" ref="L47">_xlfn.XLOOKUP(1,(Cordivari!$A$83:$A$225=L$2)*(Cordivari!$C$83:$C$225=$B7),Cordivari!$J$83:$J$225,"")</f>
        <v>11.9</v>
      </c>
      <c r="M47" s="2" cm="1">
        <f t="array" ref="M47">_xlfn.XLOOKUP(1,(Cordivari!$A$83:$A$225=M$2)*(Cordivari!$C$83:$C$225=$B7),Cordivari!$J$83:$J$225,"")</f>
        <v>13</v>
      </c>
      <c r="N47" s="2" cm="1">
        <f t="array" ref="N47">_xlfn.XLOOKUP(1,(Cordivari!$A$83:$A$225=N$2)*(Cordivari!$C$83:$C$225=$B7),Cordivari!$J$83:$J$225,"")</f>
        <v>13.1</v>
      </c>
      <c r="O47" s="2" cm="1">
        <f t="array" ref="O47">_xlfn.XLOOKUP(1,(Cordivari!$A$83:$A$225=O$2)*(Cordivari!$C$83:$C$225=$B7),Cordivari!$J$83:$J$225,"")</f>
        <v>13.5</v>
      </c>
      <c r="P47" s="2" cm="1">
        <f t="array" ref="P47">_xlfn.XLOOKUP(1,(Cordivari!$A$83:$A$225=P$2)*(Cordivari!$C$83:$C$225=$B7),Cordivari!$J$83:$J$225,"")</f>
        <v>14.5</v>
      </c>
      <c r="Q47" s="2" cm="1">
        <f t="array" ref="Q47">_xlfn.XLOOKUP(1,(Cordivari!$A$83:$A$225=Q$2)*(Cordivari!$C$83:$C$225=$B7),Cordivari!$J$83:$J$225,"")</f>
        <v>14.8</v>
      </c>
      <c r="R47" s="2" cm="1">
        <f t="array" ref="R47">_xlfn.XLOOKUP(1,(Cordivari!$A$83:$A$225=R$2)*(Cordivari!$C$83:$C$225=$B7),Cordivari!$J$83:$J$225,"")</f>
        <v>15.5</v>
      </c>
      <c r="S47" s="2" cm="1">
        <f t="array" ref="S47">_xlfn.XLOOKUP(1,(Cordivari!$A$83:$A$225=S$2)*(Cordivari!$C$83:$C$225=$B7),Cordivari!$J$83:$J$225,"")</f>
        <v>16.600000000000001</v>
      </c>
      <c r="T47" s="2" cm="1">
        <f t="array" ref="T47">_xlfn.XLOOKUP(1,(Cordivari!$A$83:$A$225=T$2)*(Cordivari!$C$83:$C$225=$B7),Cordivari!$J$83:$J$225,"")</f>
        <v>19.3</v>
      </c>
      <c r="U47" s="2" cm="1">
        <f t="array" ref="U47">_xlfn.XLOOKUP(1,(Cordivari!$A$83:$A$225=U$2)*(Cordivari!$C$83:$C$225=$B7),Cordivari!$J$83:$J$225,"")</f>
        <v>23.2</v>
      </c>
      <c r="V47" s="2" cm="1">
        <f t="array" ref="V47">_xlfn.XLOOKUP(1,(Cordivari!$A$83:$A$225=V$2)*(Cordivari!$C$83:$C$225=$B7),Cordivari!$J$83:$J$225,"")</f>
        <v>25.2</v>
      </c>
      <c r="W47" s="2" cm="1">
        <f t="array" ref="W47">_xlfn.XLOOKUP(1,(Cordivari!$A$83:$A$225=W$2)*(Cordivari!$C$83:$C$225=$B7),Cordivari!$J$83:$J$225,"")</f>
        <v>26.9</v>
      </c>
      <c r="X47" s="2" cm="1">
        <f t="array" ref="X47">_xlfn.XLOOKUP(1,(Cordivari!$A$83:$A$225=X$2)*(Cordivari!$C$83:$C$225=$B7),Cordivari!$J$83:$J$225,"")</f>
        <v>27.6</v>
      </c>
      <c r="Y47" s="2" cm="1">
        <f t="array" ref="Y47">_xlfn.XLOOKUP(1,(Cordivari!$A$83:$A$225=Y$2)*(Cordivari!$C$83:$C$225=$B7),Cordivari!$J$83:$J$225,"")</f>
        <v>29.2</v>
      </c>
      <c r="Z47" s="2" cm="1">
        <f t="array" ref="Z47">_xlfn.XLOOKUP(1,(Cordivari!$A$83:$A$225=Z$2)*(Cordivari!$C$83:$C$225=$B7),Cordivari!$J$83:$J$225,"")</f>
        <v>29.9</v>
      </c>
      <c r="AA47" s="2" cm="1">
        <f t="array" ref="AA47">_xlfn.XLOOKUP(1,(Cordivari!$A$83:$A$225=AA$2)*(Cordivari!$C$83:$C$225=$B7),Cordivari!$J$83:$J$225,"")</f>
        <v>31.5</v>
      </c>
      <c r="AB47" s="2" cm="1">
        <f t="array" ref="AB47">_xlfn.XLOOKUP(1,(Cordivari!$A$83:$A$225=AB$2)*(Cordivari!$C$83:$C$225=$B7),Cordivari!$J$83:$J$225,"")</f>
        <v>34.700000000000003</v>
      </c>
    </row>
    <row r="48" spans="1:35" x14ac:dyDescent="0.2">
      <c r="C48" s="8"/>
      <c r="D48" s="8"/>
      <c r="E48" s="8"/>
      <c r="F48" s="8"/>
      <c r="G48" s="8"/>
      <c r="H48" s="8"/>
      <c r="I48" s="8"/>
      <c r="J48" s="8"/>
      <c r="K48" s="8"/>
      <c r="L48" s="8"/>
      <c r="M48"/>
      <c r="N48"/>
      <c r="O48"/>
      <c r="P48"/>
      <c r="Q48"/>
    </row>
    <row r="49" spans="1:28" ht="26.25" x14ac:dyDescent="0.25">
      <c r="A49" s="57" t="s">
        <v>159</v>
      </c>
      <c r="C49" s="4" t="s">
        <v>2</v>
      </c>
      <c r="M49"/>
      <c r="N49"/>
      <c r="O49"/>
      <c r="P49"/>
      <c r="Q49"/>
    </row>
    <row r="50" spans="1:28" x14ac:dyDescent="0.2">
      <c r="A50" s="57" t="s">
        <v>160</v>
      </c>
      <c r="C50" s="5">
        <f t="shared" ref="C50:AB50" si="5">C$2</f>
        <v>207</v>
      </c>
      <c r="D50" s="5">
        <f t="shared" si="5"/>
        <v>300</v>
      </c>
      <c r="E50" s="5">
        <f t="shared" si="5"/>
        <v>400</v>
      </c>
      <c r="F50" s="5">
        <f t="shared" si="5"/>
        <v>500</v>
      </c>
      <c r="G50" s="5">
        <f t="shared" si="5"/>
        <v>556</v>
      </c>
      <c r="H50" s="5">
        <f t="shared" si="5"/>
        <v>586</v>
      </c>
      <c r="I50" s="5">
        <f t="shared" si="5"/>
        <v>600</v>
      </c>
      <c r="J50" s="5">
        <f t="shared" si="5"/>
        <v>626</v>
      </c>
      <c r="K50" s="5">
        <f t="shared" si="5"/>
        <v>656</v>
      </c>
      <c r="L50" s="5">
        <f t="shared" si="5"/>
        <v>676</v>
      </c>
      <c r="M50" s="5">
        <f t="shared" si="5"/>
        <v>750</v>
      </c>
      <c r="N50" s="5">
        <f t="shared" si="5"/>
        <v>756</v>
      </c>
      <c r="O50" s="5">
        <f t="shared" si="5"/>
        <v>786</v>
      </c>
      <c r="P50" s="5">
        <f t="shared" si="5"/>
        <v>856</v>
      </c>
      <c r="Q50" s="5">
        <f t="shared" si="5"/>
        <v>876</v>
      </c>
      <c r="R50" s="5">
        <f t="shared" si="5"/>
        <v>926</v>
      </c>
      <c r="S50" s="5">
        <f t="shared" si="5"/>
        <v>1000</v>
      </c>
      <c r="T50" s="5">
        <f t="shared" si="5"/>
        <v>1200</v>
      </c>
      <c r="U50" s="5">
        <f t="shared" si="5"/>
        <v>1500</v>
      </c>
      <c r="V50" s="5">
        <f t="shared" si="5"/>
        <v>1656</v>
      </c>
      <c r="W50" s="5">
        <f t="shared" si="5"/>
        <v>1800</v>
      </c>
      <c r="X50" s="5">
        <f t="shared" si="5"/>
        <v>1856</v>
      </c>
      <c r="Y50" s="5">
        <f t="shared" si="5"/>
        <v>2000</v>
      </c>
      <c r="Z50" s="5">
        <f t="shared" si="5"/>
        <v>2056</v>
      </c>
      <c r="AA50" s="5">
        <f t="shared" si="5"/>
        <v>2200</v>
      </c>
      <c r="AB50" s="5">
        <f t="shared" si="5"/>
        <v>2500</v>
      </c>
    </row>
    <row r="51" spans="1:28" ht="13.5" x14ac:dyDescent="0.25">
      <c r="A51" s="4" t="s">
        <v>3</v>
      </c>
      <c r="B51" s="2">
        <f>B3</f>
        <v>66</v>
      </c>
      <c r="C51" s="27" cm="1">
        <f t="array" ref="C51">_xlfn.XLOOKUP(1,(Cordivari!$A$83:$A$225=C$2)*(Cordivari!$C$83:$C$225=$B3),Cordivari!$K$83:$K$225,"")</f>
        <v>30</v>
      </c>
      <c r="D51" s="27" cm="1">
        <f t="array" ref="D51">_xlfn.XLOOKUP(1,(Cordivari!$A$83:$A$225=D$2)*(Cordivari!$C$83:$C$225=$B3),Cordivari!$K$83:$K$225,"")</f>
        <v>25</v>
      </c>
      <c r="E51" s="27" cm="1">
        <f t="array" ref="E51">_xlfn.XLOOKUP(1,(Cordivari!$A$83:$A$225=E$2)*(Cordivari!$C$83:$C$225=$B3),Cordivari!$K$83:$K$225,"")</f>
        <v>25</v>
      </c>
      <c r="F51" s="27" cm="1">
        <f t="array" ref="F51">_xlfn.XLOOKUP(1,(Cordivari!$A$83:$A$225=F$2)*(Cordivari!$C$83:$C$225=$B3),Cordivari!$K$83:$K$225,"")</f>
        <v>25</v>
      </c>
      <c r="G51" s="27" cm="1">
        <f t="array" ref="G51">_xlfn.XLOOKUP(1,(Cordivari!$A$83:$A$225=G$2)*(Cordivari!$C$83:$C$225=$B3),Cordivari!$K$83:$K$225,"")</f>
        <v>25</v>
      </c>
      <c r="H51" s="27" cm="1">
        <f t="array" ref="H51">_xlfn.XLOOKUP(1,(Cordivari!$A$83:$A$225=H$2)*(Cordivari!$C$83:$C$225=$B3),Cordivari!$K$83:$K$225,"")</f>
        <v>25</v>
      </c>
      <c r="I51" s="27" cm="1">
        <f t="array" ref="I51">_xlfn.XLOOKUP(1,(Cordivari!$A$83:$A$225=I$2)*(Cordivari!$C$83:$C$225=$B3),Cordivari!$K$83:$K$225,"")</f>
        <v>24</v>
      </c>
      <c r="J51" s="27" cm="1">
        <f t="array" ref="J51">_xlfn.XLOOKUP(1,(Cordivari!$A$83:$A$225=J$2)*(Cordivari!$C$83:$C$225=$B3),Cordivari!$K$83:$K$225,"")</f>
        <v>25</v>
      </c>
      <c r="K51" s="27" cm="1">
        <f t="array" ref="K51">_xlfn.XLOOKUP(1,(Cordivari!$A$83:$A$225=K$2)*(Cordivari!$C$83:$C$225=$B3),Cordivari!$K$83:$K$225,"")</f>
        <v>25</v>
      </c>
      <c r="L51" s="27" cm="1">
        <f t="array" ref="L51">_xlfn.XLOOKUP(1,(Cordivari!$A$83:$A$225=L$2)*(Cordivari!$C$83:$C$225=$B3),Cordivari!$K$83:$K$225,"")</f>
        <v>24</v>
      </c>
      <c r="M51" s="27" cm="1">
        <f t="array" ref="M51">_xlfn.XLOOKUP(1,(Cordivari!$A$83:$A$225=M$2)*(Cordivari!$C$83:$C$225=$B3),Cordivari!$K$83:$K$225,"")</f>
        <v>24</v>
      </c>
      <c r="N51" s="27" cm="1">
        <f t="array" ref="N51">_xlfn.XLOOKUP(1,(Cordivari!$A$83:$A$225=N$2)*(Cordivari!$C$83:$C$225=$B3),Cordivari!$K$83:$K$225,"")</f>
        <v>24</v>
      </c>
      <c r="O51" s="27" cm="1">
        <f t="array" ref="O51">_xlfn.XLOOKUP(1,(Cordivari!$A$83:$A$225=O$2)*(Cordivari!$C$83:$C$225=$B3),Cordivari!$K$83:$K$225,"")</f>
        <v>25</v>
      </c>
      <c r="P51" s="27" cm="1">
        <f t="array" ref="P51">_xlfn.XLOOKUP(1,(Cordivari!$A$83:$A$225=P$2)*(Cordivari!$C$83:$C$225=$B3),Cordivari!$K$83:$K$225,"")</f>
        <v>24</v>
      </c>
      <c r="Q51" s="27" cm="1">
        <f t="array" ref="Q51">_xlfn.XLOOKUP(1,(Cordivari!$A$83:$A$225=Q$2)*(Cordivari!$C$83:$C$225=$B3),Cordivari!$K$83:$K$225,"")</f>
        <v>24</v>
      </c>
      <c r="R51" s="27" cm="1">
        <f t="array" ref="R51">_xlfn.XLOOKUP(1,(Cordivari!$A$83:$A$225=R$2)*(Cordivari!$C$83:$C$225=$B3),Cordivari!$K$83:$K$225,"")</f>
        <v>24</v>
      </c>
      <c r="S51" s="27" cm="1">
        <f t="array" ref="S51">_xlfn.XLOOKUP(1,(Cordivari!$A$83:$A$225=S$2)*(Cordivari!$C$83:$C$225=$B3),Cordivari!$K$83:$K$225,"")</f>
        <v>24</v>
      </c>
      <c r="T51" s="27" cm="1">
        <f t="array" ref="T51">_xlfn.XLOOKUP(1,(Cordivari!$A$83:$A$225=T$2)*(Cordivari!$C$83:$C$225=$B3),Cordivari!$K$83:$K$225,"")</f>
        <v>23</v>
      </c>
      <c r="U51" s="27" cm="1">
        <f t="array" ref="U51">_xlfn.XLOOKUP(1,(Cordivari!$A$83:$A$225=U$2)*(Cordivari!$C$83:$C$225=$B3),Cordivari!$K$83:$K$225,"")</f>
        <v>23</v>
      </c>
      <c r="V51" s="27" cm="1">
        <f t="array" ref="V51">_xlfn.XLOOKUP(1,(Cordivari!$A$83:$A$225=V$2)*(Cordivari!$C$83:$C$225=$B3),Cordivari!$K$83:$K$225,"")</f>
        <v>23</v>
      </c>
      <c r="W51" s="27" cm="1">
        <f t="array" ref="W51">_xlfn.XLOOKUP(1,(Cordivari!$A$83:$A$225=W$2)*(Cordivari!$C$83:$C$225=$B3),Cordivari!$K$83:$K$225,"")</f>
        <v>22</v>
      </c>
      <c r="X51" s="27" cm="1">
        <f t="array" ref="X51">_xlfn.XLOOKUP(1,(Cordivari!$A$83:$A$225=X$2)*(Cordivari!$C$83:$C$225=$B3),Cordivari!$K$83:$K$225,"")</f>
        <v>23</v>
      </c>
      <c r="Y51" s="27" cm="1">
        <f t="array" ref="Y51">_xlfn.XLOOKUP(1,(Cordivari!$A$83:$A$225=Y$2)*(Cordivari!$C$83:$C$225=$B3),Cordivari!$K$83:$K$225,"")</f>
        <v>22</v>
      </c>
      <c r="Z51" s="27" cm="1">
        <f t="array" ref="Z51">_xlfn.XLOOKUP(1,(Cordivari!$A$83:$A$225=Z$2)*(Cordivari!$C$83:$C$225=$B3),Cordivari!$K$83:$K$225,"")</f>
        <v>23</v>
      </c>
      <c r="AA51" s="27" cm="1">
        <f t="array" ref="AA51">_xlfn.XLOOKUP(1,(Cordivari!$A$83:$A$225=AA$2)*(Cordivari!$C$83:$C$225=$B3),Cordivari!$K$83:$K$225,"")</f>
        <v>22</v>
      </c>
      <c r="AB51" s="27" cm="1">
        <f t="array" ref="AB51">_xlfn.XLOOKUP(1,(Cordivari!$A$83:$A$225=AB$2)*(Cordivari!$C$83:$C$225=$B3),Cordivari!$K$83:$K$225,"")</f>
        <v>22</v>
      </c>
    </row>
    <row r="52" spans="1:28" x14ac:dyDescent="0.2">
      <c r="B52" s="2">
        <f>B4</f>
        <v>107</v>
      </c>
      <c r="C52" s="27" cm="1">
        <f t="array" ref="C52">_xlfn.XLOOKUP(1,(Cordivari!$A$83:$A$225=C$2)*(Cordivari!$C$83:$C$225=$B4),Cordivari!$K$83:$K$225,"")</f>
        <v>23</v>
      </c>
      <c r="D52" s="27" cm="1">
        <f t="array" ref="D52">_xlfn.XLOOKUP(1,(Cordivari!$A$83:$A$225=D$2)*(Cordivari!$C$83:$C$225=$B4),Cordivari!$K$83:$K$225,"")</f>
        <v>23</v>
      </c>
      <c r="E52" s="27" cm="1">
        <f t="array" ref="E52">_xlfn.XLOOKUP(1,(Cordivari!$A$83:$A$225=E$2)*(Cordivari!$C$83:$C$225=$B4),Cordivari!$K$83:$K$225,"")</f>
        <v>23</v>
      </c>
      <c r="F52" s="27" cm="1">
        <f t="array" ref="F52">_xlfn.XLOOKUP(1,(Cordivari!$A$83:$A$225=F$2)*(Cordivari!$C$83:$C$225=$B4),Cordivari!$K$83:$K$225,"")</f>
        <v>22</v>
      </c>
      <c r="G52" s="27" cm="1">
        <f t="array" ref="G52">_xlfn.XLOOKUP(1,(Cordivari!$A$83:$A$225=G$2)*(Cordivari!$C$83:$C$225=$B4),Cordivari!$K$83:$K$225,"")</f>
        <v>22</v>
      </c>
      <c r="H52" s="27" cm="1">
        <f t="array" ref="H52">_xlfn.XLOOKUP(1,(Cordivari!$A$83:$A$225=H$2)*(Cordivari!$C$83:$C$225=$B4),Cordivari!$K$83:$K$225,"")</f>
        <v>22</v>
      </c>
      <c r="I52" s="27" cm="1">
        <f t="array" ref="I52">_xlfn.XLOOKUP(1,(Cordivari!$A$83:$A$225=I$2)*(Cordivari!$C$83:$C$225=$B4),Cordivari!$K$83:$K$225,"")</f>
        <v>22</v>
      </c>
      <c r="J52" s="27" cm="1">
        <f t="array" ref="J52">_xlfn.XLOOKUP(1,(Cordivari!$A$83:$A$225=J$2)*(Cordivari!$C$83:$C$225=$B4),Cordivari!$K$83:$K$225,"")</f>
        <v>22</v>
      </c>
      <c r="K52" s="27" cm="1">
        <f t="array" ref="K52">_xlfn.XLOOKUP(1,(Cordivari!$A$83:$A$225=K$2)*(Cordivari!$C$83:$C$225=$B4),Cordivari!$K$83:$K$225,"")</f>
        <v>22</v>
      </c>
      <c r="L52" s="27" cm="1">
        <f t="array" ref="L52">_xlfn.XLOOKUP(1,(Cordivari!$A$83:$A$225=L$2)*(Cordivari!$C$83:$C$225=$B4),Cordivari!$K$83:$K$225,"")</f>
        <v>22</v>
      </c>
      <c r="M52" s="27" cm="1">
        <f t="array" ref="M52">_xlfn.XLOOKUP(1,(Cordivari!$A$83:$A$225=M$2)*(Cordivari!$C$83:$C$225=$B4),Cordivari!$K$83:$K$225,"")</f>
        <v>21</v>
      </c>
      <c r="N52" s="27" cm="1">
        <f t="array" ref="N52">_xlfn.XLOOKUP(1,(Cordivari!$A$83:$A$225=N$2)*(Cordivari!$C$83:$C$225=$B4),Cordivari!$K$83:$K$225,"")</f>
        <v>22</v>
      </c>
      <c r="O52" s="27" cm="1">
        <f t="array" ref="O52">_xlfn.XLOOKUP(1,(Cordivari!$A$83:$A$225=O$2)*(Cordivari!$C$83:$C$225=$B4),Cordivari!$K$83:$K$225,"")</f>
        <v>22</v>
      </c>
      <c r="P52" s="27" cm="1">
        <f t="array" ref="P52">_xlfn.XLOOKUP(1,(Cordivari!$A$83:$A$225=P$2)*(Cordivari!$C$83:$C$225=$B4),Cordivari!$K$83:$K$225,"")</f>
        <v>22</v>
      </c>
      <c r="Q52" s="27" cm="1">
        <f t="array" ref="Q52">_xlfn.XLOOKUP(1,(Cordivari!$A$83:$A$225=Q$2)*(Cordivari!$C$83:$C$225=$B4),Cordivari!$K$83:$K$225,"")</f>
        <v>22</v>
      </c>
      <c r="R52" s="27" cm="1">
        <f t="array" ref="R52">_xlfn.XLOOKUP(1,(Cordivari!$A$83:$A$225=R$2)*(Cordivari!$C$83:$C$225=$B4),Cordivari!$K$83:$K$225,"")</f>
        <v>21</v>
      </c>
      <c r="S52" s="27" cm="1">
        <f t="array" ref="S52">_xlfn.XLOOKUP(1,(Cordivari!$A$83:$A$225=S$2)*(Cordivari!$C$83:$C$225=$B4),Cordivari!$K$83:$K$225,"")</f>
        <v>21</v>
      </c>
      <c r="T52" s="27" cm="1">
        <f t="array" ref="T52">_xlfn.XLOOKUP(1,(Cordivari!$A$83:$A$225=T$2)*(Cordivari!$C$83:$C$225=$B4),Cordivari!$K$83:$K$225,"")</f>
        <v>21</v>
      </c>
      <c r="U52" s="27" cm="1">
        <f t="array" ref="U52">_xlfn.XLOOKUP(1,(Cordivari!$A$83:$A$225=U$2)*(Cordivari!$C$83:$C$225=$B4),Cordivari!$K$83:$K$225,"")</f>
        <v>20</v>
      </c>
      <c r="V52" s="27" cm="1">
        <f t="array" ref="V52">_xlfn.XLOOKUP(1,(Cordivari!$A$83:$A$225=V$2)*(Cordivari!$C$83:$C$225=$B4),Cordivari!$K$83:$K$225,"")</f>
        <v>20</v>
      </c>
      <c r="W52" s="27" cm="1">
        <f t="array" ref="W52">_xlfn.XLOOKUP(1,(Cordivari!$A$83:$A$225=W$2)*(Cordivari!$C$83:$C$225=$B4),Cordivari!$K$83:$K$225,"")</f>
        <v>20</v>
      </c>
      <c r="X52" s="27" cm="1">
        <f t="array" ref="X52">_xlfn.XLOOKUP(1,(Cordivari!$A$83:$A$225=X$2)*(Cordivari!$C$83:$C$225=$B4),Cordivari!$K$83:$K$225,"")</f>
        <v>19</v>
      </c>
      <c r="Y52" s="27" cm="1">
        <f t="array" ref="Y52">_xlfn.XLOOKUP(1,(Cordivari!$A$83:$A$225=Y$2)*(Cordivari!$C$83:$C$225=$B4),Cordivari!$K$83:$K$225,"")</f>
        <v>19</v>
      </c>
      <c r="Z52" s="27" cm="1">
        <f t="array" ref="Z52">_xlfn.XLOOKUP(1,(Cordivari!$A$83:$A$225=Z$2)*(Cordivari!$C$83:$C$225=$B4),Cordivari!$K$83:$K$225,"")</f>
        <v>19</v>
      </c>
      <c r="AA52" s="27" cm="1">
        <f t="array" ref="AA52">_xlfn.XLOOKUP(1,(Cordivari!$A$83:$A$225=AA$2)*(Cordivari!$C$83:$C$225=$B4),Cordivari!$K$83:$K$225,"")</f>
        <v>19</v>
      </c>
      <c r="AB52" s="27" cm="1">
        <f t="array" ref="AB52">_xlfn.XLOOKUP(1,(Cordivari!$A$83:$A$225=AB$2)*(Cordivari!$C$83:$C$225=$B4),Cordivari!$K$83:$K$225,"")</f>
        <v>18</v>
      </c>
    </row>
    <row r="53" spans="1:28" x14ac:dyDescent="0.2">
      <c r="B53" s="2">
        <f>B5</f>
        <v>148</v>
      </c>
      <c r="C53" s="27" cm="1">
        <f t="array" ref="C53">_xlfn.XLOOKUP(1,(Cordivari!$A$83:$A$225=C$2)*(Cordivari!$C$83:$C$225=$B5),Cordivari!$K$83:$K$225,"")</f>
        <v>20</v>
      </c>
      <c r="D53" s="27" cm="1">
        <f t="array" ref="D53">_xlfn.XLOOKUP(1,(Cordivari!$A$83:$A$225=D$2)*(Cordivari!$C$83:$C$225=$B5),Cordivari!$K$83:$K$225,"")</f>
        <v>20</v>
      </c>
      <c r="E53" s="27" cm="1">
        <f t="array" ref="E53">_xlfn.XLOOKUP(1,(Cordivari!$A$83:$A$225=E$2)*(Cordivari!$C$83:$C$225=$B5),Cordivari!$K$83:$K$225,"")</f>
        <v>19</v>
      </c>
      <c r="F53" s="27" cm="1">
        <f t="array" ref="F53">_xlfn.XLOOKUP(1,(Cordivari!$A$83:$A$225=F$2)*(Cordivari!$C$83:$C$225=$B5),Cordivari!$K$83:$K$225,"")</f>
        <v>19</v>
      </c>
      <c r="G53" s="27" cm="1">
        <f t="array" ref="G53">_xlfn.XLOOKUP(1,(Cordivari!$A$83:$A$225=G$2)*(Cordivari!$C$83:$C$225=$B5),Cordivari!$K$83:$K$225,"")</f>
        <v>19</v>
      </c>
      <c r="H53" s="27" cm="1">
        <f t="array" ref="H53">_xlfn.XLOOKUP(1,(Cordivari!$A$83:$A$225=H$2)*(Cordivari!$C$83:$C$225=$B5),Cordivari!$K$83:$K$225,"")</f>
        <v>19</v>
      </c>
      <c r="I53" s="27" cm="1">
        <f t="array" ref="I53">_xlfn.XLOOKUP(1,(Cordivari!$A$83:$A$225=I$2)*(Cordivari!$C$83:$C$225=$B5),Cordivari!$K$83:$K$225,"")</f>
        <v>19</v>
      </c>
      <c r="J53" s="27" cm="1">
        <f t="array" ref="J53">_xlfn.XLOOKUP(1,(Cordivari!$A$83:$A$225=J$2)*(Cordivari!$C$83:$C$225=$B5),Cordivari!$K$83:$K$225,"")</f>
        <v>19</v>
      </c>
      <c r="K53" s="27" cm="1">
        <f t="array" ref="K53">_xlfn.XLOOKUP(1,(Cordivari!$A$83:$A$225=K$2)*(Cordivari!$C$83:$C$225=$B5),Cordivari!$K$83:$K$225,"")</f>
        <v>19</v>
      </c>
      <c r="L53" s="27" cm="1">
        <f t="array" ref="L53">_xlfn.XLOOKUP(1,(Cordivari!$A$83:$A$225=L$2)*(Cordivari!$C$83:$C$225=$B5),Cordivari!$K$83:$K$225,"")</f>
        <v>19</v>
      </c>
      <c r="M53" s="27" cm="1">
        <f t="array" ref="M53">_xlfn.XLOOKUP(1,(Cordivari!$A$83:$A$225=M$2)*(Cordivari!$C$83:$C$225=$B5),Cordivari!$K$83:$K$225,"")</f>
        <v>19</v>
      </c>
      <c r="N53" s="27" cm="1">
        <f t="array" ref="N53">_xlfn.XLOOKUP(1,(Cordivari!$A$83:$A$225=N$2)*(Cordivari!$C$83:$C$225=$B5),Cordivari!$K$83:$K$225,"")</f>
        <v>19</v>
      </c>
      <c r="O53" s="27" cm="1">
        <f t="array" ref="O53">_xlfn.XLOOKUP(1,(Cordivari!$A$83:$A$225=O$2)*(Cordivari!$C$83:$C$225=$B5),Cordivari!$K$83:$K$225,"")</f>
        <v>19</v>
      </c>
      <c r="P53" s="27" cm="1">
        <f t="array" ref="P53">_xlfn.XLOOKUP(1,(Cordivari!$A$83:$A$225=P$2)*(Cordivari!$C$83:$C$225=$B5),Cordivari!$K$83:$K$225,"")</f>
        <v>19</v>
      </c>
      <c r="Q53" s="27" cm="1">
        <f t="array" ref="Q53">_xlfn.XLOOKUP(1,(Cordivari!$A$83:$A$225=Q$2)*(Cordivari!$C$83:$C$225=$B5),Cordivari!$K$83:$K$225,"")</f>
        <v>19</v>
      </c>
      <c r="R53" s="27" cm="1">
        <f t="array" ref="R53">_xlfn.XLOOKUP(1,(Cordivari!$A$83:$A$225=R$2)*(Cordivari!$C$83:$C$225=$B5),Cordivari!$K$83:$K$225,"")</f>
        <v>18</v>
      </c>
      <c r="S53" s="27" cm="1">
        <f t="array" ref="S53">_xlfn.XLOOKUP(1,(Cordivari!$A$83:$A$225=S$2)*(Cordivari!$C$83:$C$225=$B5),Cordivari!$K$83:$K$225,"")</f>
        <v>18</v>
      </c>
      <c r="T53" s="27" cm="1">
        <f t="array" ref="T53">_xlfn.XLOOKUP(1,(Cordivari!$A$83:$A$225=T$2)*(Cordivari!$C$83:$C$225=$B5),Cordivari!$K$83:$K$225,"")</f>
        <v>18</v>
      </c>
      <c r="U53" s="27" cm="1">
        <f t="array" ref="U53">_xlfn.XLOOKUP(1,(Cordivari!$A$83:$A$225=U$2)*(Cordivari!$C$83:$C$225=$B5),Cordivari!$K$83:$K$225,"")</f>
        <v>17</v>
      </c>
      <c r="V53" s="27" cm="1">
        <f t="array" ref="V53">_xlfn.XLOOKUP(1,(Cordivari!$A$83:$A$225=V$2)*(Cordivari!$C$83:$C$225=$B5),Cordivari!$K$83:$K$225,"")</f>
        <v>17</v>
      </c>
      <c r="W53" s="27" cm="1">
        <f t="array" ref="W53">_xlfn.XLOOKUP(1,(Cordivari!$A$83:$A$225=W$2)*(Cordivari!$C$83:$C$225=$B5),Cordivari!$K$83:$K$225,"")</f>
        <v>17</v>
      </c>
      <c r="X53" s="27" cm="1">
        <f t="array" ref="X53">_xlfn.XLOOKUP(1,(Cordivari!$A$83:$A$225=X$2)*(Cordivari!$C$83:$C$225=$B5),Cordivari!$K$83:$K$225,"")</f>
        <v>16</v>
      </c>
      <c r="Y53" s="27" cm="1">
        <f t="array" ref="Y53">_xlfn.XLOOKUP(1,(Cordivari!$A$83:$A$225=Y$2)*(Cordivari!$C$83:$C$225=$B5),Cordivari!$K$83:$K$225,"")</f>
        <v>16</v>
      </c>
      <c r="Z53" s="27" cm="1">
        <f t="array" ref="Z53">_xlfn.XLOOKUP(1,(Cordivari!$A$83:$A$225=Z$2)*(Cordivari!$C$83:$C$225=$B5),Cordivari!$K$83:$K$225,"")</f>
        <v>16</v>
      </c>
      <c r="AA53" s="27" cm="1">
        <f t="array" ref="AA53">_xlfn.XLOOKUP(1,(Cordivari!$A$83:$A$225=AA$2)*(Cordivari!$C$83:$C$225=$B5),Cordivari!$K$83:$K$225,"")</f>
        <v>16</v>
      </c>
      <c r="AB53" s="27" cm="1">
        <f t="array" ref="AB53">_xlfn.XLOOKUP(1,(Cordivari!$A$83:$A$225=AB$2)*(Cordivari!$C$83:$C$225=$B5),Cordivari!$K$83:$K$225,"")</f>
        <v>15</v>
      </c>
    </row>
    <row r="54" spans="1:28" x14ac:dyDescent="0.2">
      <c r="B54" s="2">
        <f>B6</f>
        <v>189</v>
      </c>
      <c r="C54" s="27" cm="1">
        <f t="array" ref="C54">_xlfn.XLOOKUP(1,(Cordivari!$A$83:$A$225=C$2)*(Cordivari!$C$83:$C$225=$B6),Cordivari!$K$83:$K$225,"")</f>
        <v>19</v>
      </c>
      <c r="D54" s="27" cm="1">
        <f t="array" ref="D54">_xlfn.XLOOKUP(1,(Cordivari!$A$83:$A$225=D$2)*(Cordivari!$C$83:$C$225=$B6),Cordivari!$K$83:$K$225,"")</f>
        <v>19</v>
      </c>
      <c r="E54" s="27" cm="1">
        <f t="array" ref="E54">_xlfn.XLOOKUP(1,(Cordivari!$A$83:$A$225=E$2)*(Cordivari!$C$83:$C$225=$B6),Cordivari!$K$83:$K$225,"")</f>
        <v>18</v>
      </c>
      <c r="F54" s="27" cm="1">
        <f t="array" ref="F54">_xlfn.XLOOKUP(1,(Cordivari!$A$83:$A$225=F$2)*(Cordivari!$C$83:$C$225=$B6),Cordivari!$K$83:$K$225,"")</f>
        <v>18</v>
      </c>
      <c r="G54" s="27" cm="1">
        <f t="array" ref="G54">_xlfn.XLOOKUP(1,(Cordivari!$A$83:$A$225=G$2)*(Cordivari!$C$83:$C$225=$B6),Cordivari!$K$83:$K$225,"")</f>
        <v>18</v>
      </c>
      <c r="H54" s="27" cm="1">
        <f t="array" ref="H54">_xlfn.XLOOKUP(1,(Cordivari!$A$83:$A$225=H$2)*(Cordivari!$C$83:$C$225=$B6),Cordivari!$K$83:$K$225,"")</f>
        <v>18</v>
      </c>
      <c r="I54" s="27" cm="1">
        <f t="array" ref="I54">_xlfn.XLOOKUP(1,(Cordivari!$A$83:$A$225=I$2)*(Cordivari!$C$83:$C$225=$B6),Cordivari!$K$83:$K$225,"")</f>
        <v>18</v>
      </c>
      <c r="J54" s="27" cm="1">
        <f t="array" ref="J54">_xlfn.XLOOKUP(1,(Cordivari!$A$83:$A$225=J$2)*(Cordivari!$C$83:$C$225=$B6),Cordivari!$K$83:$K$225,"")</f>
        <v>18</v>
      </c>
      <c r="K54" s="27" cm="1">
        <f t="array" ref="K54">_xlfn.XLOOKUP(1,(Cordivari!$A$83:$A$225=K$2)*(Cordivari!$C$83:$C$225=$B6),Cordivari!$K$83:$K$225,"")</f>
        <v>18</v>
      </c>
      <c r="L54" s="27" cm="1">
        <f t="array" ref="L54">_xlfn.XLOOKUP(1,(Cordivari!$A$83:$A$225=L$2)*(Cordivari!$C$83:$C$225=$B6),Cordivari!$K$83:$K$225,"")</f>
        <v>18</v>
      </c>
      <c r="M54" s="27" cm="1">
        <f t="array" ref="M54">_xlfn.XLOOKUP(1,(Cordivari!$A$83:$A$225=M$2)*(Cordivari!$C$83:$C$225=$B6),Cordivari!$K$83:$K$225,"")</f>
        <v>18</v>
      </c>
      <c r="N54" s="27" cm="1">
        <f t="array" ref="N54">_xlfn.XLOOKUP(1,(Cordivari!$A$83:$A$225=N$2)*(Cordivari!$C$83:$C$225=$B6),Cordivari!$K$83:$K$225,"")</f>
        <v>18</v>
      </c>
      <c r="O54" s="27" cm="1">
        <f t="array" ref="O54">_xlfn.XLOOKUP(1,(Cordivari!$A$83:$A$225=O$2)*(Cordivari!$C$83:$C$225=$B6),Cordivari!$K$83:$K$225,"")</f>
        <v>17</v>
      </c>
      <c r="P54" s="27" cm="1">
        <f t="array" ref="P54">_xlfn.XLOOKUP(1,(Cordivari!$A$83:$A$225=P$2)*(Cordivari!$C$83:$C$225=$B6),Cordivari!$K$83:$K$225,"")</f>
        <v>17</v>
      </c>
      <c r="Q54" s="27" cm="1">
        <f t="array" ref="Q54">_xlfn.XLOOKUP(1,(Cordivari!$A$83:$A$225=Q$2)*(Cordivari!$C$83:$C$225=$B6),Cordivari!$K$83:$K$225,"")</f>
        <v>17</v>
      </c>
      <c r="R54" s="27" cm="1">
        <f t="array" ref="R54">_xlfn.XLOOKUP(1,(Cordivari!$A$83:$A$225=R$2)*(Cordivari!$C$83:$C$225=$B6),Cordivari!$K$83:$K$225,"")</f>
        <v>17</v>
      </c>
      <c r="S54" s="27" cm="1">
        <f t="array" ref="S54">_xlfn.XLOOKUP(1,(Cordivari!$A$83:$A$225=S$2)*(Cordivari!$C$83:$C$225=$B6),Cordivari!$K$83:$K$225,"")</f>
        <v>17</v>
      </c>
      <c r="T54" s="27" cm="1">
        <f t="array" ref="T54">_xlfn.XLOOKUP(1,(Cordivari!$A$83:$A$225=T$2)*(Cordivari!$C$83:$C$225=$B6),Cordivari!$K$83:$K$225,"")</f>
        <v>16</v>
      </c>
      <c r="U54" s="27" cm="1">
        <f t="array" ref="U54">_xlfn.XLOOKUP(1,(Cordivari!$A$83:$A$225=U$2)*(Cordivari!$C$83:$C$225=$B6),Cordivari!$K$83:$K$225,"")</f>
        <v>16</v>
      </c>
      <c r="V54" s="27" cm="1">
        <f t="array" ref="V54">_xlfn.XLOOKUP(1,(Cordivari!$A$83:$A$225=V$2)*(Cordivari!$C$83:$C$225=$B6),Cordivari!$K$83:$K$225,"")</f>
        <v>15</v>
      </c>
      <c r="W54" s="27" cm="1">
        <f t="array" ref="W54">_xlfn.XLOOKUP(1,(Cordivari!$A$83:$A$225=W$2)*(Cordivari!$C$83:$C$225=$B6),Cordivari!$K$83:$K$225,"")</f>
        <v>15</v>
      </c>
      <c r="X54" s="27" cm="1">
        <f t="array" ref="X54">_xlfn.XLOOKUP(1,(Cordivari!$A$83:$A$225=X$2)*(Cordivari!$C$83:$C$225=$B6),Cordivari!$K$83:$K$225,"")</f>
        <v>15</v>
      </c>
      <c r="Y54" s="27" cm="1">
        <f t="array" ref="Y54">_xlfn.XLOOKUP(1,(Cordivari!$A$83:$A$225=Y$2)*(Cordivari!$C$83:$C$225=$B6),Cordivari!$K$83:$K$225,"")</f>
        <v>14</v>
      </c>
      <c r="Z54" s="27" cm="1">
        <f t="array" ref="Z54">_xlfn.XLOOKUP(1,(Cordivari!$A$83:$A$225=Z$2)*(Cordivari!$C$83:$C$225=$B6),Cordivari!$K$83:$K$225,"")</f>
        <v>14</v>
      </c>
      <c r="AA54" s="27" cm="1">
        <f t="array" ref="AA54">_xlfn.XLOOKUP(1,(Cordivari!$A$83:$A$225=AA$2)*(Cordivari!$C$83:$C$225=$B6),Cordivari!$K$83:$K$225,"")</f>
        <v>14</v>
      </c>
      <c r="AB54" s="27" cm="1">
        <f t="array" ref="AB54">_xlfn.XLOOKUP(1,(Cordivari!$A$83:$A$225=AB$2)*(Cordivari!$C$83:$C$225=$B6),Cordivari!$K$83:$K$225,"")</f>
        <v>13</v>
      </c>
    </row>
    <row r="55" spans="1:28" x14ac:dyDescent="0.2">
      <c r="B55" s="2">
        <f>B7</f>
        <v>230</v>
      </c>
      <c r="C55" s="27" cm="1">
        <f t="array" ref="C55">_xlfn.XLOOKUP(1,(Cordivari!$A$83:$A$225=C$2)*(Cordivari!$C$83:$C$225=$B7),Cordivari!$K$83:$K$225,"")</f>
        <v>19</v>
      </c>
      <c r="D55" s="27" cm="1">
        <f t="array" ref="D55">_xlfn.XLOOKUP(1,(Cordivari!$A$83:$A$225=D$2)*(Cordivari!$C$83:$C$225=$B7),Cordivari!$K$83:$K$225,"")</f>
        <v>19</v>
      </c>
      <c r="E55" s="27" cm="1">
        <f t="array" ref="E55">_xlfn.XLOOKUP(1,(Cordivari!$A$83:$A$225=E$2)*(Cordivari!$C$83:$C$225=$B7),Cordivari!$K$83:$K$225,"")</f>
        <v>18</v>
      </c>
      <c r="F55" s="27" cm="1">
        <f t="array" ref="F55">_xlfn.XLOOKUP(1,(Cordivari!$A$83:$A$225=F$2)*(Cordivari!$C$83:$C$225=$B7),Cordivari!$K$83:$K$225,"")</f>
        <v>18</v>
      </c>
      <c r="G55" s="27" cm="1">
        <f t="array" ref="G55">_xlfn.XLOOKUP(1,(Cordivari!$A$83:$A$225=G$2)*(Cordivari!$C$83:$C$225=$B7),Cordivari!$K$83:$K$225,"")</f>
        <v>18</v>
      </c>
      <c r="H55" s="27" cm="1">
        <f t="array" ref="H55">_xlfn.XLOOKUP(1,(Cordivari!$A$83:$A$225=H$2)*(Cordivari!$C$83:$C$225=$B7),Cordivari!$K$83:$K$225,"")</f>
        <v>18</v>
      </c>
      <c r="I55" s="27" cm="1">
        <f t="array" ref="I55">_xlfn.XLOOKUP(1,(Cordivari!$A$83:$A$225=I$2)*(Cordivari!$C$83:$C$225=$B7),Cordivari!$K$83:$K$225,"")</f>
        <v>18</v>
      </c>
      <c r="J55" s="27" cm="1">
        <f t="array" ref="J55">_xlfn.XLOOKUP(1,(Cordivari!$A$83:$A$225=J$2)*(Cordivari!$C$83:$C$225=$B7),Cordivari!$K$83:$K$225,"")</f>
        <v>18</v>
      </c>
      <c r="K55" s="27" cm="1">
        <f t="array" ref="K55">_xlfn.XLOOKUP(1,(Cordivari!$A$83:$A$225=K$2)*(Cordivari!$C$83:$C$225=$B7),Cordivari!$K$83:$K$225,"")</f>
        <v>18</v>
      </c>
      <c r="L55" s="27" cm="1">
        <f t="array" ref="L55">_xlfn.XLOOKUP(1,(Cordivari!$A$83:$A$225=L$2)*(Cordivari!$C$83:$C$225=$B7),Cordivari!$K$83:$K$225,"")</f>
        <v>18</v>
      </c>
      <c r="M55" s="27" cm="1">
        <f t="array" ref="M55">_xlfn.XLOOKUP(1,(Cordivari!$A$83:$A$225=M$2)*(Cordivari!$C$83:$C$225=$B7),Cordivari!$K$83:$K$225,"")</f>
        <v>17</v>
      </c>
      <c r="N55" s="27" cm="1">
        <f t="array" ref="N55">_xlfn.XLOOKUP(1,(Cordivari!$A$83:$A$225=N$2)*(Cordivari!$C$83:$C$225=$B7),Cordivari!$K$83:$K$225,"")</f>
        <v>17</v>
      </c>
      <c r="O55" s="27" cm="1">
        <f t="array" ref="O55">_xlfn.XLOOKUP(1,(Cordivari!$A$83:$A$225=O$2)*(Cordivari!$C$83:$C$225=$B7),Cordivari!$K$83:$K$225,"")</f>
        <v>17</v>
      </c>
      <c r="P55" s="27" cm="1">
        <f t="array" ref="P55">_xlfn.XLOOKUP(1,(Cordivari!$A$83:$A$225=P$2)*(Cordivari!$C$83:$C$225=$B7),Cordivari!$K$83:$K$225,"")</f>
        <v>17</v>
      </c>
      <c r="Q55" s="27" cm="1">
        <f t="array" ref="Q55">_xlfn.XLOOKUP(1,(Cordivari!$A$83:$A$225=Q$2)*(Cordivari!$C$83:$C$225=$B7),Cordivari!$K$83:$K$225,"")</f>
        <v>17</v>
      </c>
      <c r="R55" s="27" cm="1">
        <f t="array" ref="R55">_xlfn.XLOOKUP(1,(Cordivari!$A$83:$A$225=R$2)*(Cordivari!$C$83:$C$225=$B7),Cordivari!$K$83:$K$225,"")</f>
        <v>17</v>
      </c>
      <c r="S55" s="27" cm="1">
        <f t="array" ref="S55">_xlfn.XLOOKUP(1,(Cordivari!$A$83:$A$225=S$2)*(Cordivari!$C$83:$C$225=$B7),Cordivari!$K$83:$K$225,"")</f>
        <v>17</v>
      </c>
      <c r="T55" s="27" cm="1">
        <f t="array" ref="T55">_xlfn.XLOOKUP(1,(Cordivari!$A$83:$A$225=T$2)*(Cordivari!$C$83:$C$225=$B7),Cordivari!$K$83:$K$225,"")</f>
        <v>16</v>
      </c>
      <c r="U55" s="27" cm="1">
        <f t="array" ref="U55">_xlfn.XLOOKUP(1,(Cordivari!$A$83:$A$225=U$2)*(Cordivari!$C$83:$C$225=$B7),Cordivari!$K$83:$K$225,"")</f>
        <v>15</v>
      </c>
      <c r="V55" s="27" cm="1">
        <f t="array" ref="V55">_xlfn.XLOOKUP(1,(Cordivari!$A$83:$A$225=V$2)*(Cordivari!$C$83:$C$225=$B7),Cordivari!$K$83:$K$225,"")</f>
        <v>15</v>
      </c>
      <c r="W55" s="27" cm="1">
        <f t="array" ref="W55">_xlfn.XLOOKUP(1,(Cordivari!$A$83:$A$225=W$2)*(Cordivari!$C$83:$C$225=$B7),Cordivari!$K$83:$K$225,"")</f>
        <v>14</v>
      </c>
      <c r="X55" s="27" cm="1">
        <f t="array" ref="X55">_xlfn.XLOOKUP(1,(Cordivari!$A$83:$A$225=X$2)*(Cordivari!$C$83:$C$225=$B7),Cordivari!$K$83:$K$225,"")</f>
        <v>14</v>
      </c>
      <c r="Y55" s="27" cm="1">
        <f t="array" ref="Y55">_xlfn.XLOOKUP(1,(Cordivari!$A$83:$A$225=Y$2)*(Cordivari!$C$83:$C$225=$B7),Cordivari!$K$83:$K$225,"")</f>
        <v>14</v>
      </c>
      <c r="Z55" s="27" cm="1">
        <f t="array" ref="Z55">_xlfn.XLOOKUP(1,(Cordivari!$A$83:$A$225=Z$2)*(Cordivari!$C$83:$C$225=$B7),Cordivari!$K$83:$K$225,"")</f>
        <v>13</v>
      </c>
      <c r="AA55" s="27" cm="1">
        <f t="array" ref="AA55">_xlfn.XLOOKUP(1,(Cordivari!$A$83:$A$225=AA$2)*(Cordivari!$C$83:$C$225=$B7),Cordivari!$K$83:$K$225,"")</f>
        <v>13</v>
      </c>
      <c r="AB55" s="27" cm="1">
        <f t="array" ref="AB55">_xlfn.XLOOKUP(1,(Cordivari!$A$83:$A$225=AB$2)*(Cordivari!$C$83:$C$225=$B7),Cordivari!$K$83:$K$225,"")</f>
        <v>12</v>
      </c>
    </row>
    <row r="56" spans="1:28" x14ac:dyDescent="0.2">
      <c r="M56"/>
      <c r="N56"/>
      <c r="O56"/>
      <c r="P56"/>
      <c r="Q56"/>
    </row>
    <row r="57" spans="1:28" ht="39" x14ac:dyDescent="0.25">
      <c r="A57" s="57" t="s">
        <v>161</v>
      </c>
      <c r="C57" s="4" t="s">
        <v>2</v>
      </c>
      <c r="M57"/>
      <c r="N57"/>
      <c r="O57"/>
      <c r="P57"/>
      <c r="Q57"/>
    </row>
    <row r="58" spans="1:28" x14ac:dyDescent="0.2">
      <c r="A58" s="57" t="s">
        <v>158</v>
      </c>
      <c r="C58" s="5">
        <f t="shared" ref="C58:AB58" si="6">C$2</f>
        <v>207</v>
      </c>
      <c r="D58" s="5">
        <f t="shared" si="6"/>
        <v>300</v>
      </c>
      <c r="E58" s="5">
        <f t="shared" si="6"/>
        <v>400</v>
      </c>
      <c r="F58" s="5">
        <f t="shared" si="6"/>
        <v>500</v>
      </c>
      <c r="G58" s="5">
        <f t="shared" si="6"/>
        <v>556</v>
      </c>
      <c r="H58" s="5">
        <f t="shared" si="6"/>
        <v>586</v>
      </c>
      <c r="I58" s="5">
        <f t="shared" si="6"/>
        <v>600</v>
      </c>
      <c r="J58" s="5">
        <f t="shared" si="6"/>
        <v>626</v>
      </c>
      <c r="K58" s="5">
        <f t="shared" si="6"/>
        <v>656</v>
      </c>
      <c r="L58" s="5">
        <f t="shared" si="6"/>
        <v>676</v>
      </c>
      <c r="M58" s="5">
        <f t="shared" si="6"/>
        <v>750</v>
      </c>
      <c r="N58" s="5">
        <f t="shared" si="6"/>
        <v>756</v>
      </c>
      <c r="O58" s="5">
        <f t="shared" si="6"/>
        <v>786</v>
      </c>
      <c r="P58" s="5">
        <f t="shared" si="6"/>
        <v>856</v>
      </c>
      <c r="Q58" s="5">
        <f t="shared" si="6"/>
        <v>876</v>
      </c>
      <c r="R58" s="5">
        <f t="shared" si="6"/>
        <v>926</v>
      </c>
      <c r="S58" s="5">
        <f t="shared" si="6"/>
        <v>1000</v>
      </c>
      <c r="T58" s="5">
        <f t="shared" si="6"/>
        <v>1200</v>
      </c>
      <c r="U58" s="5">
        <f t="shared" si="6"/>
        <v>1500</v>
      </c>
      <c r="V58" s="5">
        <f t="shared" si="6"/>
        <v>1656</v>
      </c>
      <c r="W58" s="5">
        <f t="shared" si="6"/>
        <v>1800</v>
      </c>
      <c r="X58" s="5">
        <f t="shared" si="6"/>
        <v>1856</v>
      </c>
      <c r="Y58" s="5">
        <f t="shared" si="6"/>
        <v>2000</v>
      </c>
      <c r="Z58" s="5">
        <f t="shared" si="6"/>
        <v>2056</v>
      </c>
      <c r="AA58" s="5">
        <f t="shared" si="6"/>
        <v>2200</v>
      </c>
      <c r="AB58" s="5">
        <f t="shared" si="6"/>
        <v>2500</v>
      </c>
    </row>
    <row r="59" spans="1:28" ht="13.5" x14ac:dyDescent="0.25">
      <c r="A59" s="4" t="s">
        <v>3</v>
      </c>
      <c r="B59" s="2">
        <f>B3</f>
        <v>66</v>
      </c>
      <c r="R59" s="2"/>
      <c r="S59" s="2"/>
      <c r="T59" s="2"/>
      <c r="U59" s="2"/>
      <c r="V59" s="2"/>
      <c r="AB59" s="2" t="str" cm="1">
        <f t="array" ref="AB59">_xlfn.XLOOKUP(1,('Zehnder Charleston'!$B$2:$B$138=V$2)*('Zehnder Charleston'!$D$2:$D$138=$B3),'Zehnder Charleston'!$L$2:$L$138,"")</f>
        <v/>
      </c>
    </row>
    <row r="60" spans="1:28" x14ac:dyDescent="0.2">
      <c r="B60" s="2">
        <f>B4</f>
        <v>107</v>
      </c>
      <c r="R60" s="2"/>
      <c r="S60" s="2"/>
      <c r="T60" s="2"/>
      <c r="U60" s="2"/>
      <c r="V60" s="2"/>
    </row>
    <row r="61" spans="1:28" x14ac:dyDescent="0.2">
      <c r="B61" s="2">
        <f>B5</f>
        <v>148</v>
      </c>
      <c r="R61" s="2"/>
      <c r="S61" s="2"/>
      <c r="T61" s="2"/>
      <c r="U61" s="2"/>
      <c r="V61" s="2"/>
    </row>
    <row r="62" spans="1:28" x14ac:dyDescent="0.2">
      <c r="B62" s="2">
        <f>B6</f>
        <v>189</v>
      </c>
      <c r="R62" s="2"/>
      <c r="S62" s="2"/>
      <c r="T62" s="2"/>
      <c r="U62" s="2"/>
      <c r="V62" s="2"/>
    </row>
    <row r="63" spans="1:28" x14ac:dyDescent="0.2">
      <c r="B63" s="2">
        <f>B7</f>
        <v>230</v>
      </c>
      <c r="R63" s="2"/>
      <c r="S63" s="2"/>
      <c r="T63" s="2"/>
      <c r="U63" s="2"/>
      <c r="V63" s="2"/>
    </row>
    <row r="64" spans="1:28" x14ac:dyDescent="0.2">
      <c r="C64" s="8"/>
      <c r="D64" s="8"/>
      <c r="E64" s="8"/>
      <c r="F64" s="8"/>
      <c r="G64" s="8"/>
      <c r="H64" s="8"/>
      <c r="I64" s="8"/>
      <c r="J64" s="8"/>
      <c r="K64" s="8"/>
      <c r="L64" s="8"/>
      <c r="M64"/>
      <c r="N64"/>
      <c r="O64"/>
      <c r="P64"/>
      <c r="Q64"/>
    </row>
    <row r="65" spans="1:28" ht="13.5" x14ac:dyDescent="0.25">
      <c r="A65" s="57" t="s">
        <v>162</v>
      </c>
      <c r="C65" s="4" t="s">
        <v>2</v>
      </c>
      <c r="M65"/>
      <c r="N65"/>
      <c r="O65"/>
      <c r="P65"/>
      <c r="Q65"/>
    </row>
    <row r="66" spans="1:28" x14ac:dyDescent="0.2">
      <c r="A66" s="57"/>
      <c r="C66" s="5">
        <f t="shared" ref="C66:AB66" si="7">C$2</f>
        <v>207</v>
      </c>
      <c r="D66" s="5">
        <f t="shared" si="7"/>
        <v>300</v>
      </c>
      <c r="E66" s="5">
        <f t="shared" si="7"/>
        <v>400</v>
      </c>
      <c r="F66" s="5">
        <f t="shared" si="7"/>
        <v>500</v>
      </c>
      <c r="G66" s="5">
        <f t="shared" si="7"/>
        <v>556</v>
      </c>
      <c r="H66" s="5">
        <f t="shared" si="7"/>
        <v>586</v>
      </c>
      <c r="I66" s="5">
        <f t="shared" si="7"/>
        <v>600</v>
      </c>
      <c r="J66" s="5">
        <f t="shared" si="7"/>
        <v>626</v>
      </c>
      <c r="K66" s="5">
        <f t="shared" si="7"/>
        <v>656</v>
      </c>
      <c r="L66" s="5">
        <f t="shared" si="7"/>
        <v>676</v>
      </c>
      <c r="M66" s="5">
        <f t="shared" si="7"/>
        <v>750</v>
      </c>
      <c r="N66" s="5">
        <f t="shared" si="7"/>
        <v>756</v>
      </c>
      <c r="O66" s="5">
        <f t="shared" si="7"/>
        <v>786</v>
      </c>
      <c r="P66" s="5">
        <f t="shared" si="7"/>
        <v>856</v>
      </c>
      <c r="Q66" s="5">
        <f t="shared" si="7"/>
        <v>876</v>
      </c>
      <c r="R66" s="5">
        <f t="shared" si="7"/>
        <v>926</v>
      </c>
      <c r="S66" s="5">
        <f t="shared" si="7"/>
        <v>1000</v>
      </c>
      <c r="T66" s="5">
        <f t="shared" si="7"/>
        <v>1200</v>
      </c>
      <c r="U66" s="5">
        <f t="shared" si="7"/>
        <v>1500</v>
      </c>
      <c r="V66" s="5">
        <f t="shared" si="7"/>
        <v>1656</v>
      </c>
      <c r="W66" s="5">
        <f t="shared" si="7"/>
        <v>1800</v>
      </c>
      <c r="X66" s="5">
        <f t="shared" si="7"/>
        <v>1856</v>
      </c>
      <c r="Y66" s="5">
        <f t="shared" si="7"/>
        <v>2000</v>
      </c>
      <c r="Z66" s="5">
        <f t="shared" si="7"/>
        <v>2056</v>
      </c>
      <c r="AA66" s="5">
        <f t="shared" si="7"/>
        <v>2200</v>
      </c>
      <c r="AB66" s="5">
        <f t="shared" si="7"/>
        <v>2500</v>
      </c>
    </row>
    <row r="67" spans="1:28" ht="13.5" x14ac:dyDescent="0.25">
      <c r="A67" s="4" t="s">
        <v>3</v>
      </c>
      <c r="B67" s="2">
        <f>B3</f>
        <v>66</v>
      </c>
      <c r="R67" s="2"/>
      <c r="S67" s="2"/>
      <c r="T67" s="2"/>
      <c r="U67" s="2"/>
      <c r="V67" s="2"/>
      <c r="AB67" s="2" t="str" cm="1">
        <f t="array" ref="AB67">_xlfn.XLOOKUP(1,('Zehnder Charleston'!$B$2:$B$138=V$2)*('Zehnder Charleston'!$D$2:$D$138=$B3),'Zehnder Charleston'!$A$2:$A$138,"")</f>
        <v/>
      </c>
    </row>
    <row r="68" spans="1:28" x14ac:dyDescent="0.2">
      <c r="B68" s="2">
        <f>B4</f>
        <v>107</v>
      </c>
      <c r="R68" s="2"/>
      <c r="S68" s="2"/>
      <c r="T68" s="2"/>
      <c r="U68" s="2"/>
      <c r="V68" s="2"/>
    </row>
    <row r="69" spans="1:28" x14ac:dyDescent="0.2">
      <c r="B69" s="2">
        <f>B5</f>
        <v>148</v>
      </c>
      <c r="R69" s="2"/>
      <c r="S69" s="2"/>
      <c r="T69" s="2"/>
      <c r="U69" s="2"/>
      <c r="V69" s="2"/>
    </row>
    <row r="70" spans="1:28" x14ac:dyDescent="0.2">
      <c r="B70" s="2">
        <f>B6</f>
        <v>189</v>
      </c>
      <c r="R70" s="2"/>
      <c r="S70" s="2"/>
      <c r="T70" s="2"/>
      <c r="U70" s="2"/>
      <c r="V70" s="2"/>
    </row>
    <row r="71" spans="1:28" x14ac:dyDescent="0.2">
      <c r="B71" s="2">
        <f>B7</f>
        <v>230</v>
      </c>
      <c r="R71" s="2"/>
      <c r="S71" s="2"/>
      <c r="T71" s="2"/>
      <c r="U71" s="2"/>
      <c r="V71" s="2"/>
    </row>
    <row r="72" spans="1:28" x14ac:dyDescent="0.2">
      <c r="C72" s="8"/>
      <c r="D72" s="8"/>
      <c r="E72" s="8"/>
      <c r="F72" s="8"/>
      <c r="G72" s="8"/>
      <c r="H72" s="8"/>
      <c r="I72" s="8"/>
      <c r="J72" s="8"/>
      <c r="K72" s="8"/>
      <c r="L72" s="8"/>
      <c r="M72"/>
      <c r="N72"/>
      <c r="O72"/>
      <c r="P72"/>
      <c r="Q72"/>
    </row>
    <row r="73" spans="1:28" ht="13.5" x14ac:dyDescent="0.25">
      <c r="A73" s="1" t="s">
        <v>190</v>
      </c>
      <c r="C73" s="4" t="s">
        <v>2</v>
      </c>
      <c r="M73"/>
      <c r="N73"/>
      <c r="O73"/>
      <c r="P73"/>
      <c r="Q73"/>
    </row>
    <row r="74" spans="1:28" x14ac:dyDescent="0.2">
      <c r="C74" s="5">
        <f t="shared" ref="C74:AB74" si="8">C$2</f>
        <v>207</v>
      </c>
      <c r="D74" s="5">
        <f t="shared" si="8"/>
        <v>300</v>
      </c>
      <c r="E74" s="5">
        <f t="shared" si="8"/>
        <v>400</v>
      </c>
      <c r="F74" s="5">
        <f t="shared" si="8"/>
        <v>500</v>
      </c>
      <c r="G74" s="5">
        <f t="shared" si="8"/>
        <v>556</v>
      </c>
      <c r="H74" s="5">
        <f t="shared" si="8"/>
        <v>586</v>
      </c>
      <c r="I74" s="5">
        <f t="shared" si="8"/>
        <v>600</v>
      </c>
      <c r="J74" s="5">
        <f t="shared" si="8"/>
        <v>626</v>
      </c>
      <c r="K74" s="5">
        <f t="shared" si="8"/>
        <v>656</v>
      </c>
      <c r="L74" s="5">
        <f t="shared" si="8"/>
        <v>676</v>
      </c>
      <c r="M74" s="5">
        <f t="shared" si="8"/>
        <v>750</v>
      </c>
      <c r="N74" s="5">
        <f t="shared" si="8"/>
        <v>756</v>
      </c>
      <c r="O74" s="5">
        <f t="shared" si="8"/>
        <v>786</v>
      </c>
      <c r="P74" s="5">
        <f t="shared" si="8"/>
        <v>856</v>
      </c>
      <c r="Q74" s="5">
        <f t="shared" si="8"/>
        <v>876</v>
      </c>
      <c r="R74" s="5">
        <f t="shared" si="8"/>
        <v>926</v>
      </c>
      <c r="S74" s="5">
        <f t="shared" si="8"/>
        <v>1000</v>
      </c>
      <c r="T74" s="5">
        <f t="shared" si="8"/>
        <v>1200</v>
      </c>
      <c r="U74" s="5">
        <f t="shared" si="8"/>
        <v>1500</v>
      </c>
      <c r="V74" s="5">
        <f t="shared" si="8"/>
        <v>1656</v>
      </c>
      <c r="W74" s="5">
        <f t="shared" si="8"/>
        <v>1800</v>
      </c>
      <c r="X74" s="5">
        <f t="shared" si="8"/>
        <v>1856</v>
      </c>
      <c r="Y74" s="5">
        <f t="shared" si="8"/>
        <v>2000</v>
      </c>
      <c r="Z74" s="5">
        <f t="shared" si="8"/>
        <v>2056</v>
      </c>
      <c r="AA74" s="5">
        <f t="shared" si="8"/>
        <v>2200</v>
      </c>
      <c r="AB74" s="5">
        <f t="shared" si="8"/>
        <v>2500</v>
      </c>
    </row>
    <row r="75" spans="1:28" ht="13.5" x14ac:dyDescent="0.25">
      <c r="A75" s="4" t="s">
        <v>3</v>
      </c>
      <c r="B75" s="2">
        <f>B3</f>
        <v>66</v>
      </c>
      <c r="C75" s="9">
        <f>IF(C27="","",(C19-C27*$C$98/1000)*$B$97+C27*$B$98)</f>
        <v>0.38427199999999995</v>
      </c>
      <c r="D75" s="9">
        <f t="shared" ref="D75:AB79" si="9">IF(D27="","",(D19-D27*$C$98/1000)*$B$97+D27*$B$98)</f>
        <v>0.57231999999999994</v>
      </c>
      <c r="E75" s="9">
        <f t="shared" si="9"/>
        <v>0.71744399999999997</v>
      </c>
      <c r="F75" s="9">
        <f t="shared" si="9"/>
        <v>0.90549199999999996</v>
      </c>
      <c r="G75" s="9">
        <f t="shared" si="9"/>
        <v>1.0068159999999999</v>
      </c>
      <c r="H75" s="9">
        <f t="shared" si="9"/>
        <v>1.036016</v>
      </c>
      <c r="I75" s="9">
        <f t="shared" si="9"/>
        <v>1.050616</v>
      </c>
      <c r="J75" s="9">
        <f t="shared" si="9"/>
        <v>1.2085879999999998</v>
      </c>
      <c r="K75" s="9">
        <f t="shared" si="9"/>
        <v>1.15194</v>
      </c>
      <c r="L75" s="9">
        <f t="shared" si="9"/>
        <v>1.216764</v>
      </c>
      <c r="M75" s="9">
        <f t="shared" si="9"/>
        <v>1.3326880000000001</v>
      </c>
      <c r="N75" s="9">
        <f t="shared" si="9"/>
        <v>1.339988</v>
      </c>
      <c r="O75" s="9">
        <f t="shared" si="9"/>
        <v>1.29064</v>
      </c>
      <c r="P75" s="9">
        <f t="shared" si="9"/>
        <v>1.485112</v>
      </c>
      <c r="Q75" s="9">
        <f t="shared" si="9"/>
        <v>1.5499360000000002</v>
      </c>
      <c r="R75" s="9">
        <f t="shared" si="9"/>
        <v>1.5426360000000001</v>
      </c>
      <c r="S75" s="9">
        <f t="shared" si="9"/>
        <v>1.7242599999999997</v>
      </c>
      <c r="T75" s="9">
        <f t="shared" si="9"/>
        <v>2.0574319999999999</v>
      </c>
      <c r="U75" s="9">
        <f t="shared" si="9"/>
        <v>2.5786519999999999</v>
      </c>
      <c r="V75" s="9">
        <f t="shared" si="9"/>
        <v>2.8250999999999999</v>
      </c>
      <c r="W75" s="9">
        <f t="shared" si="9"/>
        <v>3.0998720000000004</v>
      </c>
      <c r="X75" s="9">
        <f t="shared" si="9"/>
        <v>3.1655720000000001</v>
      </c>
      <c r="Y75" s="9">
        <f t="shared" si="9"/>
        <v>3.4403439999999996</v>
      </c>
      <c r="Z75" s="9">
        <f t="shared" si="9"/>
        <v>3.5060440000000002</v>
      </c>
      <c r="AA75" s="9">
        <f t="shared" si="9"/>
        <v>3.7735159999999999</v>
      </c>
      <c r="AB75" s="9">
        <f t="shared" si="9"/>
        <v>4.2518120000000001</v>
      </c>
    </row>
    <row r="76" spans="1:28" x14ac:dyDescent="0.2">
      <c r="B76" s="2">
        <f>B4</f>
        <v>107</v>
      </c>
      <c r="C76" s="9">
        <f t="shared" ref="C76:R79" si="10">IF(C28="","",(C20-C28*$C$98/1000)*$B$97+C28*$B$98)</f>
        <v>0.60152000000000005</v>
      </c>
      <c r="D76" s="9">
        <f t="shared" si="10"/>
        <v>0.84066799999999997</v>
      </c>
      <c r="E76" s="9">
        <f t="shared" si="10"/>
        <v>1.1227399999999998</v>
      </c>
      <c r="F76" s="9">
        <f t="shared" si="10"/>
        <v>1.361888</v>
      </c>
      <c r="G76" s="9">
        <f t="shared" si="10"/>
        <v>1.4924119999999998</v>
      </c>
      <c r="H76" s="9">
        <f t="shared" si="10"/>
        <v>1.5791360000000001</v>
      </c>
      <c r="I76" s="9">
        <f t="shared" si="10"/>
        <v>1.6010360000000001</v>
      </c>
      <c r="J76" s="9">
        <f t="shared" si="10"/>
        <v>1.6877599999999999</v>
      </c>
      <c r="K76" s="9">
        <f t="shared" si="10"/>
        <v>1.73156</v>
      </c>
      <c r="L76" s="9">
        <f t="shared" si="10"/>
        <v>1.8036840000000001</v>
      </c>
      <c r="M76" s="9">
        <f t="shared" si="10"/>
        <v>2.0063319999999996</v>
      </c>
      <c r="N76" s="9">
        <f t="shared" si="10"/>
        <v>2.0136319999999999</v>
      </c>
      <c r="O76" s="9">
        <f t="shared" si="10"/>
        <v>2.0647320000000002</v>
      </c>
      <c r="P76" s="9">
        <f t="shared" si="10"/>
        <v>2.25278</v>
      </c>
      <c r="Q76" s="9">
        <f t="shared" si="10"/>
        <v>2.2892799999999998</v>
      </c>
      <c r="R76" s="9">
        <f t="shared" si="10"/>
        <v>2.3678280000000003</v>
      </c>
      <c r="S76" s="9">
        <f t="shared" si="9"/>
        <v>2.6078520000000003</v>
      </c>
      <c r="T76" s="9">
        <f t="shared" si="9"/>
        <v>3.1290720000000003</v>
      </c>
      <c r="U76" s="9">
        <f t="shared" si="9"/>
        <v>3.8967399999999999</v>
      </c>
      <c r="V76" s="9">
        <f t="shared" si="9"/>
        <v>4.2664119999999999</v>
      </c>
      <c r="W76" s="9">
        <f t="shared" si="9"/>
        <v>4.6141839999999998</v>
      </c>
      <c r="X76" s="9">
        <f t="shared" si="9"/>
        <v>4.7949319999999993</v>
      </c>
      <c r="Y76" s="9">
        <f t="shared" si="9"/>
        <v>5.1354039999999994</v>
      </c>
      <c r="Z76" s="9">
        <f t="shared" si="9"/>
        <v>5.2805279999999994</v>
      </c>
      <c r="AA76" s="9">
        <f t="shared" si="9"/>
        <v>5.6210000000000004</v>
      </c>
      <c r="AB76" s="9">
        <f t="shared" si="9"/>
        <v>6.3813680000000002</v>
      </c>
    </row>
    <row r="77" spans="1:28" x14ac:dyDescent="0.2">
      <c r="B77" s="2">
        <f>B5</f>
        <v>148</v>
      </c>
      <c r="C77" s="9">
        <f t="shared" si="10"/>
        <v>0.81876799999999994</v>
      </c>
      <c r="D77" s="9">
        <f t="shared" si="9"/>
        <v>1.15194</v>
      </c>
      <c r="E77" s="9">
        <f t="shared" si="9"/>
        <v>1.485112</v>
      </c>
      <c r="F77" s="9">
        <f t="shared" si="9"/>
        <v>1.8182839999999998</v>
      </c>
      <c r="G77" s="9">
        <f t="shared" si="9"/>
        <v>2.0209320000000002</v>
      </c>
      <c r="H77" s="9">
        <f t="shared" si="9"/>
        <v>2.1222560000000001</v>
      </c>
      <c r="I77" s="9">
        <f t="shared" si="9"/>
        <v>2.1587559999999999</v>
      </c>
      <c r="J77" s="9">
        <f t="shared" si="9"/>
        <v>2.25278</v>
      </c>
      <c r="K77" s="9">
        <f t="shared" si="9"/>
        <v>2.3541039999999995</v>
      </c>
      <c r="L77" s="9">
        <f t="shared" si="9"/>
        <v>2.3979039999999996</v>
      </c>
      <c r="M77" s="9">
        <f t="shared" si="9"/>
        <v>2.6370519999999997</v>
      </c>
      <c r="N77" s="9">
        <f t="shared" si="9"/>
        <v>2.6945759999999996</v>
      </c>
      <c r="O77" s="9">
        <f t="shared" si="9"/>
        <v>2.8032000000000004</v>
      </c>
      <c r="P77" s="9">
        <f t="shared" si="9"/>
        <v>3.0277479999999999</v>
      </c>
      <c r="Q77" s="9">
        <f t="shared" si="9"/>
        <v>3.0642480000000001</v>
      </c>
      <c r="R77" s="9">
        <f t="shared" si="9"/>
        <v>3.1427959999999997</v>
      </c>
      <c r="S77" s="9">
        <f t="shared" si="9"/>
        <v>3.4914439999999995</v>
      </c>
      <c r="T77" s="9">
        <f t="shared" si="9"/>
        <v>4.1650879999999999</v>
      </c>
      <c r="U77" s="9">
        <f t="shared" si="9"/>
        <v>5.1646040000000006</v>
      </c>
      <c r="V77" s="9">
        <f t="shared" si="9"/>
        <v>5.7004239999999999</v>
      </c>
      <c r="W77" s="9">
        <f t="shared" si="9"/>
        <v>6.1714199999999995</v>
      </c>
      <c r="X77" s="9">
        <f t="shared" si="9"/>
        <v>6.3886680000000009</v>
      </c>
      <c r="Y77" s="9">
        <f t="shared" si="9"/>
        <v>6.837764</v>
      </c>
      <c r="Z77" s="9">
        <f t="shared" si="9"/>
        <v>7.0550119999999996</v>
      </c>
      <c r="AA77" s="9">
        <f t="shared" si="9"/>
        <v>7.5114079999999994</v>
      </c>
      <c r="AB77" s="9">
        <f t="shared" si="9"/>
        <v>8.5109239999999993</v>
      </c>
    </row>
    <row r="78" spans="1:28" x14ac:dyDescent="0.2">
      <c r="B78" s="2">
        <f>B6</f>
        <v>189</v>
      </c>
      <c r="C78" s="9">
        <f t="shared" si="10"/>
        <v>1.036016</v>
      </c>
      <c r="D78" s="9">
        <f t="shared" si="9"/>
        <v>1.420288</v>
      </c>
      <c r="E78" s="9">
        <f t="shared" si="9"/>
        <v>1.8474840000000001</v>
      </c>
      <c r="F78" s="9">
        <f t="shared" si="9"/>
        <v>2.2819799999999999</v>
      </c>
      <c r="G78" s="9">
        <f t="shared" si="9"/>
        <v>2.5065279999999999</v>
      </c>
      <c r="H78" s="9">
        <f t="shared" si="9"/>
        <v>2.622452</v>
      </c>
      <c r="I78" s="9">
        <f t="shared" si="9"/>
        <v>2.7091759999999998</v>
      </c>
      <c r="J78" s="9">
        <f t="shared" si="9"/>
        <v>2.8178000000000001</v>
      </c>
      <c r="K78" s="9">
        <f t="shared" si="9"/>
        <v>2.9410239999999996</v>
      </c>
      <c r="L78" s="9">
        <f t="shared" si="9"/>
        <v>3.0350479999999997</v>
      </c>
      <c r="M78" s="9">
        <f t="shared" si="9"/>
        <v>3.3106960000000001</v>
      </c>
      <c r="N78" s="9">
        <f t="shared" si="9"/>
        <v>3.36822</v>
      </c>
      <c r="O78" s="9">
        <f t="shared" si="9"/>
        <v>3.4987440000000003</v>
      </c>
      <c r="P78" s="9">
        <f t="shared" si="9"/>
        <v>3.7524920000000002</v>
      </c>
      <c r="Q78" s="9">
        <f t="shared" si="9"/>
        <v>3.8465160000000003</v>
      </c>
      <c r="R78" s="9">
        <f t="shared" si="9"/>
        <v>3.9250639999999999</v>
      </c>
      <c r="S78" s="9">
        <f t="shared" si="9"/>
        <v>4.3823359999999996</v>
      </c>
      <c r="T78" s="9">
        <f t="shared" si="9"/>
        <v>5.1938040000000001</v>
      </c>
      <c r="U78" s="9">
        <f t="shared" si="9"/>
        <v>6.4826919999999992</v>
      </c>
      <c r="V78" s="9">
        <f t="shared" si="9"/>
        <v>7.1417359999999999</v>
      </c>
      <c r="W78" s="9">
        <f t="shared" si="9"/>
        <v>7.728656</v>
      </c>
      <c r="X78" s="9">
        <f t="shared" si="9"/>
        <v>7.9751039999999991</v>
      </c>
      <c r="Y78" s="9">
        <f t="shared" si="9"/>
        <v>8.5830479999999998</v>
      </c>
      <c r="Z78" s="9">
        <f t="shared" si="9"/>
        <v>8.8294959999999989</v>
      </c>
      <c r="AA78" s="9">
        <f t="shared" si="9"/>
        <v>9.4018160000000002</v>
      </c>
      <c r="AB78" s="9">
        <f t="shared" si="9"/>
        <v>10.647779999999999</v>
      </c>
    </row>
    <row r="79" spans="1:28" x14ac:dyDescent="0.2">
      <c r="B79" s="2">
        <f>B7</f>
        <v>230</v>
      </c>
      <c r="C79" s="9">
        <f t="shared" si="10"/>
        <v>1.2532639999999999</v>
      </c>
      <c r="D79" s="9">
        <f t="shared" si="9"/>
        <v>1.73156</v>
      </c>
      <c r="E79" s="9">
        <f t="shared" si="9"/>
        <v>2.2171559999999997</v>
      </c>
      <c r="F79" s="9">
        <f t="shared" si="9"/>
        <v>2.7383759999999997</v>
      </c>
      <c r="G79" s="9">
        <f t="shared" si="9"/>
        <v>3.0423480000000001</v>
      </c>
      <c r="H79" s="9">
        <f t="shared" si="9"/>
        <v>3.1728720000000004</v>
      </c>
      <c r="I79" s="9">
        <f t="shared" si="9"/>
        <v>3.2595959999999993</v>
      </c>
      <c r="J79" s="9">
        <f t="shared" si="9"/>
        <v>3.3828199999999997</v>
      </c>
      <c r="K79" s="9">
        <f t="shared" si="9"/>
        <v>3.5206439999999999</v>
      </c>
      <c r="L79" s="9">
        <f t="shared" si="9"/>
        <v>3.6292679999999997</v>
      </c>
      <c r="M79" s="9">
        <f t="shared" si="9"/>
        <v>3.98434</v>
      </c>
      <c r="N79" s="9">
        <f t="shared" si="9"/>
        <v>4.0418640000000003</v>
      </c>
      <c r="O79" s="9">
        <f t="shared" si="9"/>
        <v>4.1869879999999995</v>
      </c>
      <c r="P79" s="9">
        <f t="shared" si="9"/>
        <v>4.5274599999999996</v>
      </c>
      <c r="Q79" s="9">
        <f t="shared" si="9"/>
        <v>4.6287839999999996</v>
      </c>
      <c r="R79" s="9">
        <f t="shared" si="9"/>
        <v>4.7073319999999992</v>
      </c>
      <c r="S79" s="9">
        <f t="shared" si="9"/>
        <v>5.2732279999999996</v>
      </c>
      <c r="T79" s="9">
        <f t="shared" si="9"/>
        <v>6.2727440000000003</v>
      </c>
      <c r="U79" s="9">
        <f t="shared" si="9"/>
        <v>7.7578560000000003</v>
      </c>
      <c r="V79" s="9">
        <f t="shared" si="9"/>
        <v>8.5401240000000005</v>
      </c>
      <c r="W79" s="9">
        <f t="shared" si="9"/>
        <v>9.2858920000000005</v>
      </c>
      <c r="X79" s="9">
        <f t="shared" si="9"/>
        <v>9.568839999999998</v>
      </c>
      <c r="Y79" s="9">
        <f t="shared" si="9"/>
        <v>10.292707999999999</v>
      </c>
      <c r="Z79" s="9">
        <f t="shared" si="9"/>
        <v>10.568355999999998</v>
      </c>
      <c r="AA79" s="9">
        <f t="shared" si="9"/>
        <v>11.292223999999999</v>
      </c>
      <c r="AB79" s="9">
        <f t="shared" si="9"/>
        <v>12.777336000000002</v>
      </c>
    </row>
    <row r="80" spans="1:28" x14ac:dyDescent="0.2">
      <c r="C80" s="8"/>
      <c r="D80" s="8"/>
      <c r="E80" s="8"/>
      <c r="F80" s="8"/>
      <c r="G80" s="8"/>
      <c r="H80" s="8"/>
      <c r="I80" s="8"/>
      <c r="J80" s="8"/>
    </row>
    <row r="82" spans="1:35" x14ac:dyDescent="0.2">
      <c r="A82" s="2">
        <f>Gliederradiator!$B$2</f>
        <v>500</v>
      </c>
      <c r="B82" s="2" t="str">
        <f>IFERROR(ADDRESS(ROW(C2), COLUMN(C2)-1 + _xlfn.XMATCH(A82, C2:L2, 1), 4), "Kein grösserer Wert")</f>
        <v>F2</v>
      </c>
      <c r="C82" s="2" cm="1">
        <f t="array" aca="1" ref="C82" ca="1">INDEX(A:Q, ROW(INDIRECT(B82)), COLUMN(INDIRECT(B82))-1)</f>
        <v>400</v>
      </c>
      <c r="D82" s="2" cm="1">
        <f t="array" aca="1" ref="D82" ca="1">INDIRECT(B82)</f>
        <v>500</v>
      </c>
      <c r="F82" s="2" t="str">
        <f>IFERROR(ADDRESS(ROW(C10), COLUMN(C10)-1 + _xlfn.XMATCH(A82, C10:L10, 1), 4), "Kein grösserer Wert")</f>
        <v>F10</v>
      </c>
      <c r="G82" s="2" cm="1">
        <f t="array" aca="1" ref="G82" ca="1">INDEX(A:Q, ROW(INDIRECT(F82)), COLUMN(INDIRECT(F82))-1)</f>
        <v>400</v>
      </c>
      <c r="H82" s="2" cm="1">
        <f t="array" aca="1" ref="H82" ca="1">INDIRECT(F82)</f>
        <v>500</v>
      </c>
      <c r="I82" s="2" t="str">
        <f>IFERROR(ADDRESS(ROW(C74), COLUMN(C74)-1 + _xlfn.XMATCH(A82, C74:L74, 1), 4), "Kein grösserer Wert")</f>
        <v>F74</v>
      </c>
      <c r="J82" s="2" cm="1">
        <f t="array" aca="1" ref="J82" ca="1">INDEX(A:Q, ROW(INDIRECT(I82)), COLUMN(INDIRECT(I82))-1)</f>
        <v>400</v>
      </c>
      <c r="K82" s="2" cm="1">
        <f t="array" aca="1" ref="K82" ca="1">INDIRECT(I82)</f>
        <v>500</v>
      </c>
    </row>
    <row r="83" spans="1:35" x14ac:dyDescent="0.2">
      <c r="A83" s="2">
        <f>Gliederradiator!$B$3</f>
        <v>136</v>
      </c>
      <c r="B83" s="2" t="str">
        <f>IFERROR(ADDRESS(ROW(B3)-1 + _xlfn.XMATCH(A83,B3:B7,1),COLUMN(B3),4),"Kein grösserer Wert")</f>
        <v>B5</v>
      </c>
      <c r="C83" s="2" cm="1">
        <f t="array" aca="1" ref="C83" ca="1">INDEX(A:Q, ROW(INDIRECT(B83)), COLUMN(INDIRECT(B82)))</f>
        <v>72.400000000000006</v>
      </c>
      <c r="D83" s="2" cm="1">
        <f t="array" aca="1" ref="D83" ca="1">INDIRECT(B83)</f>
        <v>148</v>
      </c>
      <c r="F83" s="2" t="str">
        <f>IFERROR(ADDRESS(ROW(B11)-1 + _xlfn.XMATCH(A83,B11:B15,1),COLUMN(B11),4),"Kein grösserer Wert")</f>
        <v>B13</v>
      </c>
      <c r="G83" s="2" cm="1">
        <f t="array" aca="1" ref="G83" ca="1">INDEX(A:Q, ROW(INDIRECT(F83))-1, COLUMN(INDIRECT(F83)))</f>
        <v>107</v>
      </c>
      <c r="H83" s="2" cm="1">
        <f t="array" aca="1" ref="H83" ca="1">INDIRECT(F83)</f>
        <v>148</v>
      </c>
      <c r="I83" s="2" t="str">
        <f>IFERROR(ADDRESS(ROW(B75)-1 + _xlfn.XMATCH(A83,B75:B79,1),COLUMN(B75),4),"Kein grösserer Wert")</f>
        <v>B77</v>
      </c>
      <c r="J83" s="2" cm="1">
        <f t="array" aca="1" ref="J83" ca="1">INDEX(A:Q, ROW(INDIRECT(I83))-1, COLUMN(INDIRECT(I83)))</f>
        <v>107</v>
      </c>
      <c r="K83" s="2" cm="1">
        <f t="array" aca="1" ref="K83" ca="1">INDIRECT(I83)</f>
        <v>148</v>
      </c>
    </row>
    <row r="84" spans="1:35" x14ac:dyDescent="0.2">
      <c r="A84" s="3">
        <f ca="1">C84 + (A82-C82)/(D82-C82)*(D84-C84)*0.5 + (A83-C83)/(D83-C83)*(D84-C84)*0.5</f>
        <v>70.233333333333334</v>
      </c>
      <c r="C84" s="2" cm="1">
        <f t="array" aca="1" ref="C84" ca="1">INDEX(A:Q, ROW(INDIRECT(B83))-1, COLUMN(INDIRECT(B82))-1)</f>
        <v>45.1</v>
      </c>
      <c r="D84" s="2" cm="1">
        <f t="array" aca="1" ref="D84" ca="1">INDEX(A:Q, ROW(INDIRECT(B83)), COLUMN(INDIRECT(B82)))</f>
        <v>72.400000000000006</v>
      </c>
      <c r="G84" s="2" cm="1">
        <f t="array" aca="1" ref="G84" ca="1">INDEX(A:Q, ROW(INDIRECT(F83))-1, COLUMN(INDIRECT(F82))-1)</f>
        <v>1.284</v>
      </c>
      <c r="H84" s="2" cm="1">
        <f t="array" aca="1" ref="H84" ca="1">INDEX(A:Q, ROW(INDIRECT(F83)), COLUMN(INDIRECT(F82)))</f>
        <v>1.296</v>
      </c>
      <c r="J84" s="2" cm="1">
        <f t="array" aca="1" ref="J84" ca="1">INDEX(A:Q, ROW(INDIRECT(I83))-1, COLUMN(INDIRECT(I82))-1)</f>
        <v>1.1227399999999998</v>
      </c>
      <c r="K84" s="2" cm="1">
        <f t="array" aca="1" ref="K84" ca="1">INDEX(A:Q, ROW(INDIRECT(I83)), COLUMN(INDIRECT(I82)))</f>
        <v>1.8182839999999998</v>
      </c>
    </row>
    <row r="85" spans="1:35" x14ac:dyDescent="0.2">
      <c r="A85" s="3">
        <f ca="1">C85 + (A82-C82)/(D82-C82)*(D85-C85)*0.5 + (A83-C83)/(D83-C83)*(D85-C85)*0.5</f>
        <v>1.295047619047619</v>
      </c>
      <c r="C85" s="2" cm="1">
        <f t="array" aca="1" ref="C85" ca="1">INDEX(A:Q, ROW(INDIRECT(F83))-1, COLUMN(INDIRECT(F82))-1)</f>
        <v>1.284</v>
      </c>
      <c r="D85" s="2" cm="1">
        <f t="array" aca="1" ref="D85" ca="1">INDEX(A:S, ROW(INDIRECT(F83)), COLUMN(INDIRECT(F82)))</f>
        <v>1.296</v>
      </c>
    </row>
    <row r="86" spans="1:35" x14ac:dyDescent="0.2">
      <c r="A86" s="10">
        <f ca="1">C86 + (A82-C82)/(D82-C82)*(D86-C86)*0.5 + (A83-C83)/(D83-C83)*(D86-C86)*0.5</f>
        <v>1.763082095238095</v>
      </c>
      <c r="C86" s="9">
        <f ca="1">J84</f>
        <v>1.1227399999999998</v>
      </c>
      <c r="D86" s="9">
        <f ca="1">K84</f>
        <v>1.8182839999999998</v>
      </c>
    </row>
    <row r="87" spans="1:35" s="2" customFormat="1" x14ac:dyDescent="0.2">
      <c r="A87" s="3"/>
      <c r="R87"/>
      <c r="S87"/>
      <c r="T87"/>
      <c r="U87"/>
      <c r="V87"/>
      <c r="W87"/>
      <c r="X87"/>
      <c r="Y87"/>
      <c r="Z87"/>
      <c r="AA87"/>
      <c r="AB87"/>
      <c r="AC87"/>
      <c r="AD87"/>
      <c r="AE87"/>
      <c r="AF87"/>
      <c r="AG87"/>
      <c r="AH87"/>
      <c r="AI87"/>
    </row>
    <row r="89" spans="1:35" s="2" customFormat="1" ht="12.75" customHeight="1" x14ac:dyDescent="0.2">
      <c r="A89" s="1" t="s">
        <v>1</v>
      </c>
      <c r="R89"/>
      <c r="S89"/>
      <c r="T89"/>
      <c r="U89"/>
      <c r="V89"/>
      <c r="W89"/>
      <c r="X89"/>
      <c r="Y89"/>
      <c r="Z89"/>
      <c r="AA89"/>
      <c r="AB89"/>
      <c r="AC89"/>
      <c r="AD89"/>
      <c r="AE89"/>
      <c r="AF89"/>
      <c r="AG89"/>
      <c r="AH89"/>
      <c r="AI89"/>
    </row>
    <row r="90" spans="1:35" s="2" customFormat="1" ht="15.75" customHeight="1" x14ac:dyDescent="0.3">
      <c r="A90" s="1" t="s">
        <v>8</v>
      </c>
      <c r="G90" s="2">
        <f>'Basis Radiator'!F10*((Gliederradiator!B8-Gliederradiator!B9)/'Basis Radiator'!B62)^Gliederradiator!B15</f>
        <v>24.135841372146224</v>
      </c>
      <c r="R90"/>
      <c r="S90"/>
      <c r="T90"/>
      <c r="U90"/>
      <c r="V90"/>
      <c r="W90"/>
      <c r="X90"/>
      <c r="Y90"/>
      <c r="Z90"/>
      <c r="AA90"/>
      <c r="AB90"/>
      <c r="AC90"/>
      <c r="AD90"/>
      <c r="AE90"/>
      <c r="AF90"/>
      <c r="AG90"/>
      <c r="AH90"/>
      <c r="AI90"/>
    </row>
    <row r="91" spans="1:35" s="2" customFormat="1" x14ac:dyDescent="0.2">
      <c r="E91" s="2">
        <v>75</v>
      </c>
      <c r="F91" s="2">
        <v>90</v>
      </c>
      <c r="R91"/>
      <c r="S91"/>
      <c r="T91"/>
      <c r="U91"/>
      <c r="V91"/>
      <c r="W91"/>
      <c r="X91"/>
      <c r="Y91"/>
      <c r="Z91"/>
      <c r="AA91"/>
      <c r="AB91"/>
      <c r="AC91"/>
      <c r="AD91"/>
      <c r="AE91"/>
      <c r="AF91"/>
      <c r="AG91"/>
      <c r="AH91"/>
      <c r="AI91"/>
    </row>
    <row r="92" spans="1:35" s="2" customFormat="1" ht="15.75" x14ac:dyDescent="0.3">
      <c r="A92" s="1" t="s">
        <v>9</v>
      </c>
      <c r="E92" s="2">
        <v>65</v>
      </c>
      <c r="F92" s="2">
        <v>70</v>
      </c>
      <c r="R92"/>
      <c r="S92"/>
      <c r="T92"/>
      <c r="U92"/>
      <c r="V92"/>
      <c r="W92"/>
      <c r="X92"/>
      <c r="Y92"/>
      <c r="Z92"/>
      <c r="AA92"/>
      <c r="AB92"/>
      <c r="AC92"/>
      <c r="AD92"/>
      <c r="AE92"/>
      <c r="AF92"/>
      <c r="AG92"/>
      <c r="AH92"/>
      <c r="AI92"/>
    </row>
    <row r="93" spans="1:35" s="2" customFormat="1" x14ac:dyDescent="0.2">
      <c r="E93" s="2">
        <v>20</v>
      </c>
      <c r="F93" s="2">
        <v>20</v>
      </c>
      <c r="R93"/>
      <c r="S93"/>
      <c r="T93"/>
      <c r="U93"/>
      <c r="V93"/>
      <c r="W93"/>
      <c r="X93"/>
      <c r="Y93"/>
      <c r="Z93"/>
      <c r="AA93"/>
      <c r="AB93"/>
      <c r="AC93"/>
      <c r="AD93"/>
      <c r="AE93"/>
      <c r="AF93"/>
      <c r="AG93"/>
      <c r="AH93"/>
      <c r="AI93"/>
    </row>
    <row r="94" spans="1:35" s="2" customFormat="1" ht="15.75" x14ac:dyDescent="0.3">
      <c r="A94" s="1" t="s">
        <v>10</v>
      </c>
      <c r="B94" s="2">
        <f>(E91-E92)/(LN((E91-E93)/(E92-E93)))</f>
        <v>49.83288654563971</v>
      </c>
      <c r="E94" s="11">
        <f>(E91-E92)/(LN((E91-E93)/(E92-E93)))</f>
        <v>49.83288654563971</v>
      </c>
      <c r="F94" s="11">
        <f>(F91-F92)/(LN((F91-F93)/(F92-F93)))</f>
        <v>59.440268239769239</v>
      </c>
      <c r="R94"/>
      <c r="S94"/>
      <c r="T94"/>
      <c r="U94"/>
      <c r="V94"/>
      <c r="W94"/>
      <c r="X94"/>
      <c r="Y94"/>
      <c r="Z94"/>
      <c r="AA94"/>
      <c r="AB94"/>
      <c r="AC94"/>
      <c r="AD94"/>
      <c r="AE94"/>
      <c r="AF94"/>
      <c r="AG94"/>
      <c r="AH94"/>
      <c r="AI94"/>
    </row>
    <row r="96" spans="1:35" s="2" customFormat="1" x14ac:dyDescent="0.2">
      <c r="A96" s="2" t="s">
        <v>5</v>
      </c>
      <c r="R96"/>
      <c r="S96"/>
      <c r="T96"/>
      <c r="U96"/>
      <c r="V96"/>
      <c r="W96"/>
      <c r="X96"/>
      <c r="Y96"/>
      <c r="Z96"/>
      <c r="AA96"/>
      <c r="AB96"/>
      <c r="AC96"/>
      <c r="AD96"/>
      <c r="AE96"/>
      <c r="AF96"/>
      <c r="AG96"/>
      <c r="AH96"/>
      <c r="AI96"/>
    </row>
    <row r="97" spans="1:35" s="2" customFormat="1" x14ac:dyDescent="0.2">
      <c r="A97" s="2" t="s">
        <v>7</v>
      </c>
      <c r="B97" s="2">
        <v>0.73</v>
      </c>
      <c r="R97"/>
      <c r="S97"/>
      <c r="T97"/>
      <c r="U97"/>
      <c r="V97"/>
      <c r="W97"/>
      <c r="X97"/>
      <c r="Y97"/>
      <c r="Z97"/>
      <c r="AA97"/>
      <c r="AB97"/>
      <c r="AC97"/>
      <c r="AD97"/>
      <c r="AE97"/>
      <c r="AF97"/>
      <c r="AG97"/>
      <c r="AH97"/>
      <c r="AI97"/>
    </row>
    <row r="98" spans="1:35" s="2" customFormat="1" x14ac:dyDescent="0.2">
      <c r="A98" s="2" t="s">
        <v>6</v>
      </c>
      <c r="B98" s="2">
        <v>4.38</v>
      </c>
      <c r="C98" s="2">
        <v>120</v>
      </c>
      <c r="D98" s="2" t="s">
        <v>12</v>
      </c>
      <c r="R98"/>
      <c r="S98"/>
      <c r="T98"/>
      <c r="U98"/>
      <c r="V98"/>
      <c r="W98"/>
      <c r="X98"/>
      <c r="Y98"/>
      <c r="Z98"/>
      <c r="AA98"/>
      <c r="AB98"/>
      <c r="AC98"/>
      <c r="AD98"/>
      <c r="AE98"/>
      <c r="AF98"/>
      <c r="AG98"/>
      <c r="AH98"/>
      <c r="AI98"/>
    </row>
    <row r="119" spans="13:35" s="2" customFormat="1" x14ac:dyDescent="0.2">
      <c r="M119" s="2">
        <v>0.56000000000000005</v>
      </c>
      <c r="R119"/>
      <c r="S119"/>
      <c r="T119"/>
      <c r="U119"/>
      <c r="V119"/>
      <c r="W119"/>
      <c r="X119"/>
      <c r="Y119"/>
      <c r="Z119"/>
      <c r="AA119"/>
      <c r="AB119"/>
      <c r="AC119"/>
      <c r="AD119"/>
      <c r="AE119"/>
      <c r="AF119"/>
      <c r="AG119"/>
      <c r="AH119"/>
      <c r="AI119"/>
    </row>
    <row r="120" spans="13:35" s="2" customFormat="1" x14ac:dyDescent="0.2">
      <c r="M120" s="2">
        <v>0.63</v>
      </c>
      <c r="R120"/>
      <c r="S120"/>
      <c r="T120"/>
      <c r="U120"/>
      <c r="V120"/>
      <c r="W120"/>
      <c r="X120"/>
      <c r="Y120"/>
      <c r="Z120"/>
      <c r="AA120"/>
      <c r="AB120"/>
      <c r="AC120"/>
      <c r="AD120"/>
      <c r="AE120"/>
      <c r="AF120"/>
      <c r="AG120"/>
      <c r="AH120"/>
      <c r="AI120"/>
    </row>
    <row r="121" spans="13:35" s="2" customFormat="1" x14ac:dyDescent="0.2">
      <c r="M121" s="2">
        <v>0.73</v>
      </c>
      <c r="R121"/>
      <c r="S121"/>
      <c r="T121"/>
      <c r="U121"/>
      <c r="V121"/>
      <c r="W121"/>
      <c r="X121"/>
      <c r="Y121"/>
      <c r="Z121"/>
      <c r="AA121"/>
      <c r="AB121"/>
      <c r="AC121"/>
      <c r="AD121"/>
      <c r="AE121"/>
      <c r="AF121"/>
      <c r="AG121"/>
      <c r="AH121"/>
      <c r="AI121"/>
    </row>
    <row r="122" spans="13:35" s="2" customFormat="1" x14ac:dyDescent="0.2">
      <c r="M122" s="2">
        <v>0.83</v>
      </c>
      <c r="R122"/>
      <c r="S122"/>
      <c r="T122"/>
      <c r="U122"/>
      <c r="V122"/>
      <c r="W122"/>
      <c r="X122"/>
      <c r="Y122"/>
      <c r="Z122"/>
      <c r="AA122"/>
      <c r="AB122"/>
      <c r="AC122"/>
      <c r="AD122"/>
      <c r="AE122"/>
      <c r="AF122"/>
      <c r="AG122"/>
      <c r="AH122"/>
      <c r="AI122"/>
    </row>
    <row r="123" spans="13:35" s="2" customFormat="1" x14ac:dyDescent="0.2">
      <c r="M123" s="2">
        <v>0.93</v>
      </c>
      <c r="R123"/>
      <c r="S123"/>
      <c r="T123"/>
      <c r="U123"/>
      <c r="V123"/>
      <c r="W123"/>
      <c r="X123"/>
      <c r="Y123"/>
      <c r="Z123"/>
      <c r="AA123"/>
      <c r="AB123"/>
      <c r="AC123"/>
      <c r="AD123"/>
      <c r="AE123"/>
      <c r="AF123"/>
      <c r="AG123"/>
      <c r="AH123"/>
      <c r="AI123"/>
    </row>
    <row r="124" spans="13:35" s="2" customFormat="1" x14ac:dyDescent="0.2">
      <c r="M124" s="2">
        <v>1.03</v>
      </c>
      <c r="R124"/>
      <c r="S124"/>
      <c r="T124"/>
      <c r="U124"/>
      <c r="V124"/>
      <c r="W124"/>
      <c r="X124"/>
      <c r="Y124"/>
      <c r="Z124"/>
      <c r="AA124"/>
      <c r="AB124"/>
      <c r="AC124"/>
      <c r="AD124"/>
      <c r="AE124"/>
      <c r="AF124"/>
      <c r="AG124"/>
      <c r="AH124"/>
      <c r="AI124"/>
    </row>
    <row r="125" spans="13:35" s="2" customFormat="1" x14ac:dyDescent="0.2">
      <c r="M125" s="2">
        <v>1.1299999999999999</v>
      </c>
      <c r="R125"/>
      <c r="S125"/>
      <c r="T125"/>
      <c r="U125"/>
      <c r="V125"/>
      <c r="W125"/>
      <c r="X125"/>
      <c r="Y125"/>
      <c r="Z125"/>
      <c r="AA125"/>
      <c r="AB125"/>
      <c r="AC125"/>
      <c r="AD125"/>
      <c r="AE125"/>
      <c r="AF125"/>
      <c r="AG125"/>
      <c r="AH125"/>
      <c r="AI125"/>
    </row>
    <row r="126" spans="13:35" s="2" customFormat="1" x14ac:dyDescent="0.2">
      <c r="M126" s="2">
        <v>1.23</v>
      </c>
      <c r="R126"/>
      <c r="S126"/>
      <c r="T126"/>
      <c r="U126"/>
      <c r="V126"/>
      <c r="W126"/>
      <c r="X126"/>
      <c r="Y126"/>
      <c r="Z126"/>
      <c r="AA126"/>
      <c r="AB126"/>
      <c r="AC126"/>
      <c r="AD126"/>
      <c r="AE126"/>
      <c r="AF126"/>
      <c r="AG126"/>
      <c r="AH126"/>
      <c r="AI126"/>
    </row>
    <row r="127" spans="13:35" s="2" customFormat="1" x14ac:dyDescent="0.2">
      <c r="M127" s="2">
        <v>1.52</v>
      </c>
      <c r="R127"/>
      <c r="S127"/>
      <c r="T127"/>
      <c r="U127"/>
      <c r="V127"/>
      <c r="W127"/>
      <c r="X127"/>
      <c r="Y127"/>
      <c r="Z127"/>
      <c r="AA127"/>
      <c r="AB127"/>
      <c r="AC127"/>
      <c r="AD127"/>
      <c r="AE127"/>
      <c r="AF127"/>
      <c r="AG127"/>
      <c r="AH127"/>
      <c r="AI127"/>
    </row>
    <row r="128" spans="13:35" s="2" customFormat="1" x14ac:dyDescent="0.2">
      <c r="M128" s="2">
        <v>1.81</v>
      </c>
      <c r="R128"/>
      <c r="S128"/>
      <c r="T128"/>
      <c r="U128"/>
      <c r="V128"/>
      <c r="W128"/>
      <c r="X128"/>
      <c r="Y128"/>
      <c r="Z128"/>
      <c r="AA128"/>
      <c r="AB128"/>
      <c r="AC128"/>
      <c r="AD128"/>
      <c r="AE128"/>
      <c r="AF128"/>
      <c r="AG128"/>
      <c r="AH128"/>
      <c r="AI128"/>
    </row>
    <row r="129" spans="13:35" s="2" customFormat="1" x14ac:dyDescent="0.2">
      <c r="M129" s="2">
        <v>2.0099999999999998</v>
      </c>
      <c r="R129"/>
      <c r="S129"/>
      <c r="T129"/>
      <c r="U129"/>
      <c r="V129"/>
      <c r="W129"/>
      <c r="X129"/>
      <c r="Y129"/>
      <c r="Z129"/>
      <c r="AA129"/>
      <c r="AB129"/>
      <c r="AC129"/>
      <c r="AD129"/>
      <c r="AE129"/>
      <c r="AF129"/>
      <c r="AG129"/>
      <c r="AH129"/>
      <c r="AI129"/>
    </row>
    <row r="130" spans="13:35" s="2" customFormat="1" x14ac:dyDescent="0.2">
      <c r="M130" s="2">
        <v>2.21</v>
      </c>
      <c r="R130"/>
      <c r="S130"/>
      <c r="T130"/>
      <c r="U130"/>
      <c r="V130"/>
      <c r="W130"/>
      <c r="X130"/>
      <c r="Y130"/>
      <c r="Z130"/>
      <c r="AA130"/>
      <c r="AB130"/>
      <c r="AC130"/>
      <c r="AD130"/>
      <c r="AE130"/>
      <c r="AF130"/>
      <c r="AG130"/>
      <c r="AH130"/>
      <c r="AI130"/>
    </row>
    <row r="131" spans="13:35" s="2" customFormat="1" x14ac:dyDescent="0.2">
      <c r="M131" s="2">
        <v>2.4</v>
      </c>
      <c r="R131"/>
      <c r="S131"/>
      <c r="T131"/>
      <c r="U131"/>
      <c r="V131"/>
      <c r="W131"/>
      <c r="X131"/>
      <c r="Y131"/>
      <c r="Z131"/>
      <c r="AA131"/>
      <c r="AB131"/>
      <c r="AC131"/>
      <c r="AD131"/>
      <c r="AE131"/>
      <c r="AF131"/>
      <c r="AG131"/>
      <c r="AH131"/>
      <c r="AI131"/>
    </row>
    <row r="132" spans="13:35" s="2" customFormat="1" x14ac:dyDescent="0.2">
      <c r="M132" s="2">
        <v>2.99</v>
      </c>
      <c r="R132"/>
      <c r="S132"/>
      <c r="T132"/>
      <c r="U132"/>
      <c r="V132"/>
      <c r="W132"/>
      <c r="X132"/>
      <c r="Y132"/>
      <c r="Z132"/>
      <c r="AA132"/>
      <c r="AB132"/>
      <c r="AC132"/>
      <c r="AD132"/>
      <c r="AE132"/>
      <c r="AF132"/>
      <c r="AG132"/>
      <c r="AH132"/>
      <c r="AI132"/>
    </row>
    <row r="133" spans="13:35" s="2" customFormat="1" x14ac:dyDescent="0.2">
      <c r="M133" s="2">
        <v>3.58</v>
      </c>
      <c r="R133"/>
      <c r="S133"/>
      <c r="T133"/>
      <c r="U133"/>
      <c r="V133"/>
      <c r="W133"/>
      <c r="X133"/>
      <c r="Y133"/>
      <c r="Z133"/>
      <c r="AA133"/>
      <c r="AB133"/>
      <c r="AC133"/>
      <c r="AD133"/>
      <c r="AE133"/>
      <c r="AF133"/>
      <c r="AG133"/>
      <c r="AH133"/>
      <c r="AI133"/>
    </row>
    <row r="134" spans="13:35" s="2" customFormat="1" x14ac:dyDescent="0.2">
      <c r="M134" s="2">
        <v>3.97</v>
      </c>
      <c r="R134"/>
      <c r="S134"/>
      <c r="T134"/>
      <c r="U134"/>
      <c r="V134"/>
      <c r="W134"/>
      <c r="X134"/>
      <c r="Y134"/>
      <c r="Z134"/>
      <c r="AA134"/>
      <c r="AB134"/>
      <c r="AC134"/>
      <c r="AD134"/>
      <c r="AE134"/>
      <c r="AF134"/>
      <c r="AG134"/>
      <c r="AH134"/>
      <c r="AI134"/>
    </row>
    <row r="135" spans="13:35" s="2" customFormat="1" x14ac:dyDescent="0.2">
      <c r="M135" s="2">
        <v>4.3600000000000003</v>
      </c>
      <c r="R135"/>
      <c r="S135"/>
      <c r="T135"/>
      <c r="U135"/>
      <c r="V135"/>
      <c r="W135"/>
      <c r="X135"/>
      <c r="Y135"/>
      <c r="Z135"/>
      <c r="AA135"/>
      <c r="AB135"/>
      <c r="AC135"/>
      <c r="AD135"/>
      <c r="AE135"/>
      <c r="AF135"/>
      <c r="AG135"/>
      <c r="AH135"/>
      <c r="AI135"/>
    </row>
    <row r="136" spans="13:35" s="2" customFormat="1" x14ac:dyDescent="0.2">
      <c r="M136" s="2">
        <v>4.95</v>
      </c>
      <c r="R136"/>
      <c r="S136"/>
      <c r="T136"/>
      <c r="U136"/>
      <c r="V136"/>
      <c r="W136"/>
      <c r="X136"/>
      <c r="Y136"/>
      <c r="Z136"/>
      <c r="AA136"/>
      <c r="AB136"/>
      <c r="AC136"/>
      <c r="AD136"/>
      <c r="AE136"/>
      <c r="AF136"/>
      <c r="AG136"/>
      <c r="AH136"/>
      <c r="AI136"/>
    </row>
    <row r="137" spans="13:35" s="2" customFormat="1" x14ac:dyDescent="0.2">
      <c r="M137" s="2">
        <v>5.54</v>
      </c>
      <c r="R137"/>
      <c r="S137"/>
      <c r="T137"/>
      <c r="U137"/>
      <c r="V137"/>
      <c r="W137"/>
      <c r="X137"/>
      <c r="Y137"/>
      <c r="Z137"/>
      <c r="AA137"/>
      <c r="AB137"/>
      <c r="AC137"/>
      <c r="AD137"/>
      <c r="AE137"/>
      <c r="AF137"/>
      <c r="AG137"/>
      <c r="AH137"/>
      <c r="AI137"/>
    </row>
    <row r="138" spans="13:35" s="2" customFormat="1" x14ac:dyDescent="0.2">
      <c r="M138" s="2">
        <v>5.93</v>
      </c>
      <c r="R138"/>
      <c r="S138"/>
      <c r="T138"/>
      <c r="U138"/>
      <c r="V138"/>
      <c r="W138"/>
      <c r="X138"/>
      <c r="Y138"/>
      <c r="Z138"/>
      <c r="AA138"/>
      <c r="AB138"/>
      <c r="AC138"/>
      <c r="AD138"/>
      <c r="AE138"/>
      <c r="AF138"/>
      <c r="AG138"/>
      <c r="AH138"/>
      <c r="AI138"/>
    </row>
    <row r="139" spans="13:35" s="2" customFormat="1" x14ac:dyDescent="0.2">
      <c r="M139" s="2">
        <v>0.77</v>
      </c>
      <c r="R139"/>
      <c r="S139"/>
      <c r="T139"/>
      <c r="U139"/>
      <c r="V139"/>
      <c r="W139"/>
      <c r="X139"/>
      <c r="Y139"/>
      <c r="Z139"/>
      <c r="AA139"/>
      <c r="AB139"/>
      <c r="AC139"/>
      <c r="AD139"/>
      <c r="AE139"/>
      <c r="AF139"/>
      <c r="AG139"/>
      <c r="AH139"/>
      <c r="AI139"/>
    </row>
    <row r="140" spans="13:35" s="2" customFormat="1" x14ac:dyDescent="0.2">
      <c r="M140" s="2">
        <v>0.88</v>
      </c>
      <c r="R140"/>
      <c r="S140"/>
      <c r="T140"/>
      <c r="U140"/>
      <c r="V140"/>
      <c r="W140"/>
      <c r="X140"/>
      <c r="Y140"/>
      <c r="Z140"/>
      <c r="AA140"/>
      <c r="AB140"/>
      <c r="AC140"/>
      <c r="AD140"/>
      <c r="AE140"/>
      <c r="AF140"/>
      <c r="AG140"/>
      <c r="AH140"/>
      <c r="AI140"/>
    </row>
    <row r="141" spans="13:35" s="2" customFormat="1" x14ac:dyDescent="0.2">
      <c r="M141" s="2">
        <v>1.01</v>
      </c>
      <c r="R141"/>
      <c r="S141"/>
      <c r="T141"/>
      <c r="U141"/>
      <c r="V141"/>
      <c r="W141"/>
      <c r="X141"/>
      <c r="Y141"/>
      <c r="Z141"/>
      <c r="AA141"/>
      <c r="AB141"/>
      <c r="AC141"/>
      <c r="AD141"/>
      <c r="AE141"/>
      <c r="AF141"/>
      <c r="AG141"/>
      <c r="AH141"/>
      <c r="AI141"/>
    </row>
    <row r="142" spans="13:35" s="2" customFormat="1" x14ac:dyDescent="0.2">
      <c r="M142" s="2">
        <v>1.1599999999999999</v>
      </c>
      <c r="R142"/>
      <c r="S142"/>
      <c r="T142"/>
      <c r="U142"/>
      <c r="V142"/>
      <c r="W142"/>
      <c r="X142"/>
      <c r="Y142"/>
      <c r="Z142"/>
      <c r="AA142"/>
      <c r="AB142"/>
      <c r="AC142"/>
      <c r="AD142"/>
      <c r="AE142"/>
      <c r="AF142"/>
      <c r="AG142"/>
      <c r="AH142"/>
      <c r="AI142"/>
    </row>
    <row r="143" spans="13:35" s="2" customFormat="1" x14ac:dyDescent="0.2">
      <c r="M143" s="2">
        <v>1.29</v>
      </c>
      <c r="R143"/>
      <c r="S143"/>
      <c r="T143"/>
      <c r="U143"/>
      <c r="V143"/>
      <c r="W143"/>
      <c r="X143"/>
      <c r="Y143"/>
      <c r="Z143"/>
      <c r="AA143"/>
      <c r="AB143"/>
      <c r="AC143"/>
      <c r="AD143"/>
      <c r="AE143"/>
      <c r="AF143"/>
      <c r="AG143"/>
      <c r="AH143"/>
      <c r="AI143"/>
    </row>
    <row r="144" spans="13:35" s="2" customFormat="1" x14ac:dyDescent="0.2">
      <c r="M144" s="2">
        <v>1.42</v>
      </c>
      <c r="R144"/>
      <c r="S144"/>
      <c r="T144"/>
      <c r="U144"/>
      <c r="V144"/>
      <c r="W144"/>
      <c r="X144"/>
      <c r="Y144"/>
      <c r="Z144"/>
      <c r="AA144"/>
      <c r="AB144"/>
      <c r="AC144"/>
      <c r="AD144"/>
      <c r="AE144"/>
      <c r="AF144"/>
      <c r="AG144"/>
      <c r="AH144"/>
      <c r="AI144"/>
    </row>
    <row r="145" spans="13:35" s="2" customFormat="1" x14ac:dyDescent="0.2">
      <c r="M145" s="2">
        <v>1.55</v>
      </c>
      <c r="R145"/>
      <c r="S145"/>
      <c r="T145"/>
      <c r="U145"/>
      <c r="V145"/>
      <c r="W145"/>
      <c r="X145"/>
      <c r="Y145"/>
      <c r="Z145"/>
      <c r="AA145"/>
      <c r="AB145"/>
      <c r="AC145"/>
      <c r="AD145"/>
      <c r="AE145"/>
      <c r="AF145"/>
      <c r="AG145"/>
      <c r="AH145"/>
      <c r="AI145"/>
    </row>
    <row r="146" spans="13:35" s="2" customFormat="1" x14ac:dyDescent="0.2">
      <c r="M146" s="2">
        <v>1.67</v>
      </c>
      <c r="R146"/>
      <c r="S146"/>
      <c r="T146"/>
      <c r="U146"/>
      <c r="V146"/>
      <c r="W146"/>
      <c r="X146"/>
      <c r="Y146"/>
      <c r="Z146"/>
      <c r="AA146"/>
      <c r="AB146"/>
      <c r="AC146"/>
      <c r="AD146"/>
      <c r="AE146"/>
      <c r="AF146"/>
      <c r="AG146"/>
      <c r="AH146"/>
      <c r="AI146"/>
    </row>
    <row r="147" spans="13:35" s="2" customFormat="1" x14ac:dyDescent="0.2">
      <c r="M147" s="2">
        <v>2.06</v>
      </c>
      <c r="R147"/>
      <c r="S147"/>
      <c r="T147"/>
      <c r="U147"/>
      <c r="V147"/>
      <c r="W147"/>
      <c r="X147"/>
      <c r="Y147"/>
      <c r="Z147"/>
      <c r="AA147"/>
      <c r="AB147"/>
      <c r="AC147"/>
      <c r="AD147"/>
      <c r="AE147"/>
      <c r="AF147"/>
      <c r="AG147"/>
      <c r="AH147"/>
      <c r="AI147"/>
    </row>
    <row r="148" spans="13:35" s="2" customFormat="1" x14ac:dyDescent="0.2">
      <c r="M148" s="2">
        <v>2.4500000000000002</v>
      </c>
      <c r="R148"/>
      <c r="S148"/>
      <c r="T148"/>
      <c r="U148"/>
      <c r="V148"/>
      <c r="W148"/>
      <c r="X148"/>
      <c r="Y148"/>
      <c r="Z148"/>
      <c r="AA148"/>
      <c r="AB148"/>
      <c r="AC148"/>
      <c r="AD148"/>
      <c r="AE148"/>
      <c r="AF148"/>
      <c r="AG148"/>
      <c r="AH148"/>
      <c r="AI148"/>
    </row>
    <row r="149" spans="13:35" s="2" customFormat="1" x14ac:dyDescent="0.2">
      <c r="M149" s="2">
        <v>2.7</v>
      </c>
      <c r="R149"/>
      <c r="S149"/>
      <c r="T149"/>
      <c r="U149"/>
      <c r="V149"/>
      <c r="W149"/>
      <c r="X149"/>
      <c r="Y149"/>
      <c r="Z149"/>
      <c r="AA149"/>
      <c r="AB149"/>
      <c r="AC149"/>
      <c r="AD149"/>
      <c r="AE149"/>
      <c r="AF149"/>
      <c r="AG149"/>
      <c r="AH149"/>
      <c r="AI149"/>
    </row>
    <row r="150" spans="13:35" s="2" customFormat="1" x14ac:dyDescent="0.2">
      <c r="M150" s="2">
        <v>2.96</v>
      </c>
      <c r="R150"/>
      <c r="S150"/>
      <c r="T150"/>
      <c r="U150"/>
      <c r="V150"/>
      <c r="W150"/>
      <c r="X150"/>
      <c r="Y150"/>
      <c r="Z150"/>
      <c r="AA150"/>
      <c r="AB150"/>
      <c r="AC150"/>
      <c r="AD150"/>
      <c r="AE150"/>
      <c r="AF150"/>
      <c r="AG150"/>
      <c r="AH150"/>
      <c r="AI150"/>
    </row>
    <row r="151" spans="13:35" s="2" customFormat="1" x14ac:dyDescent="0.2">
      <c r="M151" s="2">
        <v>3.22</v>
      </c>
      <c r="R151"/>
      <c r="S151"/>
      <c r="T151"/>
      <c r="U151"/>
      <c r="V151"/>
      <c r="W151"/>
      <c r="X151"/>
      <c r="Y151"/>
      <c r="Z151"/>
      <c r="AA151"/>
      <c r="AB151"/>
      <c r="AC151"/>
      <c r="AD151"/>
      <c r="AE151"/>
      <c r="AF151"/>
      <c r="AG151"/>
      <c r="AH151"/>
      <c r="AI151"/>
    </row>
    <row r="152" spans="13:35" s="2" customFormat="1" x14ac:dyDescent="0.2">
      <c r="M152" s="2">
        <v>3.99</v>
      </c>
      <c r="R152"/>
      <c r="S152"/>
      <c r="T152"/>
      <c r="U152"/>
      <c r="V152"/>
      <c r="W152"/>
      <c r="X152"/>
      <c r="Y152"/>
      <c r="Z152"/>
      <c r="AA152"/>
      <c r="AB152"/>
      <c r="AC152"/>
      <c r="AD152"/>
      <c r="AE152"/>
      <c r="AF152"/>
      <c r="AG152"/>
      <c r="AH152"/>
      <c r="AI152"/>
    </row>
    <row r="153" spans="13:35" s="2" customFormat="1" x14ac:dyDescent="0.2">
      <c r="M153" s="2">
        <v>4.76</v>
      </c>
      <c r="R153"/>
      <c r="S153"/>
      <c r="T153"/>
      <c r="U153"/>
      <c r="V153"/>
      <c r="W153"/>
      <c r="X153"/>
      <c r="Y153"/>
      <c r="Z153"/>
      <c r="AA153"/>
      <c r="AB153"/>
      <c r="AC153"/>
      <c r="AD153"/>
      <c r="AE153"/>
      <c r="AF153"/>
      <c r="AG153"/>
      <c r="AH153"/>
      <c r="AI153"/>
    </row>
    <row r="154" spans="13:35" s="2" customFormat="1" x14ac:dyDescent="0.2">
      <c r="M154" s="2">
        <v>5.28</v>
      </c>
      <c r="R154"/>
      <c r="S154"/>
      <c r="T154"/>
      <c r="U154"/>
      <c r="V154"/>
      <c r="W154"/>
      <c r="X154"/>
      <c r="Y154"/>
      <c r="Z154"/>
      <c r="AA154"/>
      <c r="AB154"/>
      <c r="AC154"/>
      <c r="AD154"/>
      <c r="AE154"/>
      <c r="AF154"/>
      <c r="AG154"/>
      <c r="AH154"/>
      <c r="AI154"/>
    </row>
    <row r="155" spans="13:35" s="2" customFormat="1" x14ac:dyDescent="0.2">
      <c r="M155" s="2">
        <v>5.79</v>
      </c>
      <c r="R155"/>
      <c r="S155"/>
      <c r="T155"/>
      <c r="U155"/>
      <c r="V155"/>
      <c r="W155"/>
      <c r="X155"/>
      <c r="Y155"/>
      <c r="Z155"/>
      <c r="AA155"/>
      <c r="AB155"/>
      <c r="AC155"/>
      <c r="AD155"/>
      <c r="AE155"/>
      <c r="AF155"/>
      <c r="AG155"/>
      <c r="AH155"/>
      <c r="AI155"/>
    </row>
    <row r="156" spans="13:35" s="2" customFormat="1" x14ac:dyDescent="0.2">
      <c r="M156" s="2">
        <v>5.56</v>
      </c>
      <c r="R156"/>
      <c r="S156"/>
      <c r="T156"/>
      <c r="U156"/>
      <c r="V156"/>
      <c r="W156"/>
      <c r="X156"/>
      <c r="Y156"/>
      <c r="Z156"/>
      <c r="AA156"/>
      <c r="AB156"/>
      <c r="AC156"/>
      <c r="AD156"/>
      <c r="AE156"/>
      <c r="AF156"/>
      <c r="AG156"/>
      <c r="AH156"/>
      <c r="AI156"/>
    </row>
    <row r="157" spans="13:35" s="2" customFormat="1" x14ac:dyDescent="0.2">
      <c r="M157" s="2">
        <v>7.33</v>
      </c>
      <c r="R157"/>
      <c r="S157"/>
      <c r="T157"/>
      <c r="U157"/>
      <c r="V157"/>
      <c r="W157"/>
      <c r="X157"/>
      <c r="Y157"/>
      <c r="Z157"/>
      <c r="AA157"/>
      <c r="AB157"/>
      <c r="AC157"/>
      <c r="AD157"/>
      <c r="AE157"/>
      <c r="AF157"/>
      <c r="AG157"/>
      <c r="AH157"/>
      <c r="AI157"/>
    </row>
    <row r="158" spans="13:35" s="2" customFormat="1" x14ac:dyDescent="0.2">
      <c r="M158" s="2">
        <v>7.85</v>
      </c>
      <c r="R158"/>
      <c r="S158"/>
      <c r="T158"/>
      <c r="U158"/>
      <c r="V158"/>
      <c r="W158"/>
      <c r="X158"/>
      <c r="Y158"/>
      <c r="Z158"/>
      <c r="AA158"/>
      <c r="AB158"/>
      <c r="AC158"/>
      <c r="AD158"/>
      <c r="AE158"/>
      <c r="AF158"/>
      <c r="AG158"/>
      <c r="AH158"/>
      <c r="AI158"/>
    </row>
    <row r="159" spans="13:35" s="2" customFormat="1" x14ac:dyDescent="0.2">
      <c r="M159" s="2">
        <v>0.88</v>
      </c>
      <c r="R159"/>
      <c r="S159"/>
      <c r="T159"/>
      <c r="U159"/>
      <c r="V159"/>
      <c r="W159"/>
      <c r="X159"/>
      <c r="Y159"/>
      <c r="Z159"/>
      <c r="AA159"/>
      <c r="AB159"/>
      <c r="AC159"/>
      <c r="AD159"/>
      <c r="AE159"/>
      <c r="AF159"/>
      <c r="AG159"/>
      <c r="AH159"/>
      <c r="AI159"/>
    </row>
    <row r="160" spans="13:35" s="2" customFormat="1" x14ac:dyDescent="0.2">
      <c r="M160" s="2">
        <v>1.01</v>
      </c>
      <c r="R160"/>
      <c r="S160"/>
      <c r="T160"/>
      <c r="U160"/>
      <c r="V160"/>
      <c r="W160"/>
      <c r="X160"/>
      <c r="Y160"/>
      <c r="Z160"/>
      <c r="AA160"/>
      <c r="AB160"/>
      <c r="AC160"/>
      <c r="AD160"/>
      <c r="AE160"/>
      <c r="AF160"/>
      <c r="AG160"/>
      <c r="AH160"/>
      <c r="AI160"/>
    </row>
    <row r="161" spans="13:35" s="2" customFormat="1" x14ac:dyDescent="0.2">
      <c r="M161" s="2">
        <v>1.18</v>
      </c>
      <c r="R161"/>
      <c r="S161"/>
      <c r="T161"/>
      <c r="U161"/>
      <c r="V161"/>
      <c r="W161"/>
      <c r="X161"/>
      <c r="Y161"/>
      <c r="Z161"/>
      <c r="AA161"/>
      <c r="AB161"/>
      <c r="AC161"/>
      <c r="AD161"/>
      <c r="AE161"/>
      <c r="AF161"/>
      <c r="AG161"/>
      <c r="AH161"/>
      <c r="AI161"/>
    </row>
    <row r="162" spans="13:35" s="2" customFormat="1" x14ac:dyDescent="0.2">
      <c r="M162" s="2">
        <v>1.51</v>
      </c>
      <c r="R162"/>
      <c r="S162"/>
      <c r="T162"/>
      <c r="U162"/>
      <c r="V162"/>
      <c r="W162"/>
      <c r="X162"/>
      <c r="Y162"/>
      <c r="Z162"/>
      <c r="AA162"/>
      <c r="AB162"/>
      <c r="AC162"/>
      <c r="AD162"/>
      <c r="AE162"/>
      <c r="AF162"/>
      <c r="AG162"/>
      <c r="AH162"/>
      <c r="AI162"/>
    </row>
    <row r="163" spans="13:35" s="2" customFormat="1" x14ac:dyDescent="0.2">
      <c r="M163" s="2">
        <v>1.67</v>
      </c>
      <c r="R163"/>
      <c r="S163"/>
      <c r="T163"/>
      <c r="U163"/>
      <c r="V163"/>
      <c r="W163"/>
      <c r="X163"/>
      <c r="Y163"/>
      <c r="Z163"/>
      <c r="AA163"/>
      <c r="AB163"/>
      <c r="AC163"/>
      <c r="AD163"/>
      <c r="AE163"/>
      <c r="AF163"/>
      <c r="AG163"/>
      <c r="AH163"/>
      <c r="AI163"/>
    </row>
    <row r="164" spans="13:35" s="2" customFormat="1" x14ac:dyDescent="0.2">
      <c r="M164" s="2">
        <v>1.83</v>
      </c>
      <c r="R164"/>
      <c r="S164"/>
      <c r="T164"/>
      <c r="U164"/>
      <c r="V164"/>
      <c r="W164"/>
      <c r="X164"/>
      <c r="Y164"/>
      <c r="Z164"/>
      <c r="AA164"/>
      <c r="AB164"/>
      <c r="AC164"/>
      <c r="AD164"/>
      <c r="AE164"/>
      <c r="AF164"/>
      <c r="AG164"/>
      <c r="AH164"/>
      <c r="AI164"/>
    </row>
    <row r="165" spans="13:35" s="2" customFormat="1" x14ac:dyDescent="0.2">
      <c r="M165" s="2">
        <v>2</v>
      </c>
      <c r="R165"/>
      <c r="S165"/>
      <c r="T165"/>
      <c r="U165"/>
      <c r="V165"/>
      <c r="W165"/>
      <c r="X165"/>
      <c r="Y165"/>
      <c r="Z165"/>
      <c r="AA165"/>
      <c r="AB165"/>
      <c r="AC165"/>
      <c r="AD165"/>
      <c r="AE165"/>
      <c r="AF165"/>
      <c r="AG165"/>
      <c r="AH165"/>
      <c r="AI165"/>
    </row>
    <row r="166" spans="13:35" s="2" customFormat="1" x14ac:dyDescent="0.2">
      <c r="M166" s="2">
        <v>2.16</v>
      </c>
      <c r="R166"/>
      <c r="S166"/>
      <c r="T166"/>
      <c r="U166"/>
      <c r="V166"/>
      <c r="W166"/>
      <c r="X166"/>
      <c r="Y166"/>
      <c r="Z166"/>
      <c r="AA166"/>
      <c r="AB166"/>
      <c r="AC166"/>
      <c r="AD166"/>
      <c r="AE166"/>
      <c r="AF166"/>
      <c r="AG166"/>
      <c r="AH166"/>
      <c r="AI166"/>
    </row>
    <row r="167" spans="13:35" s="2" customFormat="1" x14ac:dyDescent="0.2">
      <c r="M167" s="2">
        <v>2.65</v>
      </c>
      <c r="R167"/>
      <c r="S167"/>
      <c r="T167"/>
      <c r="U167"/>
      <c r="V167"/>
      <c r="W167"/>
      <c r="X167"/>
      <c r="Y167"/>
      <c r="Z167"/>
      <c r="AA167"/>
      <c r="AB167"/>
      <c r="AC167"/>
      <c r="AD167"/>
      <c r="AE167"/>
      <c r="AF167"/>
      <c r="AG167"/>
      <c r="AH167"/>
      <c r="AI167"/>
    </row>
    <row r="168" spans="13:35" s="2" customFormat="1" x14ac:dyDescent="0.2">
      <c r="M168" s="2">
        <v>3.14</v>
      </c>
      <c r="R168"/>
      <c r="S168"/>
      <c r="T168"/>
      <c r="U168"/>
      <c r="V168"/>
      <c r="W168"/>
      <c r="X168"/>
      <c r="Y168"/>
      <c r="Z168"/>
      <c r="AA168"/>
      <c r="AB168"/>
      <c r="AC168"/>
      <c r="AD168"/>
      <c r="AE168"/>
      <c r="AF168"/>
      <c r="AG168"/>
      <c r="AH168"/>
      <c r="AI168"/>
    </row>
    <row r="169" spans="13:35" s="2" customFormat="1" x14ac:dyDescent="0.2">
      <c r="M169" s="2">
        <v>3.47</v>
      </c>
      <c r="R169"/>
      <c r="S169"/>
      <c r="T169"/>
      <c r="U169"/>
      <c r="V169"/>
      <c r="W169"/>
      <c r="X169"/>
      <c r="Y169"/>
      <c r="Z169"/>
      <c r="AA169"/>
      <c r="AB169"/>
      <c r="AC169"/>
      <c r="AD169"/>
      <c r="AE169"/>
      <c r="AF169"/>
      <c r="AG169"/>
      <c r="AH169"/>
      <c r="AI169"/>
    </row>
    <row r="170" spans="13:35" s="2" customFormat="1" x14ac:dyDescent="0.2">
      <c r="M170" s="2">
        <v>3.79</v>
      </c>
      <c r="R170"/>
      <c r="S170"/>
      <c r="T170"/>
      <c r="U170"/>
      <c r="V170"/>
      <c r="W170"/>
      <c r="X170"/>
      <c r="Y170"/>
      <c r="Z170"/>
      <c r="AA170"/>
      <c r="AB170"/>
      <c r="AC170"/>
      <c r="AD170"/>
      <c r="AE170"/>
      <c r="AF170"/>
      <c r="AG170"/>
      <c r="AH170"/>
      <c r="AI170"/>
    </row>
    <row r="171" spans="13:35" s="2" customFormat="1" x14ac:dyDescent="0.2">
      <c r="M171" s="2">
        <v>4.12</v>
      </c>
      <c r="R171"/>
      <c r="S171"/>
      <c r="T171"/>
      <c r="U171"/>
      <c r="V171"/>
      <c r="W171"/>
      <c r="X171"/>
      <c r="Y171"/>
      <c r="Z171"/>
      <c r="AA171"/>
      <c r="AB171"/>
      <c r="AC171"/>
      <c r="AD171"/>
      <c r="AE171"/>
      <c r="AF171"/>
      <c r="AG171"/>
      <c r="AH171"/>
      <c r="AI171"/>
    </row>
    <row r="172" spans="13:35" s="2" customFormat="1" x14ac:dyDescent="0.2">
      <c r="M172" s="2">
        <v>5.0999999999999996</v>
      </c>
      <c r="R172"/>
      <c r="S172"/>
      <c r="T172"/>
      <c r="U172"/>
      <c r="V172"/>
      <c r="W172"/>
      <c r="X172"/>
      <c r="Y172"/>
      <c r="Z172"/>
      <c r="AA172"/>
      <c r="AB172"/>
      <c r="AC172"/>
      <c r="AD172"/>
      <c r="AE172"/>
      <c r="AF172"/>
      <c r="AG172"/>
      <c r="AH172"/>
      <c r="AI172"/>
    </row>
    <row r="173" spans="13:35" s="2" customFormat="1" x14ac:dyDescent="0.2">
      <c r="M173" s="2">
        <v>6.08</v>
      </c>
      <c r="R173"/>
      <c r="S173"/>
      <c r="T173"/>
      <c r="U173"/>
      <c r="V173"/>
      <c r="W173"/>
      <c r="X173"/>
      <c r="Y173"/>
      <c r="Z173"/>
      <c r="AA173"/>
      <c r="AB173"/>
      <c r="AC173"/>
      <c r="AD173"/>
      <c r="AE173"/>
      <c r="AF173"/>
      <c r="AG173"/>
      <c r="AH173"/>
      <c r="AI173"/>
    </row>
    <row r="174" spans="13:35" s="2" customFormat="1" x14ac:dyDescent="0.2">
      <c r="M174" s="2">
        <v>6.73</v>
      </c>
      <c r="R174"/>
      <c r="S174"/>
      <c r="T174"/>
      <c r="U174"/>
      <c r="V174"/>
      <c r="W174"/>
      <c r="X174"/>
      <c r="Y174"/>
      <c r="Z174"/>
      <c r="AA174"/>
      <c r="AB174"/>
      <c r="AC174"/>
      <c r="AD174"/>
      <c r="AE174"/>
      <c r="AF174"/>
      <c r="AG174"/>
      <c r="AH174"/>
      <c r="AI174"/>
    </row>
    <row r="175" spans="13:35" s="2" customFormat="1" x14ac:dyDescent="0.2">
      <c r="M175" s="2">
        <v>7.39</v>
      </c>
      <c r="R175"/>
      <c r="S175"/>
      <c r="T175"/>
      <c r="U175"/>
      <c r="V175"/>
      <c r="W175"/>
      <c r="X175"/>
      <c r="Y175"/>
      <c r="Z175"/>
      <c r="AA175"/>
      <c r="AB175"/>
      <c r="AC175"/>
      <c r="AD175"/>
      <c r="AE175"/>
      <c r="AF175"/>
      <c r="AG175"/>
      <c r="AH175"/>
      <c r="AI175"/>
    </row>
    <row r="176" spans="13:35" s="2" customFormat="1" x14ac:dyDescent="0.2">
      <c r="M176" s="2">
        <v>8.3699999999999992</v>
      </c>
      <c r="R176"/>
      <c r="S176"/>
      <c r="T176"/>
      <c r="U176"/>
      <c r="V176"/>
      <c r="W176"/>
      <c r="X176"/>
      <c r="Y176"/>
      <c r="Z176"/>
      <c r="AA176"/>
      <c r="AB176"/>
      <c r="AC176"/>
      <c r="AD176"/>
      <c r="AE176"/>
      <c r="AF176"/>
      <c r="AG176"/>
      <c r="AH176"/>
      <c r="AI176"/>
    </row>
    <row r="177" spans="13:35" s="2" customFormat="1" x14ac:dyDescent="0.2">
      <c r="M177" s="2">
        <v>9.35</v>
      </c>
      <c r="R177"/>
      <c r="S177"/>
      <c r="T177"/>
      <c r="U177"/>
      <c r="V177"/>
      <c r="W177"/>
      <c r="X177"/>
      <c r="Y177"/>
      <c r="Z177"/>
      <c r="AA177"/>
      <c r="AB177"/>
      <c r="AC177"/>
      <c r="AD177"/>
      <c r="AE177"/>
      <c r="AF177"/>
      <c r="AG177"/>
      <c r="AH177"/>
      <c r="AI177"/>
    </row>
    <row r="178" spans="13:35" s="2" customFormat="1" x14ac:dyDescent="0.2">
      <c r="M178" s="2">
        <v>10</v>
      </c>
      <c r="R178"/>
      <c r="S178"/>
      <c r="T178"/>
      <c r="U178"/>
      <c r="V178"/>
      <c r="W178"/>
      <c r="X178"/>
      <c r="Y178"/>
      <c r="Z178"/>
      <c r="AA178"/>
      <c r="AB178"/>
      <c r="AC178"/>
      <c r="AD178"/>
      <c r="AE178"/>
      <c r="AF178"/>
      <c r="AG178"/>
      <c r="AH178"/>
      <c r="AI178"/>
    </row>
    <row r="179" spans="13:35" s="2" customFormat="1" x14ac:dyDescent="0.2">
      <c r="M179" s="2">
        <v>1.26</v>
      </c>
      <c r="R179"/>
      <c r="S179"/>
      <c r="T179"/>
      <c r="U179"/>
      <c r="V179"/>
      <c r="W179"/>
      <c r="X179"/>
      <c r="Y179"/>
      <c r="Z179"/>
      <c r="AA179"/>
      <c r="AB179"/>
      <c r="AC179"/>
      <c r="AD179"/>
      <c r="AE179"/>
      <c r="AF179"/>
      <c r="AG179"/>
      <c r="AH179"/>
      <c r="AI179"/>
    </row>
    <row r="180" spans="13:35" s="2" customFormat="1" x14ac:dyDescent="0.2">
      <c r="M180" s="2">
        <v>1.42</v>
      </c>
      <c r="R180"/>
      <c r="S180"/>
      <c r="T180"/>
      <c r="U180"/>
      <c r="V180"/>
      <c r="W180"/>
      <c r="X180"/>
      <c r="Y180"/>
      <c r="Z180"/>
      <c r="AA180"/>
      <c r="AB180"/>
      <c r="AC180"/>
      <c r="AD180"/>
      <c r="AE180"/>
      <c r="AF180"/>
      <c r="AG180"/>
      <c r="AH180"/>
      <c r="AI180"/>
    </row>
    <row r="181" spans="13:35" s="2" customFormat="1" x14ac:dyDescent="0.2">
      <c r="M181" s="2">
        <v>1.62</v>
      </c>
      <c r="R181"/>
      <c r="S181"/>
      <c r="T181"/>
      <c r="U181"/>
      <c r="V181"/>
      <c r="W181"/>
      <c r="X181"/>
      <c r="Y181"/>
      <c r="Z181"/>
      <c r="AA181"/>
      <c r="AB181"/>
      <c r="AC181"/>
      <c r="AD181"/>
      <c r="AE181"/>
      <c r="AF181"/>
      <c r="AG181"/>
      <c r="AH181"/>
      <c r="AI181"/>
    </row>
    <row r="182" spans="13:35" s="2" customFormat="1" x14ac:dyDescent="0.2">
      <c r="M182" s="2">
        <v>1.79</v>
      </c>
      <c r="R182"/>
      <c r="S182"/>
      <c r="T182"/>
      <c r="U182"/>
      <c r="V182"/>
      <c r="W182"/>
      <c r="X182"/>
      <c r="Y182"/>
      <c r="Z182"/>
      <c r="AA182"/>
      <c r="AB182"/>
      <c r="AC182"/>
      <c r="AD182"/>
      <c r="AE182"/>
      <c r="AF182"/>
      <c r="AG182"/>
      <c r="AH182"/>
      <c r="AI182"/>
    </row>
    <row r="183" spans="13:35" s="2" customFormat="1" x14ac:dyDescent="0.2">
      <c r="M183" s="2">
        <v>1.99</v>
      </c>
      <c r="R183"/>
      <c r="S183"/>
      <c r="T183"/>
      <c r="U183"/>
      <c r="V183"/>
      <c r="W183"/>
      <c r="X183"/>
      <c r="Y183"/>
      <c r="Z183"/>
      <c r="AA183"/>
      <c r="AB183"/>
      <c r="AC183"/>
      <c r="AD183"/>
      <c r="AE183"/>
      <c r="AF183"/>
      <c r="AG183"/>
      <c r="AH183"/>
      <c r="AI183"/>
    </row>
    <row r="184" spans="13:35" s="2" customFormat="1" x14ac:dyDescent="0.2">
      <c r="M184" s="2">
        <v>2.19</v>
      </c>
      <c r="R184"/>
      <c r="S184"/>
      <c r="T184"/>
      <c r="U184"/>
      <c r="V184"/>
      <c r="W184"/>
      <c r="X184"/>
      <c r="Y184"/>
      <c r="Z184"/>
      <c r="AA184"/>
      <c r="AB184"/>
      <c r="AC184"/>
      <c r="AD184"/>
      <c r="AE184"/>
      <c r="AF184"/>
      <c r="AG184"/>
      <c r="AH184"/>
      <c r="AI184"/>
    </row>
    <row r="185" spans="13:35" s="2" customFormat="1" x14ac:dyDescent="0.2">
      <c r="M185" s="2">
        <v>2.38</v>
      </c>
      <c r="R185"/>
      <c r="S185"/>
      <c r="T185"/>
      <c r="U185"/>
      <c r="V185"/>
      <c r="W185"/>
      <c r="X185"/>
      <c r="Y185"/>
      <c r="Z185"/>
      <c r="AA185"/>
      <c r="AB185"/>
      <c r="AC185"/>
      <c r="AD185"/>
      <c r="AE185"/>
      <c r="AF185"/>
      <c r="AG185"/>
      <c r="AH185"/>
      <c r="AI185"/>
    </row>
    <row r="186" spans="13:35" s="2" customFormat="1" x14ac:dyDescent="0.2">
      <c r="M186" s="2">
        <v>2.58</v>
      </c>
      <c r="R186"/>
      <c r="S186"/>
      <c r="T186"/>
      <c r="U186"/>
      <c r="V186"/>
      <c r="W186"/>
      <c r="X186"/>
      <c r="Y186"/>
      <c r="Z186"/>
      <c r="AA186"/>
      <c r="AB186"/>
      <c r="AC186"/>
      <c r="AD186"/>
      <c r="AE186"/>
      <c r="AF186"/>
      <c r="AG186"/>
      <c r="AH186"/>
      <c r="AI186"/>
    </row>
    <row r="187" spans="13:35" s="2" customFormat="1" x14ac:dyDescent="0.2">
      <c r="M187" s="2">
        <v>3.17</v>
      </c>
      <c r="R187"/>
      <c r="S187"/>
      <c r="T187"/>
      <c r="U187"/>
      <c r="V187"/>
      <c r="W187"/>
      <c r="X187"/>
      <c r="Y187"/>
      <c r="Z187"/>
      <c r="AA187"/>
      <c r="AB187"/>
      <c r="AC187"/>
      <c r="AD187"/>
      <c r="AE187"/>
      <c r="AF187"/>
      <c r="AG187"/>
      <c r="AH187"/>
      <c r="AI187"/>
    </row>
    <row r="188" spans="13:35" s="2" customFormat="1" x14ac:dyDescent="0.2">
      <c r="M188" s="2">
        <v>3.76</v>
      </c>
      <c r="R188"/>
      <c r="S188"/>
      <c r="T188"/>
      <c r="U188"/>
      <c r="V188"/>
      <c r="W188"/>
      <c r="X188"/>
      <c r="Y188"/>
      <c r="Z188"/>
      <c r="AA188"/>
      <c r="AB188"/>
      <c r="AC188"/>
      <c r="AD188"/>
      <c r="AE188"/>
      <c r="AF188"/>
      <c r="AG188"/>
      <c r="AH188"/>
      <c r="AI188"/>
    </row>
    <row r="189" spans="13:35" s="2" customFormat="1" x14ac:dyDescent="0.2">
      <c r="M189" s="2">
        <v>4.16</v>
      </c>
      <c r="R189"/>
      <c r="S189"/>
      <c r="T189"/>
      <c r="U189"/>
      <c r="V189"/>
      <c r="W189"/>
      <c r="X189"/>
      <c r="Y189"/>
      <c r="Z189"/>
      <c r="AA189"/>
      <c r="AB189"/>
      <c r="AC189"/>
      <c r="AD189"/>
      <c r="AE189"/>
      <c r="AF189"/>
      <c r="AG189"/>
      <c r="AH189"/>
      <c r="AI189"/>
    </row>
    <row r="190" spans="13:35" s="2" customFormat="1" x14ac:dyDescent="0.2">
      <c r="M190" s="2">
        <v>4.55</v>
      </c>
      <c r="R190"/>
      <c r="S190"/>
      <c r="T190"/>
      <c r="U190"/>
      <c r="V190"/>
      <c r="W190"/>
      <c r="X190"/>
      <c r="Y190"/>
      <c r="Z190"/>
      <c r="AA190"/>
      <c r="AB190"/>
      <c r="AC190"/>
      <c r="AD190"/>
      <c r="AE190"/>
      <c r="AF190"/>
      <c r="AG190"/>
      <c r="AH190"/>
      <c r="AI190"/>
    </row>
    <row r="191" spans="13:35" s="2" customFormat="1" x14ac:dyDescent="0.2">
      <c r="M191" s="2">
        <v>4.95</v>
      </c>
      <c r="R191"/>
      <c r="S191"/>
      <c r="T191"/>
      <c r="U191"/>
      <c r="V191"/>
      <c r="W191"/>
      <c r="X191"/>
      <c r="Y191"/>
      <c r="Z191"/>
      <c r="AA191"/>
      <c r="AB191"/>
      <c r="AC191"/>
      <c r="AD191"/>
      <c r="AE191"/>
      <c r="AF191"/>
      <c r="AG191"/>
      <c r="AH191"/>
      <c r="AI191"/>
    </row>
    <row r="192" spans="13:35" s="2" customFormat="1" x14ac:dyDescent="0.2">
      <c r="M192" s="2">
        <v>6.13</v>
      </c>
      <c r="R192"/>
      <c r="S192"/>
      <c r="T192"/>
      <c r="U192"/>
      <c r="V192"/>
      <c r="W192"/>
      <c r="X192"/>
      <c r="Y192"/>
      <c r="Z192"/>
      <c r="AA192"/>
      <c r="AB192"/>
      <c r="AC192"/>
      <c r="AD192"/>
      <c r="AE192"/>
      <c r="AF192"/>
      <c r="AG192"/>
      <c r="AH192"/>
      <c r="AI192"/>
    </row>
    <row r="193" spans="13:35" s="2" customFormat="1" x14ac:dyDescent="0.2">
      <c r="M193" s="2">
        <v>7.31</v>
      </c>
      <c r="R193"/>
      <c r="S193"/>
      <c r="T193"/>
      <c r="U193"/>
      <c r="V193"/>
      <c r="W193"/>
      <c r="X193"/>
      <c r="Y193"/>
      <c r="Z193"/>
      <c r="AA193"/>
      <c r="AB193"/>
      <c r="AC193"/>
      <c r="AD193"/>
      <c r="AE193"/>
      <c r="AF193"/>
      <c r="AG193"/>
      <c r="AH193"/>
      <c r="AI193"/>
    </row>
    <row r="194" spans="13:35" s="2" customFormat="1" x14ac:dyDescent="0.2">
      <c r="M194" s="2">
        <v>8.1</v>
      </c>
      <c r="R194"/>
      <c r="S194"/>
      <c r="T194"/>
      <c r="U194"/>
      <c r="V194"/>
      <c r="W194"/>
      <c r="X194"/>
      <c r="Y194"/>
      <c r="Z194"/>
      <c r="AA194"/>
      <c r="AB194"/>
      <c r="AC194"/>
      <c r="AD194"/>
      <c r="AE194"/>
      <c r="AF194"/>
      <c r="AG194"/>
      <c r="AH194"/>
      <c r="AI194"/>
    </row>
    <row r="195" spans="13:35" s="2" customFormat="1" x14ac:dyDescent="0.2">
      <c r="M195" s="2">
        <v>8.89</v>
      </c>
      <c r="R195"/>
      <c r="S195"/>
      <c r="T195"/>
      <c r="U195"/>
      <c r="V195"/>
      <c r="W195"/>
      <c r="X195"/>
      <c r="Y195"/>
      <c r="Z195"/>
      <c r="AA195"/>
      <c r="AB195"/>
      <c r="AC195"/>
      <c r="AD195"/>
      <c r="AE195"/>
      <c r="AF195"/>
      <c r="AG195"/>
      <c r="AH195"/>
      <c r="AI195"/>
    </row>
    <row r="196" spans="13:35" s="2" customFormat="1" x14ac:dyDescent="0.2">
      <c r="M196" s="2">
        <v>10.07</v>
      </c>
      <c r="R196"/>
      <c r="S196"/>
      <c r="T196"/>
      <c r="U196"/>
      <c r="V196"/>
      <c r="W196"/>
      <c r="X196"/>
      <c r="Y196"/>
      <c r="Z196"/>
      <c r="AA196"/>
      <c r="AB196"/>
      <c r="AC196"/>
      <c r="AD196"/>
      <c r="AE196"/>
      <c r="AF196"/>
      <c r="AG196"/>
      <c r="AH196"/>
      <c r="AI196"/>
    </row>
    <row r="197" spans="13:35" s="2" customFormat="1" x14ac:dyDescent="0.2">
      <c r="M197" s="2">
        <v>11.25</v>
      </c>
      <c r="R197"/>
      <c r="S197"/>
      <c r="T197"/>
      <c r="U197"/>
      <c r="V197"/>
      <c r="W197"/>
      <c r="X197"/>
      <c r="Y197"/>
      <c r="Z197"/>
      <c r="AA197"/>
      <c r="AB197"/>
      <c r="AC197"/>
      <c r="AD197"/>
      <c r="AE197"/>
      <c r="AF197"/>
      <c r="AG197"/>
      <c r="AH197"/>
      <c r="AI197"/>
    </row>
    <row r="198" spans="13:35" s="2" customFormat="1" x14ac:dyDescent="0.2">
      <c r="M198" s="2">
        <v>12.04</v>
      </c>
      <c r="R198"/>
      <c r="S198"/>
      <c r="T198"/>
      <c r="U198"/>
      <c r="V198"/>
      <c r="W198"/>
      <c r="X198"/>
      <c r="Y198"/>
      <c r="Z198"/>
      <c r="AA198"/>
      <c r="AB198"/>
      <c r="AC198"/>
      <c r="AD198"/>
      <c r="AE198"/>
      <c r="AF198"/>
      <c r="AG198"/>
      <c r="AH198"/>
      <c r="AI198"/>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8AB5F-F69E-4D97-94F9-2FD0247A1899}">
  <dimension ref="A1:AB225"/>
  <sheetViews>
    <sheetView topLeftCell="A87" zoomScale="70" zoomScaleNormal="70" workbookViewId="0">
      <selection activeCell="L112" sqref="L112"/>
    </sheetView>
  </sheetViews>
  <sheetFormatPr baseColWidth="10" defaultRowHeight="12.75" x14ac:dyDescent="0.2"/>
  <cols>
    <col min="1" max="1" width="20.140625" customWidth="1"/>
    <col min="2" max="28" width="6.5703125" customWidth="1"/>
  </cols>
  <sheetData>
    <row r="1" spans="1:28" ht="15" x14ac:dyDescent="0.2">
      <c r="A1" s="188" t="s">
        <v>608</v>
      </c>
    </row>
    <row r="3" spans="1:28" ht="17.25" x14ac:dyDescent="0.2">
      <c r="A3" s="199" t="s">
        <v>607</v>
      </c>
      <c r="B3" s="200">
        <v>207</v>
      </c>
      <c r="C3" s="200">
        <v>300</v>
      </c>
      <c r="D3" s="200">
        <v>400</v>
      </c>
      <c r="E3" s="200">
        <v>500</v>
      </c>
      <c r="F3" s="202">
        <v>556</v>
      </c>
      <c r="G3" s="234">
        <v>586</v>
      </c>
      <c r="H3" s="200">
        <v>600</v>
      </c>
      <c r="I3" s="234">
        <v>626</v>
      </c>
      <c r="J3" s="202">
        <v>656</v>
      </c>
      <c r="K3" s="204">
        <v>676</v>
      </c>
      <c r="L3" s="200">
        <v>750</v>
      </c>
      <c r="M3" s="202">
        <v>756</v>
      </c>
      <c r="N3" s="205">
        <v>786</v>
      </c>
      <c r="O3" s="202">
        <v>856</v>
      </c>
      <c r="P3" s="206">
        <v>876</v>
      </c>
      <c r="Q3" s="207">
        <v>900</v>
      </c>
      <c r="R3" s="203">
        <v>926</v>
      </c>
      <c r="S3" s="207">
        <v>1000</v>
      </c>
      <c r="T3" s="208">
        <v>1200</v>
      </c>
      <c r="U3" s="208">
        <v>1500</v>
      </c>
      <c r="V3" s="209">
        <v>1656</v>
      </c>
      <c r="W3" s="207">
        <v>1800</v>
      </c>
      <c r="X3" s="209">
        <v>1856</v>
      </c>
      <c r="Y3" s="207">
        <v>2000</v>
      </c>
      <c r="Z3" s="209">
        <v>2056</v>
      </c>
      <c r="AA3" s="207">
        <v>2200</v>
      </c>
      <c r="AB3" s="208">
        <v>2500</v>
      </c>
    </row>
    <row r="4" spans="1:28" ht="14.1" customHeight="1" x14ac:dyDescent="0.2">
      <c r="A4" s="210" t="s">
        <v>622</v>
      </c>
      <c r="B4" s="211">
        <v>151</v>
      </c>
      <c r="C4" s="211">
        <v>244</v>
      </c>
      <c r="D4" s="211">
        <v>344</v>
      </c>
      <c r="E4" s="212">
        <v>444</v>
      </c>
      <c r="F4" s="213">
        <v>500</v>
      </c>
      <c r="G4" s="214">
        <v>530</v>
      </c>
      <c r="H4" s="215">
        <v>544</v>
      </c>
      <c r="I4" s="214">
        <v>570</v>
      </c>
      <c r="J4" s="213">
        <v>600</v>
      </c>
      <c r="K4" s="216">
        <v>620</v>
      </c>
      <c r="L4" s="215">
        <v>694</v>
      </c>
      <c r="M4" s="213">
        <v>700</v>
      </c>
      <c r="N4" s="217">
        <v>730</v>
      </c>
      <c r="O4" s="213">
        <v>800</v>
      </c>
      <c r="P4" s="218">
        <v>820</v>
      </c>
      <c r="Q4" s="219">
        <v>844</v>
      </c>
      <c r="R4" s="214">
        <v>870</v>
      </c>
      <c r="S4" s="219">
        <v>944</v>
      </c>
      <c r="T4" s="220">
        <v>1144</v>
      </c>
      <c r="U4" s="220">
        <v>1444</v>
      </c>
      <c r="V4" s="221">
        <v>1600</v>
      </c>
      <c r="W4" s="219">
        <v>1744</v>
      </c>
      <c r="X4" s="221">
        <v>1800</v>
      </c>
      <c r="Y4" s="219">
        <v>1944</v>
      </c>
      <c r="Z4" s="221">
        <v>2000</v>
      </c>
      <c r="AA4" s="219">
        <v>2144</v>
      </c>
      <c r="AB4" s="220">
        <v>2444</v>
      </c>
    </row>
    <row r="5" spans="1:28" x14ac:dyDescent="0.2">
      <c r="A5" s="222" t="s">
        <v>609</v>
      </c>
      <c r="B5" s="223">
        <v>22.2</v>
      </c>
      <c r="C5" s="223">
        <v>32.1</v>
      </c>
      <c r="D5" s="223">
        <v>41.5</v>
      </c>
      <c r="E5" s="223">
        <v>50.6</v>
      </c>
      <c r="F5" s="223">
        <v>55.6</v>
      </c>
      <c r="G5" s="223">
        <v>58.3</v>
      </c>
      <c r="H5" s="223">
        <v>59.6</v>
      </c>
      <c r="I5" s="223">
        <v>61.9</v>
      </c>
      <c r="J5" s="223">
        <v>64.7</v>
      </c>
      <c r="K5" s="223">
        <v>66.5</v>
      </c>
      <c r="L5" s="223">
        <v>73.2</v>
      </c>
      <c r="M5" s="223">
        <v>73.7</v>
      </c>
      <c r="N5" s="223">
        <v>76.400000000000006</v>
      </c>
      <c r="O5" s="223">
        <v>82.8</v>
      </c>
      <c r="P5" s="225">
        <v>84.7</v>
      </c>
      <c r="Q5" s="225">
        <v>86.9</v>
      </c>
      <c r="R5" s="225">
        <v>89.2</v>
      </c>
      <c r="S5" s="225">
        <v>95.9</v>
      </c>
      <c r="T5" s="225">
        <v>114.3</v>
      </c>
      <c r="U5" s="225">
        <v>142.6</v>
      </c>
      <c r="V5" s="225">
        <v>157.6</v>
      </c>
      <c r="W5" s="225">
        <v>171.7</v>
      </c>
      <c r="X5" s="225">
        <v>177.2</v>
      </c>
      <c r="Y5" s="225">
        <v>191.7</v>
      </c>
      <c r="Z5" s="225">
        <v>197.4</v>
      </c>
      <c r="AA5" s="225">
        <v>212.3</v>
      </c>
      <c r="AB5" s="225">
        <v>244.4</v>
      </c>
    </row>
    <row r="6" spans="1:28" x14ac:dyDescent="0.2">
      <c r="A6" s="227" t="s">
        <v>610</v>
      </c>
      <c r="B6" s="229">
        <v>17.5</v>
      </c>
      <c r="C6" s="229">
        <v>25.6</v>
      </c>
      <c r="D6" s="228">
        <v>33</v>
      </c>
      <c r="E6" s="229">
        <v>40.1</v>
      </c>
      <c r="F6" s="228">
        <v>44</v>
      </c>
      <c r="G6" s="229">
        <v>46.1</v>
      </c>
      <c r="H6" s="229">
        <v>47.1</v>
      </c>
      <c r="I6" s="229">
        <v>48.9</v>
      </c>
      <c r="J6" s="228">
        <v>51</v>
      </c>
      <c r="K6" s="229">
        <v>52.4</v>
      </c>
      <c r="L6" s="229">
        <v>57.6</v>
      </c>
      <c r="M6" s="228">
        <v>58</v>
      </c>
      <c r="N6" s="229">
        <v>60.1</v>
      </c>
      <c r="O6" s="229">
        <v>65.099999999999994</v>
      </c>
      <c r="P6" s="229">
        <v>66.5</v>
      </c>
      <c r="Q6" s="229">
        <v>68.099999999999994</v>
      </c>
      <c r="R6" s="228">
        <v>70</v>
      </c>
      <c r="S6" s="229">
        <v>75.2</v>
      </c>
      <c r="T6" s="229">
        <v>89.5</v>
      </c>
      <c r="U6" s="229">
        <v>111.4</v>
      </c>
      <c r="V6" s="229">
        <v>123.1</v>
      </c>
      <c r="W6" s="229">
        <v>134.1</v>
      </c>
      <c r="X6" s="229">
        <v>138.4</v>
      </c>
      <c r="Y6" s="229">
        <v>149.80000000000001</v>
      </c>
      <c r="Z6" s="229">
        <v>154.19999999999999</v>
      </c>
      <c r="AA6" s="229">
        <v>165.9</v>
      </c>
      <c r="AB6" s="229">
        <v>190.9</v>
      </c>
    </row>
    <row r="7" spans="1:28" x14ac:dyDescent="0.2">
      <c r="A7" s="230" t="s">
        <v>611</v>
      </c>
      <c r="B7" s="226">
        <v>9</v>
      </c>
      <c r="C7" s="225">
        <v>13.5</v>
      </c>
      <c r="D7" s="225">
        <v>17.3</v>
      </c>
      <c r="E7" s="225">
        <v>20.9</v>
      </c>
      <c r="F7" s="225">
        <v>22.9</v>
      </c>
      <c r="G7" s="225">
        <v>23.9</v>
      </c>
      <c r="H7" s="225">
        <v>24.4</v>
      </c>
      <c r="I7" s="225">
        <v>25.3</v>
      </c>
      <c r="J7" s="225">
        <v>26.3</v>
      </c>
      <c r="K7" s="226">
        <v>27</v>
      </c>
      <c r="L7" s="225">
        <v>29.5</v>
      </c>
      <c r="M7" s="225">
        <v>29.7</v>
      </c>
      <c r="N7" s="225">
        <v>30.7</v>
      </c>
      <c r="O7" s="225">
        <v>33.1</v>
      </c>
      <c r="P7" s="225">
        <v>33.700000000000003</v>
      </c>
      <c r="Q7" s="225">
        <v>34.5</v>
      </c>
      <c r="R7" s="225">
        <v>35.4</v>
      </c>
      <c r="S7" s="226">
        <v>38</v>
      </c>
      <c r="T7" s="225">
        <v>45.1</v>
      </c>
      <c r="U7" s="225">
        <v>55.8</v>
      </c>
      <c r="V7" s="225">
        <v>61.6</v>
      </c>
      <c r="W7" s="225">
        <v>67.099999999999994</v>
      </c>
      <c r="X7" s="225">
        <v>69.3</v>
      </c>
      <c r="Y7" s="226">
        <v>75</v>
      </c>
      <c r="Z7" s="225">
        <v>77.2</v>
      </c>
      <c r="AA7" s="226">
        <v>83</v>
      </c>
      <c r="AB7" s="225">
        <v>95.5</v>
      </c>
    </row>
    <row r="8" spans="1:28" x14ac:dyDescent="0.2">
      <c r="A8" s="230" t="s">
        <v>612</v>
      </c>
      <c r="B8" s="225">
        <v>0.28999999999999998</v>
      </c>
      <c r="C8" s="225">
        <v>0.37</v>
      </c>
      <c r="D8" s="225">
        <v>0.45</v>
      </c>
      <c r="E8" s="225">
        <v>0.53</v>
      </c>
      <c r="F8" s="225">
        <v>0.57999999999999996</v>
      </c>
      <c r="G8" s="225">
        <v>0.6</v>
      </c>
      <c r="H8" s="225">
        <v>0.61</v>
      </c>
      <c r="I8" s="225">
        <v>0.63</v>
      </c>
      <c r="J8" s="225">
        <v>0.66</v>
      </c>
      <c r="K8" s="225">
        <v>0.67</v>
      </c>
      <c r="L8" s="225">
        <v>0.73</v>
      </c>
      <c r="M8" s="225">
        <v>0.74</v>
      </c>
      <c r="N8" s="225">
        <v>0.76</v>
      </c>
      <c r="O8" s="225">
        <v>0.82</v>
      </c>
      <c r="P8" s="225">
        <v>0.83</v>
      </c>
      <c r="Q8" s="225">
        <v>0.85</v>
      </c>
      <c r="R8" s="225">
        <v>0.78</v>
      </c>
      <c r="S8" s="225">
        <v>0.93</v>
      </c>
      <c r="T8" s="225">
        <v>1.0900000000000001</v>
      </c>
      <c r="U8" s="225">
        <v>1.33</v>
      </c>
      <c r="V8" s="225">
        <v>1.46</v>
      </c>
      <c r="W8" s="225">
        <v>1.58</v>
      </c>
      <c r="X8" s="225">
        <v>1.62</v>
      </c>
      <c r="Y8" s="225">
        <v>1.74</v>
      </c>
      <c r="Z8" s="225">
        <v>1.78</v>
      </c>
      <c r="AA8" s="225">
        <v>1.9</v>
      </c>
      <c r="AB8" s="225">
        <v>2.14</v>
      </c>
    </row>
    <row r="9" spans="1:28" x14ac:dyDescent="0.2">
      <c r="A9" s="230" t="s">
        <v>613</v>
      </c>
      <c r="B9" s="225">
        <v>0.35</v>
      </c>
      <c r="C9" s="225">
        <v>0.49</v>
      </c>
      <c r="D9" s="225">
        <v>0.63</v>
      </c>
      <c r="E9" s="225">
        <v>0.77</v>
      </c>
      <c r="F9" s="225">
        <v>0.85</v>
      </c>
      <c r="G9" s="225">
        <v>0.89</v>
      </c>
      <c r="H9" s="225">
        <v>0.91</v>
      </c>
      <c r="I9" s="225">
        <v>0.95</v>
      </c>
      <c r="J9" s="225">
        <v>0.99</v>
      </c>
      <c r="K9" s="225">
        <v>1.02</v>
      </c>
      <c r="L9" s="225">
        <v>1.1200000000000001</v>
      </c>
      <c r="M9" s="225">
        <v>1.1299999999999999</v>
      </c>
      <c r="N9" s="225">
        <v>1.18</v>
      </c>
      <c r="O9" s="225">
        <v>1.27</v>
      </c>
      <c r="P9" s="225">
        <v>1.3</v>
      </c>
      <c r="Q9" s="225">
        <v>1.33</v>
      </c>
      <c r="R9" s="225">
        <v>1.29</v>
      </c>
      <c r="S9" s="225">
        <v>1.48</v>
      </c>
      <c r="T9" s="225">
        <v>1.76</v>
      </c>
      <c r="U9" s="225">
        <v>2.1800000000000002</v>
      </c>
      <c r="V9" s="225">
        <v>2.4</v>
      </c>
      <c r="W9" s="225">
        <v>2.6</v>
      </c>
      <c r="X9" s="225">
        <v>2.69</v>
      </c>
      <c r="Y9" s="225">
        <v>2.89</v>
      </c>
      <c r="Z9" s="225">
        <v>2.98</v>
      </c>
      <c r="AA9" s="225">
        <v>3.17</v>
      </c>
      <c r="AB9" s="225">
        <v>3.59</v>
      </c>
    </row>
    <row r="10" spans="1:28" x14ac:dyDescent="0.2">
      <c r="A10" s="230" t="s">
        <v>614</v>
      </c>
      <c r="B10" s="232">
        <v>1.3029999999999999</v>
      </c>
      <c r="C10" s="232">
        <v>1.2470000000000001</v>
      </c>
      <c r="D10" s="232">
        <v>1.2609999999999999</v>
      </c>
      <c r="E10" s="232">
        <v>1.2749999999999999</v>
      </c>
      <c r="F10" s="232">
        <v>1.2829999999999999</v>
      </c>
      <c r="G10" s="232">
        <v>1.2869999999999999</v>
      </c>
      <c r="H10" s="232">
        <v>1.2889999999999999</v>
      </c>
      <c r="I10" s="232">
        <v>1.292</v>
      </c>
      <c r="J10" s="232">
        <v>1.2969999999999999</v>
      </c>
      <c r="K10" s="232">
        <v>1.2989999999999999</v>
      </c>
      <c r="L10" s="233">
        <v>1.31</v>
      </c>
      <c r="M10" s="232">
        <v>1.3109999999999999</v>
      </c>
      <c r="N10" s="232">
        <v>1.3149999999999999</v>
      </c>
      <c r="O10" s="232">
        <v>1.3240000000000001</v>
      </c>
      <c r="P10" s="232">
        <v>1.327</v>
      </c>
      <c r="Q10" s="232">
        <v>1.331</v>
      </c>
      <c r="R10" s="232">
        <v>1.3320000000000001</v>
      </c>
      <c r="S10" s="232">
        <v>1.335</v>
      </c>
      <c r="T10" s="232">
        <v>1.343</v>
      </c>
      <c r="U10" s="232">
        <v>1.355</v>
      </c>
      <c r="V10" s="232">
        <v>1.355</v>
      </c>
      <c r="W10" s="232">
        <v>1.355</v>
      </c>
      <c r="X10" s="232">
        <v>1.355</v>
      </c>
      <c r="Y10" s="232">
        <v>1.355</v>
      </c>
      <c r="Z10" s="232">
        <v>1.355</v>
      </c>
      <c r="AA10" s="232">
        <v>1.355</v>
      </c>
      <c r="AB10" s="232">
        <v>1.355</v>
      </c>
    </row>
    <row r="11" spans="1:28" x14ac:dyDescent="0.2">
      <c r="A11" s="230" t="s">
        <v>615</v>
      </c>
      <c r="B11" s="225">
        <v>1.5</v>
      </c>
      <c r="C11" s="225">
        <v>2.2000000000000002</v>
      </c>
      <c r="D11" s="225">
        <v>2.8</v>
      </c>
      <c r="E11" s="225">
        <v>3.4</v>
      </c>
      <c r="F11" s="225">
        <v>3.8</v>
      </c>
      <c r="G11" s="226">
        <v>4</v>
      </c>
      <c r="H11" s="225">
        <v>4.0999999999999996</v>
      </c>
      <c r="I11" s="225">
        <v>4.2</v>
      </c>
      <c r="J11" s="225">
        <v>4.4000000000000004</v>
      </c>
      <c r="K11" s="225">
        <v>4.5</v>
      </c>
      <c r="L11" s="226">
        <v>5</v>
      </c>
      <c r="M11" s="226">
        <v>5</v>
      </c>
      <c r="N11" s="225">
        <v>5.2</v>
      </c>
      <c r="O11" s="225">
        <v>5.6</v>
      </c>
      <c r="P11" s="225">
        <v>5.7</v>
      </c>
      <c r="Q11" s="225">
        <v>5.9</v>
      </c>
      <c r="R11" s="226">
        <v>6</v>
      </c>
      <c r="S11" s="225">
        <v>6.5</v>
      </c>
      <c r="T11" s="225">
        <v>7.7</v>
      </c>
      <c r="U11" s="225">
        <v>9.6</v>
      </c>
      <c r="V11" s="225">
        <v>10.6</v>
      </c>
      <c r="W11" s="225">
        <v>11.5</v>
      </c>
      <c r="X11" s="225">
        <v>11.9</v>
      </c>
      <c r="Y11" s="225">
        <v>12.9</v>
      </c>
      <c r="Z11" s="225">
        <v>13.3</v>
      </c>
      <c r="AA11" s="225">
        <v>14.3</v>
      </c>
      <c r="AB11" s="225">
        <v>16.399999999999999</v>
      </c>
    </row>
    <row r="12" spans="1:28" x14ac:dyDescent="0.2">
      <c r="A12" s="230" t="s">
        <v>616</v>
      </c>
      <c r="B12" s="226">
        <v>30</v>
      </c>
      <c r="C12" s="226">
        <v>25</v>
      </c>
      <c r="D12" s="226">
        <v>25</v>
      </c>
      <c r="E12" s="226">
        <v>25</v>
      </c>
      <c r="F12" s="226">
        <v>25</v>
      </c>
      <c r="G12" s="226">
        <v>25</v>
      </c>
      <c r="H12" s="226">
        <v>24</v>
      </c>
      <c r="I12" s="226">
        <v>25</v>
      </c>
      <c r="J12" s="226">
        <v>25</v>
      </c>
      <c r="K12" s="226">
        <v>24</v>
      </c>
      <c r="L12" s="226">
        <v>24</v>
      </c>
      <c r="M12" s="226">
        <v>24</v>
      </c>
      <c r="N12" s="226">
        <v>25</v>
      </c>
      <c r="O12" s="226">
        <v>24</v>
      </c>
      <c r="P12" s="226">
        <v>24</v>
      </c>
      <c r="Q12" s="226">
        <v>24</v>
      </c>
      <c r="R12" s="226">
        <v>24</v>
      </c>
      <c r="S12" s="226">
        <v>24</v>
      </c>
      <c r="T12" s="226">
        <v>23</v>
      </c>
      <c r="U12" s="226">
        <v>23</v>
      </c>
      <c r="V12" s="226">
        <v>23</v>
      </c>
      <c r="W12" s="226">
        <v>22</v>
      </c>
      <c r="X12" s="226">
        <v>23</v>
      </c>
      <c r="Y12" s="226">
        <v>22</v>
      </c>
      <c r="Z12" s="226">
        <v>23</v>
      </c>
      <c r="AA12" s="226">
        <v>22</v>
      </c>
      <c r="AB12" s="226">
        <v>22</v>
      </c>
    </row>
    <row r="13" spans="1:28" x14ac:dyDescent="0.2">
      <c r="A13" s="231" t="s">
        <v>617</v>
      </c>
      <c r="B13" s="225">
        <v>0.03</v>
      </c>
      <c r="C13" s="225">
        <v>0.05</v>
      </c>
      <c r="D13" s="225">
        <v>0.06</v>
      </c>
      <c r="E13" s="225">
        <v>0.08</v>
      </c>
      <c r="F13" s="225">
        <v>0.09</v>
      </c>
      <c r="G13" s="225">
        <v>0.09</v>
      </c>
      <c r="H13" s="225">
        <v>0.09</v>
      </c>
      <c r="I13" s="225">
        <v>0.12</v>
      </c>
      <c r="J13" s="225">
        <v>0.1</v>
      </c>
      <c r="K13" s="225">
        <v>0.11</v>
      </c>
      <c r="L13" s="225">
        <v>0.12</v>
      </c>
      <c r="M13" s="225">
        <v>0.12</v>
      </c>
      <c r="N13" s="225">
        <v>0.1</v>
      </c>
      <c r="O13" s="225">
        <v>0.13</v>
      </c>
      <c r="P13" s="225">
        <v>0.14000000000000001</v>
      </c>
      <c r="Q13" s="225">
        <v>0.14000000000000001</v>
      </c>
      <c r="R13" s="225">
        <v>0.14000000000000001</v>
      </c>
      <c r="S13" s="225">
        <v>0.15</v>
      </c>
      <c r="T13" s="225">
        <v>0.18</v>
      </c>
      <c r="U13" s="225">
        <v>0.23</v>
      </c>
      <c r="V13" s="225">
        <v>0.25</v>
      </c>
      <c r="W13" s="225">
        <v>0.28000000000000003</v>
      </c>
      <c r="X13" s="225">
        <v>0.28000000000000003</v>
      </c>
      <c r="Y13" s="225">
        <v>0.31</v>
      </c>
      <c r="Z13" s="225">
        <v>0.31</v>
      </c>
      <c r="AA13" s="225">
        <v>0.34</v>
      </c>
      <c r="AB13" s="225">
        <v>0.38</v>
      </c>
    </row>
    <row r="14" spans="1:28" ht="18.75" x14ac:dyDescent="0.2">
      <c r="A14" s="193" t="s">
        <v>618</v>
      </c>
      <c r="B14" s="194"/>
      <c r="C14" s="194"/>
      <c r="D14" s="194"/>
      <c r="E14" s="194"/>
      <c r="F14" s="194"/>
      <c r="G14" s="194"/>
      <c r="H14" s="194"/>
      <c r="I14" s="194"/>
      <c r="J14" s="194"/>
      <c r="K14" s="194"/>
      <c r="L14" s="194"/>
      <c r="M14" s="194"/>
      <c r="N14" s="194"/>
      <c r="O14" s="194"/>
      <c r="P14" s="195"/>
      <c r="Q14" s="196"/>
      <c r="R14" s="196"/>
      <c r="S14" s="196"/>
      <c r="T14" s="196"/>
      <c r="U14" s="196"/>
      <c r="V14" s="196"/>
      <c r="W14" s="196"/>
      <c r="X14" s="196"/>
      <c r="Y14" s="196"/>
      <c r="Z14" s="196"/>
      <c r="AA14" s="196"/>
      <c r="AB14" s="196"/>
    </row>
    <row r="15" spans="1:28" ht="27" x14ac:dyDescent="0.2">
      <c r="A15" s="197" t="s">
        <v>619</v>
      </c>
      <c r="B15" s="198"/>
      <c r="C15" s="198"/>
      <c r="D15" s="338" t="s">
        <v>621</v>
      </c>
      <c r="E15" s="339"/>
      <c r="F15" s="198"/>
      <c r="G15" s="198"/>
      <c r="H15" s="339" t="s">
        <v>620</v>
      </c>
      <c r="I15" s="339"/>
      <c r="J15" s="339"/>
      <c r="K15" s="339"/>
      <c r="L15" s="339"/>
      <c r="M15" s="339"/>
      <c r="N15" s="339"/>
      <c r="O15" s="339"/>
      <c r="P15" s="339"/>
      <c r="Q15" s="196"/>
      <c r="R15" s="196"/>
      <c r="S15" s="196"/>
      <c r="T15" s="196"/>
      <c r="U15" s="196"/>
      <c r="V15" s="196"/>
      <c r="W15" s="196"/>
      <c r="X15" s="196"/>
      <c r="Y15" s="196"/>
      <c r="Z15" s="196"/>
      <c r="AA15" s="196"/>
      <c r="AB15" s="196"/>
    </row>
    <row r="18" spans="1:28" ht="15" x14ac:dyDescent="0.2">
      <c r="A18" s="188" t="s">
        <v>623</v>
      </c>
    </row>
    <row r="20" spans="1:28" ht="15" x14ac:dyDescent="0.2">
      <c r="A20" s="337" t="s">
        <v>624</v>
      </c>
      <c r="B20" s="337"/>
      <c r="C20" s="337"/>
      <c r="D20" s="337"/>
      <c r="E20" s="337"/>
      <c r="F20" s="337"/>
      <c r="G20" s="337"/>
      <c r="H20" s="337"/>
      <c r="I20" s="337"/>
      <c r="J20" s="337"/>
      <c r="K20" s="337"/>
      <c r="L20" s="337"/>
      <c r="M20" s="337"/>
      <c r="N20" s="337"/>
      <c r="O20" s="337"/>
      <c r="P20" s="337"/>
      <c r="Q20" s="337"/>
      <c r="R20" s="337"/>
      <c r="S20" s="337"/>
      <c r="T20" s="337"/>
      <c r="U20" s="337"/>
      <c r="V20" s="337"/>
      <c r="W20" s="337"/>
      <c r="X20" s="337"/>
      <c r="Y20" s="337"/>
      <c r="Z20" s="337"/>
      <c r="AA20" s="337"/>
      <c r="AB20" s="337"/>
    </row>
    <row r="21" spans="1:28" x14ac:dyDescent="0.2">
      <c r="A21" s="174"/>
      <c r="B21" s="174"/>
      <c r="C21" s="174"/>
      <c r="D21" s="174"/>
      <c r="E21" s="174"/>
      <c r="F21" s="174"/>
      <c r="G21" s="174"/>
      <c r="H21" s="174"/>
      <c r="I21" s="174"/>
      <c r="J21" s="174"/>
      <c r="K21" s="174"/>
      <c r="L21" s="174"/>
      <c r="M21" s="174"/>
      <c r="N21" s="174"/>
      <c r="O21" s="174"/>
      <c r="P21" s="174"/>
      <c r="Q21" s="196"/>
      <c r="R21" s="196"/>
      <c r="S21" s="196"/>
      <c r="T21" s="196"/>
      <c r="U21" s="196"/>
      <c r="V21" s="196"/>
      <c r="W21" s="196"/>
      <c r="X21" s="196"/>
      <c r="Y21" s="196"/>
      <c r="Z21" s="196"/>
      <c r="AA21" s="196"/>
      <c r="AB21" s="196"/>
    </row>
    <row r="22" spans="1:28" ht="17.25" x14ac:dyDescent="0.2">
      <c r="A22" s="199" t="s">
        <v>607</v>
      </c>
      <c r="B22" s="200">
        <v>207</v>
      </c>
      <c r="C22" s="200">
        <v>300</v>
      </c>
      <c r="D22" s="200">
        <v>400</v>
      </c>
      <c r="E22" s="200">
        <v>500</v>
      </c>
      <c r="F22" s="202">
        <v>556</v>
      </c>
      <c r="G22" s="203">
        <v>586</v>
      </c>
      <c r="H22" s="200">
        <v>600</v>
      </c>
      <c r="I22" s="203">
        <v>626</v>
      </c>
      <c r="J22" s="202">
        <v>656</v>
      </c>
      <c r="K22" s="204">
        <v>676</v>
      </c>
      <c r="L22" s="200">
        <v>750</v>
      </c>
      <c r="M22" s="202">
        <v>756</v>
      </c>
      <c r="N22" s="205">
        <v>786</v>
      </c>
      <c r="O22" s="202">
        <v>856</v>
      </c>
      <c r="P22" s="206">
        <v>876</v>
      </c>
      <c r="Q22" s="207">
        <v>900</v>
      </c>
      <c r="R22" s="203">
        <v>926</v>
      </c>
      <c r="S22" s="207">
        <v>1000</v>
      </c>
      <c r="T22" s="208">
        <v>1200</v>
      </c>
      <c r="U22" s="208">
        <v>1500</v>
      </c>
      <c r="V22" s="209">
        <v>1656</v>
      </c>
      <c r="W22" s="207">
        <v>1800</v>
      </c>
      <c r="X22" s="209">
        <v>1856</v>
      </c>
      <c r="Y22" s="207">
        <v>2000</v>
      </c>
      <c r="Z22" s="209">
        <v>2056</v>
      </c>
      <c r="AA22" s="207">
        <v>2200</v>
      </c>
      <c r="AB22" s="208">
        <v>2500</v>
      </c>
    </row>
    <row r="23" spans="1:28" ht="15" x14ac:dyDescent="0.2">
      <c r="A23" s="210" t="s">
        <v>622</v>
      </c>
      <c r="B23" s="211">
        <v>151</v>
      </c>
      <c r="C23" s="211">
        <v>244</v>
      </c>
      <c r="D23" s="211">
        <v>344</v>
      </c>
      <c r="E23" s="212">
        <v>444</v>
      </c>
      <c r="F23" s="213">
        <v>500</v>
      </c>
      <c r="G23" s="214">
        <v>530</v>
      </c>
      <c r="H23" s="215">
        <v>544</v>
      </c>
      <c r="I23" s="214">
        <v>570</v>
      </c>
      <c r="J23" s="213">
        <v>600</v>
      </c>
      <c r="K23" s="216">
        <v>620</v>
      </c>
      <c r="L23" s="215">
        <v>694</v>
      </c>
      <c r="M23" s="213">
        <v>700</v>
      </c>
      <c r="N23" s="217">
        <v>730</v>
      </c>
      <c r="O23" s="213">
        <v>800</v>
      </c>
      <c r="P23" s="218">
        <v>820</v>
      </c>
      <c r="Q23" s="219">
        <v>844</v>
      </c>
      <c r="R23" s="214">
        <v>870</v>
      </c>
      <c r="S23" s="219">
        <v>944</v>
      </c>
      <c r="T23" s="220">
        <v>1144</v>
      </c>
      <c r="U23" s="220">
        <v>1444</v>
      </c>
      <c r="V23" s="221">
        <v>1600</v>
      </c>
      <c r="W23" s="219">
        <v>1744</v>
      </c>
      <c r="X23" s="221">
        <v>1800</v>
      </c>
      <c r="Y23" s="219">
        <v>1944</v>
      </c>
      <c r="Z23" s="221">
        <v>2000</v>
      </c>
      <c r="AA23" s="219">
        <v>2144</v>
      </c>
      <c r="AB23" s="220">
        <v>2444</v>
      </c>
    </row>
    <row r="24" spans="1:28" x14ac:dyDescent="0.2">
      <c r="A24" s="222" t="s">
        <v>609</v>
      </c>
      <c r="B24" s="223">
        <v>31.5</v>
      </c>
      <c r="C24" s="223">
        <v>43.7</v>
      </c>
      <c r="D24" s="223">
        <v>56.9</v>
      </c>
      <c r="E24" s="223">
        <v>69.900000000000006</v>
      </c>
      <c r="F24" s="223">
        <v>77.2</v>
      </c>
      <c r="G24" s="224">
        <v>81</v>
      </c>
      <c r="H24" s="223">
        <v>82.8</v>
      </c>
      <c r="I24" s="223">
        <v>86.1</v>
      </c>
      <c r="J24" s="224">
        <v>90</v>
      </c>
      <c r="K24" s="223">
        <v>92.5</v>
      </c>
      <c r="L24" s="223">
        <v>101.9</v>
      </c>
      <c r="M24" s="223">
        <v>102.7</v>
      </c>
      <c r="N24" s="223">
        <v>106.5</v>
      </c>
      <c r="O24" s="223">
        <v>115.3</v>
      </c>
      <c r="P24" s="225">
        <v>117.8</v>
      </c>
      <c r="Q24" s="225">
        <v>120.9</v>
      </c>
      <c r="R24" s="225">
        <v>124.1</v>
      </c>
      <c r="S24" s="225">
        <v>133.30000000000001</v>
      </c>
      <c r="T24" s="225">
        <v>157.9</v>
      </c>
      <c r="U24" s="225">
        <v>194.6</v>
      </c>
      <c r="V24" s="225">
        <v>213.2</v>
      </c>
      <c r="W24" s="225">
        <v>230.1</v>
      </c>
      <c r="X24" s="225">
        <v>236.6</v>
      </c>
      <c r="Y24" s="225">
        <v>253.6</v>
      </c>
      <c r="Z24" s="225">
        <v>260.10000000000002</v>
      </c>
      <c r="AA24" s="225">
        <v>276.89999999999998</v>
      </c>
      <c r="AB24" s="225">
        <v>311.7</v>
      </c>
    </row>
    <row r="25" spans="1:28" x14ac:dyDescent="0.2">
      <c r="A25" s="227" t="s">
        <v>610</v>
      </c>
      <c r="B25" s="229">
        <v>24.8</v>
      </c>
      <c r="C25" s="229">
        <v>34.700000000000003</v>
      </c>
      <c r="D25" s="229">
        <v>45.1</v>
      </c>
      <c r="E25" s="229">
        <v>55.2</v>
      </c>
      <c r="F25" s="229">
        <v>60.9</v>
      </c>
      <c r="G25" s="229">
        <v>63.8</v>
      </c>
      <c r="H25" s="229">
        <v>65.2</v>
      </c>
      <c r="I25" s="229">
        <v>67.8</v>
      </c>
      <c r="J25" s="229">
        <v>70.8</v>
      </c>
      <c r="K25" s="229">
        <v>72.8</v>
      </c>
      <c r="L25" s="228">
        <v>80</v>
      </c>
      <c r="M25" s="229">
        <v>80.599999999999994</v>
      </c>
      <c r="N25" s="229">
        <v>83.6</v>
      </c>
      <c r="O25" s="229">
        <v>90.4</v>
      </c>
      <c r="P25" s="229">
        <v>92.3</v>
      </c>
      <c r="Q25" s="229">
        <v>94.6</v>
      </c>
      <c r="R25" s="229">
        <v>97.2</v>
      </c>
      <c r="S25" s="229">
        <v>104.3</v>
      </c>
      <c r="T25" s="229">
        <v>123.5</v>
      </c>
      <c r="U25" s="229">
        <v>151.9</v>
      </c>
      <c r="V25" s="229">
        <v>166.7</v>
      </c>
      <c r="W25" s="229">
        <v>180.2</v>
      </c>
      <c r="X25" s="229">
        <v>185.5</v>
      </c>
      <c r="Y25" s="228">
        <v>199</v>
      </c>
      <c r="Z25" s="229">
        <v>204.3</v>
      </c>
      <c r="AA25" s="229">
        <v>217.8</v>
      </c>
      <c r="AB25" s="229">
        <v>245.9</v>
      </c>
    </row>
    <row r="26" spans="1:28" x14ac:dyDescent="0.2">
      <c r="A26" s="230" t="s">
        <v>611</v>
      </c>
      <c r="B26" s="225">
        <v>12.7</v>
      </c>
      <c r="C26" s="225">
        <v>18.100000000000001</v>
      </c>
      <c r="D26" s="225">
        <v>23.4</v>
      </c>
      <c r="E26" s="225">
        <v>28.5</v>
      </c>
      <c r="F26" s="225">
        <v>31.3</v>
      </c>
      <c r="G26" s="225">
        <v>32.799999999999997</v>
      </c>
      <c r="H26" s="225">
        <v>33.5</v>
      </c>
      <c r="I26" s="225">
        <v>34.700000000000003</v>
      </c>
      <c r="J26" s="225">
        <v>36.200000000000003</v>
      </c>
      <c r="K26" s="225">
        <v>37.200000000000003</v>
      </c>
      <c r="L26" s="225">
        <v>40.700000000000003</v>
      </c>
      <c r="M26" s="226">
        <v>41</v>
      </c>
      <c r="N26" s="225">
        <v>42.4</v>
      </c>
      <c r="O26" s="225">
        <v>45.7</v>
      </c>
      <c r="P26" s="225">
        <v>46.6</v>
      </c>
      <c r="Q26" s="225">
        <v>47.7</v>
      </c>
      <c r="R26" s="225">
        <v>48.9</v>
      </c>
      <c r="S26" s="225">
        <v>52.5</v>
      </c>
      <c r="T26" s="225">
        <v>61.9</v>
      </c>
      <c r="U26" s="225">
        <v>75.900000000000006</v>
      </c>
      <c r="V26" s="225">
        <v>83.6</v>
      </c>
      <c r="W26" s="225">
        <v>90.8</v>
      </c>
      <c r="X26" s="225">
        <v>93.6</v>
      </c>
      <c r="Y26" s="225">
        <v>100.9</v>
      </c>
      <c r="Z26" s="225">
        <v>103.7</v>
      </c>
      <c r="AA26" s="225">
        <v>111.1</v>
      </c>
      <c r="AB26" s="225">
        <v>126.6</v>
      </c>
    </row>
    <row r="27" spans="1:28" x14ac:dyDescent="0.2">
      <c r="A27" s="230" t="s">
        <v>612</v>
      </c>
      <c r="B27" s="225">
        <v>0.42</v>
      </c>
      <c r="C27" s="225">
        <v>0.54</v>
      </c>
      <c r="D27" s="225">
        <v>0.66</v>
      </c>
      <c r="E27" s="225">
        <v>0.79</v>
      </c>
      <c r="F27" s="225">
        <v>0.85</v>
      </c>
      <c r="G27" s="225">
        <v>0.89</v>
      </c>
      <c r="H27" s="225">
        <v>0.91</v>
      </c>
      <c r="I27" s="225">
        <v>0.94</v>
      </c>
      <c r="J27" s="225">
        <v>0.97</v>
      </c>
      <c r="K27" s="226">
        <v>1</v>
      </c>
      <c r="L27" s="225">
        <v>1.0900000000000001</v>
      </c>
      <c r="M27" s="225">
        <v>1.0900000000000001</v>
      </c>
      <c r="N27" s="225">
        <v>1.1299999999999999</v>
      </c>
      <c r="O27" s="225">
        <v>1.21</v>
      </c>
      <c r="P27" s="225">
        <v>1.24</v>
      </c>
      <c r="Q27" s="225">
        <v>1.27</v>
      </c>
      <c r="R27" s="225">
        <v>1.26</v>
      </c>
      <c r="S27" s="225">
        <v>1.39</v>
      </c>
      <c r="T27" s="225">
        <v>1.63</v>
      </c>
      <c r="U27" s="225">
        <v>1.99</v>
      </c>
      <c r="V27" s="225">
        <v>2.1800000000000002</v>
      </c>
      <c r="W27" s="225">
        <v>2.35</v>
      </c>
      <c r="X27" s="225">
        <v>2.42</v>
      </c>
      <c r="Y27" s="225">
        <v>2.59</v>
      </c>
      <c r="Z27" s="225">
        <v>2.66</v>
      </c>
      <c r="AA27" s="225">
        <v>2.83</v>
      </c>
      <c r="AB27" s="225">
        <v>3.19</v>
      </c>
    </row>
    <row r="28" spans="1:28" x14ac:dyDescent="0.2">
      <c r="A28" s="230" t="s">
        <v>613</v>
      </c>
      <c r="B28" s="225">
        <v>0.53</v>
      </c>
      <c r="C28" s="225">
        <v>0.74</v>
      </c>
      <c r="D28" s="225">
        <v>0.95</v>
      </c>
      <c r="E28" s="225">
        <v>1.1599999999999999</v>
      </c>
      <c r="F28" s="225">
        <v>1.28</v>
      </c>
      <c r="G28" s="225">
        <v>1.34</v>
      </c>
      <c r="H28" s="225">
        <v>1.37</v>
      </c>
      <c r="I28" s="225">
        <v>1.43</v>
      </c>
      <c r="J28" s="225">
        <v>1.49</v>
      </c>
      <c r="K28" s="225">
        <v>1.53</v>
      </c>
      <c r="L28" s="225">
        <v>1.69</v>
      </c>
      <c r="M28" s="225">
        <v>1.7</v>
      </c>
      <c r="N28" s="225">
        <v>1.77</v>
      </c>
      <c r="O28" s="225">
        <v>1.91</v>
      </c>
      <c r="P28" s="225">
        <v>1.96</v>
      </c>
      <c r="Q28" s="225">
        <v>2.0099999999999998</v>
      </c>
      <c r="R28" s="225">
        <v>1.95</v>
      </c>
      <c r="S28" s="225">
        <v>2.2200000000000002</v>
      </c>
      <c r="T28" s="225">
        <v>2.64</v>
      </c>
      <c r="U28" s="225">
        <v>3.28</v>
      </c>
      <c r="V28" s="225">
        <v>3.61</v>
      </c>
      <c r="W28" s="225">
        <v>3.91</v>
      </c>
      <c r="X28" s="225">
        <v>4.04</v>
      </c>
      <c r="Y28" s="225">
        <v>4.33</v>
      </c>
      <c r="Z28" s="225">
        <v>4.47</v>
      </c>
      <c r="AA28" s="225">
        <v>4.76</v>
      </c>
      <c r="AB28" s="225">
        <v>5.39</v>
      </c>
    </row>
    <row r="29" spans="1:28" x14ac:dyDescent="0.2">
      <c r="A29" s="230" t="s">
        <v>614</v>
      </c>
      <c r="B29" s="232">
        <v>1.3140000000000001</v>
      </c>
      <c r="C29" s="232">
        <v>1.2729999999999999</v>
      </c>
      <c r="D29" s="232">
        <v>1.284</v>
      </c>
      <c r="E29" s="232">
        <v>1.296</v>
      </c>
      <c r="F29" s="232">
        <v>1.302</v>
      </c>
      <c r="G29" s="232">
        <v>1.306</v>
      </c>
      <c r="H29" s="232">
        <v>1.3069999999999999</v>
      </c>
      <c r="I29" s="233">
        <v>1.31</v>
      </c>
      <c r="J29" s="232">
        <v>1.3140000000000001</v>
      </c>
      <c r="K29" s="232">
        <v>1.3160000000000001</v>
      </c>
      <c r="L29" s="232">
        <v>1.325</v>
      </c>
      <c r="M29" s="232">
        <v>1.325</v>
      </c>
      <c r="N29" s="232">
        <v>1.329</v>
      </c>
      <c r="O29" s="232">
        <v>1.337</v>
      </c>
      <c r="P29" s="232">
        <v>1.339</v>
      </c>
      <c r="Q29" s="232">
        <v>1.3420000000000001</v>
      </c>
      <c r="R29" s="232">
        <v>1.343</v>
      </c>
      <c r="S29" s="232">
        <v>1.345</v>
      </c>
      <c r="T29" s="233">
        <v>1.35</v>
      </c>
      <c r="U29" s="232">
        <v>1.359</v>
      </c>
      <c r="V29" s="233">
        <v>1.35</v>
      </c>
      <c r="W29" s="232">
        <v>1.341</v>
      </c>
      <c r="X29" s="232">
        <v>1.3380000000000001</v>
      </c>
      <c r="Y29" s="233">
        <v>1.33</v>
      </c>
      <c r="Z29" s="232">
        <v>1.3260000000000001</v>
      </c>
      <c r="AA29" s="232">
        <v>1.3180000000000001</v>
      </c>
      <c r="AB29" s="232">
        <v>1.3009999999999999</v>
      </c>
    </row>
    <row r="30" spans="1:28" x14ac:dyDescent="0.2">
      <c r="A30" s="230" t="s">
        <v>615</v>
      </c>
      <c r="B30" s="225">
        <v>2.1</v>
      </c>
      <c r="C30" s="226">
        <v>3</v>
      </c>
      <c r="D30" s="225">
        <v>3.9</v>
      </c>
      <c r="E30" s="225">
        <v>4.7</v>
      </c>
      <c r="F30" s="225">
        <v>5.2</v>
      </c>
      <c r="G30" s="225">
        <v>5.5</v>
      </c>
      <c r="H30" s="225">
        <v>5.6</v>
      </c>
      <c r="I30" s="225">
        <v>5.8</v>
      </c>
      <c r="J30" s="225">
        <v>6.1</v>
      </c>
      <c r="K30" s="225">
        <v>6.3</v>
      </c>
      <c r="L30" s="225">
        <v>6.9</v>
      </c>
      <c r="M30" s="225">
        <v>6.9</v>
      </c>
      <c r="N30" s="225">
        <v>7.2</v>
      </c>
      <c r="O30" s="225">
        <v>7.8</v>
      </c>
      <c r="P30" s="225">
        <v>7.9</v>
      </c>
      <c r="Q30" s="225">
        <v>8.1</v>
      </c>
      <c r="R30" s="225">
        <v>8.4</v>
      </c>
      <c r="S30" s="226">
        <v>9</v>
      </c>
      <c r="T30" s="225">
        <v>10.6</v>
      </c>
      <c r="U30" s="225">
        <v>13.1</v>
      </c>
      <c r="V30" s="225">
        <v>14.3</v>
      </c>
      <c r="W30" s="225">
        <v>15.5</v>
      </c>
      <c r="X30" s="226">
        <v>16</v>
      </c>
      <c r="Y30" s="225">
        <v>17.100000000000001</v>
      </c>
      <c r="Z30" s="225">
        <v>17.600000000000001</v>
      </c>
      <c r="AA30" s="225">
        <v>18.7</v>
      </c>
      <c r="AB30" s="225">
        <v>21.1</v>
      </c>
    </row>
    <row r="31" spans="1:28" x14ac:dyDescent="0.2">
      <c r="A31" s="230" t="s">
        <v>616</v>
      </c>
      <c r="B31" s="226">
        <v>23</v>
      </c>
      <c r="C31" s="226">
        <v>23</v>
      </c>
      <c r="D31" s="226">
        <v>23</v>
      </c>
      <c r="E31" s="226">
        <v>22</v>
      </c>
      <c r="F31" s="226">
        <v>22</v>
      </c>
      <c r="G31" s="226">
        <v>22</v>
      </c>
      <c r="H31" s="226">
        <v>22</v>
      </c>
      <c r="I31" s="226">
        <v>22</v>
      </c>
      <c r="J31" s="226">
        <v>22</v>
      </c>
      <c r="K31" s="226">
        <v>22</v>
      </c>
      <c r="L31" s="226">
        <v>21</v>
      </c>
      <c r="M31" s="226">
        <v>22</v>
      </c>
      <c r="N31" s="226">
        <v>22</v>
      </c>
      <c r="O31" s="226">
        <v>22</v>
      </c>
      <c r="P31" s="226">
        <v>22</v>
      </c>
      <c r="Q31" s="226">
        <v>21</v>
      </c>
      <c r="R31" s="226">
        <v>21</v>
      </c>
      <c r="S31" s="226">
        <v>21</v>
      </c>
      <c r="T31" s="226">
        <v>21</v>
      </c>
      <c r="U31" s="226">
        <v>20</v>
      </c>
      <c r="V31" s="226">
        <v>20</v>
      </c>
      <c r="W31" s="226">
        <v>20</v>
      </c>
      <c r="X31" s="226">
        <v>19</v>
      </c>
      <c r="Y31" s="226">
        <v>19</v>
      </c>
      <c r="Z31" s="226">
        <v>19</v>
      </c>
      <c r="AA31" s="226">
        <v>19</v>
      </c>
      <c r="AB31" s="226">
        <v>18</v>
      </c>
    </row>
    <row r="32" spans="1:28" x14ac:dyDescent="0.2">
      <c r="A32" s="231" t="s">
        <v>617</v>
      </c>
      <c r="B32" s="225">
        <v>0.05</v>
      </c>
      <c r="C32" s="225">
        <v>7.0000000000000007E-2</v>
      </c>
      <c r="D32" s="225">
        <v>0.1</v>
      </c>
      <c r="E32" s="225">
        <v>0.12</v>
      </c>
      <c r="F32" s="225">
        <v>0.13</v>
      </c>
      <c r="G32" s="225">
        <v>0.14000000000000001</v>
      </c>
      <c r="H32" s="225">
        <v>0.14000000000000001</v>
      </c>
      <c r="I32" s="225">
        <v>0.15</v>
      </c>
      <c r="J32" s="225">
        <v>0.15</v>
      </c>
      <c r="K32" s="225">
        <v>0.16</v>
      </c>
      <c r="L32" s="225">
        <v>0.18</v>
      </c>
      <c r="M32" s="225">
        <v>0.18</v>
      </c>
      <c r="N32" s="225">
        <v>0.18</v>
      </c>
      <c r="O32" s="225">
        <v>0.2</v>
      </c>
      <c r="P32" s="225">
        <v>0.2</v>
      </c>
      <c r="Q32" s="225">
        <v>0.21</v>
      </c>
      <c r="R32" s="225">
        <v>0.22</v>
      </c>
      <c r="S32" s="225">
        <v>0.23</v>
      </c>
      <c r="T32" s="225">
        <v>0.28000000000000003</v>
      </c>
      <c r="U32" s="225">
        <v>0.35</v>
      </c>
      <c r="V32" s="225">
        <v>0.38</v>
      </c>
      <c r="W32" s="225">
        <v>0.41</v>
      </c>
      <c r="X32" s="225">
        <v>0.43</v>
      </c>
      <c r="Y32" s="225">
        <v>0.46</v>
      </c>
      <c r="Z32" s="225">
        <v>0.47</v>
      </c>
      <c r="AA32" s="225">
        <v>0.5</v>
      </c>
      <c r="AB32" s="225">
        <v>0.56999999999999995</v>
      </c>
    </row>
    <row r="34" spans="1:28" ht="15" x14ac:dyDescent="0.2">
      <c r="A34" s="188" t="s">
        <v>625</v>
      </c>
    </row>
    <row r="36" spans="1:28" ht="15" x14ac:dyDescent="0.2">
      <c r="A36" s="337" t="s">
        <v>624</v>
      </c>
      <c r="B36" s="337"/>
      <c r="C36" s="337"/>
      <c r="D36" s="337"/>
      <c r="E36" s="337"/>
      <c r="F36" s="337"/>
      <c r="G36" s="337"/>
      <c r="H36" s="337"/>
      <c r="I36" s="337"/>
      <c r="J36" s="337"/>
      <c r="K36" s="337"/>
      <c r="L36" s="337"/>
      <c r="M36" s="337"/>
      <c r="N36" s="337"/>
      <c r="O36" s="337"/>
      <c r="P36" s="337"/>
      <c r="Q36" s="337"/>
      <c r="R36" s="337"/>
      <c r="S36" s="337"/>
      <c r="T36" s="337"/>
      <c r="U36" s="337"/>
      <c r="V36" s="337"/>
      <c r="W36" s="337"/>
      <c r="X36" s="337"/>
      <c r="Y36" s="337"/>
      <c r="Z36" s="337"/>
      <c r="AA36" s="337"/>
      <c r="AB36" s="337"/>
    </row>
    <row r="38" spans="1:28" ht="17.25" x14ac:dyDescent="0.2">
      <c r="A38" s="199" t="s">
        <v>607</v>
      </c>
      <c r="B38" s="200">
        <v>207</v>
      </c>
      <c r="C38" s="200">
        <v>300</v>
      </c>
      <c r="D38" s="200">
        <v>400</v>
      </c>
      <c r="E38" s="201">
        <v>500</v>
      </c>
      <c r="F38" s="202">
        <v>556</v>
      </c>
      <c r="G38" s="203">
        <v>586</v>
      </c>
      <c r="H38" s="200">
        <v>600</v>
      </c>
      <c r="I38" s="203">
        <v>626</v>
      </c>
      <c r="J38" s="202">
        <v>656</v>
      </c>
      <c r="K38" s="204">
        <v>676</v>
      </c>
      <c r="L38" s="200">
        <v>750</v>
      </c>
      <c r="M38" s="202">
        <v>756</v>
      </c>
      <c r="N38" s="205">
        <v>786</v>
      </c>
      <c r="O38" s="202">
        <v>856</v>
      </c>
      <c r="P38" s="206">
        <v>876</v>
      </c>
      <c r="Q38" s="207">
        <v>900</v>
      </c>
      <c r="R38" s="203">
        <v>926</v>
      </c>
      <c r="S38" s="207">
        <v>1000</v>
      </c>
      <c r="T38" s="208">
        <v>1200</v>
      </c>
      <c r="U38" s="208">
        <v>1500</v>
      </c>
      <c r="V38" s="209">
        <v>1656</v>
      </c>
      <c r="W38" s="207">
        <v>1800</v>
      </c>
      <c r="X38" s="209">
        <v>1856</v>
      </c>
      <c r="Y38" s="207">
        <v>2000</v>
      </c>
      <c r="Z38" s="209">
        <v>2056</v>
      </c>
      <c r="AA38" s="207">
        <v>2200</v>
      </c>
      <c r="AB38" s="208">
        <v>2500</v>
      </c>
    </row>
    <row r="39" spans="1:28" ht="15" x14ac:dyDescent="0.2">
      <c r="A39" s="210" t="s">
        <v>622</v>
      </c>
      <c r="B39" s="211">
        <v>151</v>
      </c>
      <c r="C39" s="211">
        <v>244</v>
      </c>
      <c r="D39" s="212">
        <v>344</v>
      </c>
      <c r="E39" s="212">
        <v>444</v>
      </c>
      <c r="F39" s="213">
        <v>500</v>
      </c>
      <c r="G39" s="214">
        <v>530</v>
      </c>
      <c r="H39" s="215">
        <v>544</v>
      </c>
      <c r="I39" s="214">
        <v>570</v>
      </c>
      <c r="J39" s="213">
        <v>600</v>
      </c>
      <c r="K39" s="216">
        <v>620</v>
      </c>
      <c r="L39" s="215">
        <v>694</v>
      </c>
      <c r="M39" s="213">
        <v>700</v>
      </c>
      <c r="N39" s="217">
        <v>730</v>
      </c>
      <c r="O39" s="213">
        <v>800</v>
      </c>
      <c r="P39" s="218">
        <v>820</v>
      </c>
      <c r="Q39" s="219">
        <v>844</v>
      </c>
      <c r="R39" s="214">
        <v>870</v>
      </c>
      <c r="S39" s="219">
        <v>944</v>
      </c>
      <c r="T39" s="220">
        <v>1144</v>
      </c>
      <c r="U39" s="220">
        <v>1444</v>
      </c>
      <c r="V39" s="221">
        <v>1600</v>
      </c>
      <c r="W39" s="219">
        <v>1744</v>
      </c>
      <c r="X39" s="221">
        <v>1800</v>
      </c>
      <c r="Y39" s="219">
        <v>1944</v>
      </c>
      <c r="Z39" s="221">
        <v>2000</v>
      </c>
      <c r="AA39" s="219">
        <v>2144</v>
      </c>
      <c r="AB39" s="220">
        <v>2444</v>
      </c>
    </row>
    <row r="40" spans="1:28" x14ac:dyDescent="0.2">
      <c r="A40" s="222" t="s">
        <v>609</v>
      </c>
      <c r="B40" s="223">
        <v>40.700000000000003</v>
      </c>
      <c r="C40" s="223">
        <v>58.9</v>
      </c>
      <c r="D40" s="223">
        <v>75.5</v>
      </c>
      <c r="E40" s="223">
        <v>91.7</v>
      </c>
      <c r="F40" s="223">
        <v>100.6</v>
      </c>
      <c r="G40" s="223">
        <v>105.4</v>
      </c>
      <c r="H40" s="223">
        <v>107.6</v>
      </c>
      <c r="I40" s="223">
        <v>111.7</v>
      </c>
      <c r="J40" s="223">
        <v>116.5</v>
      </c>
      <c r="K40" s="223">
        <v>119.6</v>
      </c>
      <c r="L40" s="223">
        <v>131.30000000000001</v>
      </c>
      <c r="M40" s="223">
        <v>132.19999999999999</v>
      </c>
      <c r="N40" s="223">
        <v>136.9</v>
      </c>
      <c r="O40" s="223">
        <v>147.9</v>
      </c>
      <c r="P40" s="224">
        <v>151</v>
      </c>
      <c r="Q40" s="225">
        <v>154.80000000000001</v>
      </c>
      <c r="R40" s="225">
        <v>158.69999999999999</v>
      </c>
      <c r="S40" s="225">
        <v>169.9</v>
      </c>
      <c r="T40" s="225">
        <v>199.7</v>
      </c>
      <c r="U40" s="225">
        <v>244.3</v>
      </c>
      <c r="V40" s="226">
        <v>268</v>
      </c>
      <c r="W40" s="225">
        <v>290.10000000000002</v>
      </c>
      <c r="X40" s="225">
        <v>298.7</v>
      </c>
      <c r="Y40" s="225">
        <v>320.89999999999998</v>
      </c>
      <c r="Z40" s="225">
        <v>329.6</v>
      </c>
      <c r="AA40" s="225">
        <v>352.1</v>
      </c>
      <c r="AB40" s="225">
        <v>399.6</v>
      </c>
    </row>
    <row r="41" spans="1:28" x14ac:dyDescent="0.2">
      <c r="A41" s="227" t="s">
        <v>610</v>
      </c>
      <c r="B41" s="228">
        <v>32</v>
      </c>
      <c r="C41" s="229">
        <v>46.8</v>
      </c>
      <c r="D41" s="229">
        <v>59.8</v>
      </c>
      <c r="E41" s="229">
        <v>72.400000000000006</v>
      </c>
      <c r="F41" s="229">
        <v>79.3</v>
      </c>
      <c r="G41" s="228">
        <v>83</v>
      </c>
      <c r="H41" s="229">
        <v>84.7</v>
      </c>
      <c r="I41" s="229">
        <v>87.9</v>
      </c>
      <c r="J41" s="229">
        <v>91.6</v>
      </c>
      <c r="K41" s="228">
        <v>94</v>
      </c>
      <c r="L41" s="229">
        <v>102.9</v>
      </c>
      <c r="M41" s="229">
        <v>103.6</v>
      </c>
      <c r="N41" s="229">
        <v>107.2</v>
      </c>
      <c r="O41" s="229">
        <v>115.6</v>
      </c>
      <c r="P41" s="228">
        <v>118</v>
      </c>
      <c r="Q41" s="229">
        <v>120.8</v>
      </c>
      <c r="R41" s="229">
        <v>123.9</v>
      </c>
      <c r="S41" s="229">
        <v>132.69999999999999</v>
      </c>
      <c r="T41" s="229">
        <v>156.19999999999999</v>
      </c>
      <c r="U41" s="229">
        <v>191.4</v>
      </c>
      <c r="V41" s="229">
        <v>209.7</v>
      </c>
      <c r="W41" s="229">
        <v>226.6</v>
      </c>
      <c r="X41" s="229">
        <v>233.3</v>
      </c>
      <c r="Y41" s="229">
        <v>250.3</v>
      </c>
      <c r="Z41" s="229">
        <v>256.89999999999998</v>
      </c>
      <c r="AA41" s="229">
        <v>274.10000000000002</v>
      </c>
      <c r="AB41" s="229">
        <v>310.2</v>
      </c>
    </row>
    <row r="42" spans="1:28" x14ac:dyDescent="0.2">
      <c r="A42" s="230" t="s">
        <v>611</v>
      </c>
      <c r="B42" s="225">
        <v>16.3</v>
      </c>
      <c r="C42" s="225">
        <v>24.5</v>
      </c>
      <c r="D42" s="225">
        <v>31.1</v>
      </c>
      <c r="E42" s="225">
        <v>37.299999999999997</v>
      </c>
      <c r="F42" s="225">
        <v>40.700000000000003</v>
      </c>
      <c r="G42" s="225">
        <v>42.5</v>
      </c>
      <c r="H42" s="225">
        <v>43.4</v>
      </c>
      <c r="I42" s="225">
        <v>44.9</v>
      </c>
      <c r="J42" s="225">
        <v>46.6</v>
      </c>
      <c r="K42" s="225">
        <v>47.8</v>
      </c>
      <c r="L42" s="226">
        <v>52</v>
      </c>
      <c r="M42" s="225">
        <v>52.4</v>
      </c>
      <c r="N42" s="225">
        <v>54.1</v>
      </c>
      <c r="O42" s="226">
        <v>58</v>
      </c>
      <c r="P42" s="225">
        <v>59.1</v>
      </c>
      <c r="Q42" s="225">
        <v>60.4</v>
      </c>
      <c r="R42" s="225">
        <v>61.9</v>
      </c>
      <c r="S42" s="225">
        <v>66.400000000000006</v>
      </c>
      <c r="T42" s="225">
        <v>78.5</v>
      </c>
      <c r="U42" s="225">
        <v>96.6</v>
      </c>
      <c r="V42" s="225">
        <v>105.5</v>
      </c>
      <c r="W42" s="225">
        <v>113.5</v>
      </c>
      <c r="X42" s="225">
        <v>116.7</v>
      </c>
      <c r="Y42" s="225">
        <v>124.7</v>
      </c>
      <c r="Z42" s="225">
        <v>127.8</v>
      </c>
      <c r="AA42" s="225">
        <v>135.9</v>
      </c>
      <c r="AB42" s="225">
        <v>152.5</v>
      </c>
    </row>
    <row r="43" spans="1:28" x14ac:dyDescent="0.2">
      <c r="A43" s="230" t="s">
        <v>612</v>
      </c>
      <c r="B43" s="225">
        <v>0.56000000000000005</v>
      </c>
      <c r="C43" s="225">
        <v>0.72</v>
      </c>
      <c r="D43" s="225">
        <v>0.88</v>
      </c>
      <c r="E43" s="225">
        <v>1.04</v>
      </c>
      <c r="F43" s="225">
        <v>1.1299999999999999</v>
      </c>
      <c r="G43" s="225">
        <v>1.18</v>
      </c>
      <c r="H43" s="225">
        <v>1.2</v>
      </c>
      <c r="I43" s="225">
        <v>1.24</v>
      </c>
      <c r="J43" s="225">
        <v>1.29</v>
      </c>
      <c r="K43" s="225">
        <v>1.32</v>
      </c>
      <c r="L43" s="225">
        <v>1.44</v>
      </c>
      <c r="M43" s="225">
        <v>1.45</v>
      </c>
      <c r="N43" s="225">
        <v>1.5</v>
      </c>
      <c r="O43" s="225">
        <v>1.61</v>
      </c>
      <c r="P43" s="225">
        <v>1.65</v>
      </c>
      <c r="Q43" s="225">
        <v>1.68</v>
      </c>
      <c r="R43" s="225">
        <v>1.7</v>
      </c>
      <c r="S43" s="225">
        <v>1.84</v>
      </c>
      <c r="T43" s="225">
        <v>2.17</v>
      </c>
      <c r="U43" s="225">
        <v>2.65</v>
      </c>
      <c r="V43" s="225">
        <v>2.9</v>
      </c>
      <c r="W43" s="225">
        <v>3.13</v>
      </c>
      <c r="X43" s="225">
        <v>3.22</v>
      </c>
      <c r="Y43" s="225">
        <v>3.45</v>
      </c>
      <c r="Z43" s="225">
        <v>3.54</v>
      </c>
      <c r="AA43" s="225">
        <v>3.77</v>
      </c>
      <c r="AB43" s="225">
        <v>4.25</v>
      </c>
    </row>
    <row r="44" spans="1:28" x14ac:dyDescent="0.2">
      <c r="A44" s="230" t="s">
        <v>613</v>
      </c>
      <c r="B44" s="225">
        <v>0.71</v>
      </c>
      <c r="C44" s="225">
        <v>0.99</v>
      </c>
      <c r="D44" s="225">
        <v>1.27</v>
      </c>
      <c r="E44" s="225">
        <v>1.55</v>
      </c>
      <c r="F44" s="225">
        <v>1.71</v>
      </c>
      <c r="G44" s="225">
        <v>1.79</v>
      </c>
      <c r="H44" s="225">
        <v>1.84</v>
      </c>
      <c r="I44" s="225">
        <v>1.91</v>
      </c>
      <c r="J44" s="225">
        <v>1.99</v>
      </c>
      <c r="K44" s="225">
        <v>2.0499999999999998</v>
      </c>
      <c r="L44" s="225">
        <v>2.2599999999999998</v>
      </c>
      <c r="M44" s="225">
        <v>2.2799999999999998</v>
      </c>
      <c r="N44" s="225">
        <v>2.37</v>
      </c>
      <c r="O44" s="225">
        <v>2.56</v>
      </c>
      <c r="P44" s="225">
        <v>2.61</v>
      </c>
      <c r="Q44" s="225">
        <v>2.68</v>
      </c>
      <c r="R44" s="225">
        <v>2.6</v>
      </c>
      <c r="S44" s="225">
        <v>2.96</v>
      </c>
      <c r="T44" s="225">
        <v>3.53</v>
      </c>
      <c r="U44" s="225">
        <v>4.37</v>
      </c>
      <c r="V44" s="225">
        <v>4.8099999999999996</v>
      </c>
      <c r="W44" s="225">
        <v>5.22</v>
      </c>
      <c r="X44" s="225">
        <v>5.4</v>
      </c>
      <c r="Y44" s="225">
        <v>5.78</v>
      </c>
      <c r="Z44" s="225">
        <v>5.96</v>
      </c>
      <c r="AA44" s="225">
        <v>6.35</v>
      </c>
      <c r="AB44" s="225">
        <v>7.19</v>
      </c>
    </row>
    <row r="45" spans="1:28" x14ac:dyDescent="0.2">
      <c r="A45" s="265" t="s">
        <v>614</v>
      </c>
      <c r="B45" s="232">
        <v>1.3169999999999999</v>
      </c>
      <c r="C45" s="232">
        <v>1.2649999999999999</v>
      </c>
      <c r="D45" s="233">
        <v>1.28</v>
      </c>
      <c r="E45" s="232">
        <v>1.296</v>
      </c>
      <c r="F45" s="232">
        <v>1.3049999999999999</v>
      </c>
      <c r="G45" s="232">
        <v>1.3089999999999999</v>
      </c>
      <c r="H45" s="232">
        <v>1.3120000000000001</v>
      </c>
      <c r="I45" s="232">
        <v>1.3160000000000001</v>
      </c>
      <c r="J45" s="233">
        <v>1.32</v>
      </c>
      <c r="K45" s="232">
        <v>1.3240000000000001</v>
      </c>
      <c r="L45" s="232">
        <v>1.335</v>
      </c>
      <c r="M45" s="232">
        <v>1.3360000000000001</v>
      </c>
      <c r="N45" s="232">
        <v>1.341</v>
      </c>
      <c r="O45" s="232">
        <v>1.3520000000000001</v>
      </c>
      <c r="P45" s="232">
        <v>1.355</v>
      </c>
      <c r="Q45" s="232">
        <v>1.359</v>
      </c>
      <c r="R45" s="232">
        <v>1.3580000000000001</v>
      </c>
      <c r="S45" s="232">
        <v>1.355</v>
      </c>
      <c r="T45" s="232">
        <v>1.3480000000000001</v>
      </c>
      <c r="U45" s="232">
        <v>1.3380000000000001</v>
      </c>
      <c r="V45" s="232">
        <v>1.3460000000000001</v>
      </c>
      <c r="W45" s="232">
        <v>1.353</v>
      </c>
      <c r="X45" s="232">
        <v>1.3560000000000001</v>
      </c>
      <c r="Y45" s="232">
        <v>1.3640000000000001</v>
      </c>
      <c r="Z45" s="232">
        <v>1.3660000000000001</v>
      </c>
      <c r="AA45" s="232">
        <v>1.3740000000000001</v>
      </c>
      <c r="AB45" s="232">
        <v>1.389</v>
      </c>
    </row>
    <row r="46" spans="1:28" x14ac:dyDescent="0.2">
      <c r="A46" s="230" t="s">
        <v>615</v>
      </c>
      <c r="B46" s="225">
        <v>2.8</v>
      </c>
      <c r="C46" s="226">
        <v>4</v>
      </c>
      <c r="D46" s="225">
        <v>5.0999999999999996</v>
      </c>
      <c r="E46" s="225">
        <v>6.2</v>
      </c>
      <c r="F46" s="225">
        <v>6.8</v>
      </c>
      <c r="G46" s="225">
        <v>7.1</v>
      </c>
      <c r="H46" s="225">
        <v>7.3</v>
      </c>
      <c r="I46" s="225">
        <v>7.6</v>
      </c>
      <c r="J46" s="225">
        <v>7.9</v>
      </c>
      <c r="K46" s="225">
        <v>8.1</v>
      </c>
      <c r="L46" s="225">
        <v>8.8000000000000007</v>
      </c>
      <c r="M46" s="225">
        <v>8.9</v>
      </c>
      <c r="N46" s="225">
        <v>9.1999999999999993</v>
      </c>
      <c r="O46" s="225">
        <v>9.9</v>
      </c>
      <c r="P46" s="225">
        <v>10.1</v>
      </c>
      <c r="Q46" s="225">
        <v>10.4</v>
      </c>
      <c r="R46" s="225">
        <v>10.7</v>
      </c>
      <c r="S46" s="225">
        <v>11.4</v>
      </c>
      <c r="T46" s="225">
        <v>13.4</v>
      </c>
      <c r="U46" s="225">
        <v>16.5</v>
      </c>
      <c r="V46" s="226">
        <v>18</v>
      </c>
      <c r="W46" s="225">
        <v>19.5</v>
      </c>
      <c r="X46" s="225">
        <v>20.100000000000001</v>
      </c>
      <c r="Y46" s="225">
        <v>21.5</v>
      </c>
      <c r="Z46" s="225">
        <v>22.1</v>
      </c>
      <c r="AA46" s="225">
        <v>23.6</v>
      </c>
      <c r="AB46" s="225">
        <v>26.7</v>
      </c>
    </row>
    <row r="47" spans="1:28" x14ac:dyDescent="0.2">
      <c r="A47" s="230" t="s">
        <v>616</v>
      </c>
      <c r="B47" s="226">
        <v>20</v>
      </c>
      <c r="C47" s="226">
        <v>20</v>
      </c>
      <c r="D47" s="226">
        <v>19</v>
      </c>
      <c r="E47" s="226">
        <v>19</v>
      </c>
      <c r="F47" s="226">
        <v>19</v>
      </c>
      <c r="G47" s="226">
        <v>19</v>
      </c>
      <c r="H47" s="226">
        <v>19</v>
      </c>
      <c r="I47" s="226">
        <v>19</v>
      </c>
      <c r="J47" s="226">
        <v>19</v>
      </c>
      <c r="K47" s="226">
        <v>19</v>
      </c>
      <c r="L47" s="226">
        <v>19</v>
      </c>
      <c r="M47" s="226">
        <v>19</v>
      </c>
      <c r="N47" s="226">
        <v>19</v>
      </c>
      <c r="O47" s="226">
        <v>19</v>
      </c>
      <c r="P47" s="226">
        <v>19</v>
      </c>
      <c r="Q47" s="226">
        <v>18</v>
      </c>
      <c r="R47" s="226">
        <v>18</v>
      </c>
      <c r="S47" s="226">
        <v>18</v>
      </c>
      <c r="T47" s="226">
        <v>18</v>
      </c>
      <c r="U47" s="226">
        <v>17</v>
      </c>
      <c r="V47" s="226">
        <v>17</v>
      </c>
      <c r="W47" s="226">
        <v>17</v>
      </c>
      <c r="X47" s="226">
        <v>16</v>
      </c>
      <c r="Y47" s="226">
        <v>16</v>
      </c>
      <c r="Z47" s="226">
        <v>16</v>
      </c>
      <c r="AA47" s="226">
        <v>16</v>
      </c>
      <c r="AB47" s="226">
        <v>15</v>
      </c>
    </row>
    <row r="48" spans="1:28" x14ac:dyDescent="0.2">
      <c r="A48" s="231" t="s">
        <v>617</v>
      </c>
      <c r="B48" s="225">
        <v>7.0000000000000007E-2</v>
      </c>
      <c r="C48" s="225">
        <v>0.1</v>
      </c>
      <c r="D48" s="225">
        <v>0.13</v>
      </c>
      <c r="E48" s="225">
        <v>0.16</v>
      </c>
      <c r="F48" s="225">
        <v>0.18</v>
      </c>
      <c r="G48" s="225">
        <v>0.19</v>
      </c>
      <c r="H48" s="225">
        <v>0.19</v>
      </c>
      <c r="I48" s="225">
        <v>0.2</v>
      </c>
      <c r="J48" s="225">
        <v>0.21</v>
      </c>
      <c r="K48" s="225">
        <v>0.21</v>
      </c>
      <c r="L48" s="225">
        <v>0.23</v>
      </c>
      <c r="M48" s="225">
        <v>0.24</v>
      </c>
      <c r="N48" s="225">
        <v>0.25</v>
      </c>
      <c r="O48" s="225">
        <v>0.27</v>
      </c>
      <c r="P48" s="225">
        <v>0.27</v>
      </c>
      <c r="Q48" s="225">
        <v>0.28000000000000003</v>
      </c>
      <c r="R48" s="225">
        <v>0.28999999999999998</v>
      </c>
      <c r="S48" s="225">
        <v>0.31</v>
      </c>
      <c r="T48" s="225">
        <v>0.37</v>
      </c>
      <c r="U48" s="225">
        <v>0.46</v>
      </c>
      <c r="V48" s="225">
        <v>0.51</v>
      </c>
      <c r="W48" s="225">
        <v>0.55000000000000004</v>
      </c>
      <c r="X48" s="225">
        <v>0.56999999999999995</v>
      </c>
      <c r="Y48" s="225">
        <v>0.61</v>
      </c>
      <c r="Z48" s="225">
        <v>0.63</v>
      </c>
      <c r="AA48" s="225">
        <v>0.67</v>
      </c>
      <c r="AB48" s="225">
        <v>0.76</v>
      </c>
    </row>
    <row r="50" spans="1:28" ht="15" x14ac:dyDescent="0.2">
      <c r="A50" s="188" t="s">
        <v>626</v>
      </c>
    </row>
    <row r="52" spans="1:28" ht="15" x14ac:dyDescent="0.2">
      <c r="A52" s="337" t="s">
        <v>624</v>
      </c>
      <c r="B52" s="337"/>
      <c r="C52" s="337"/>
      <c r="D52" s="337"/>
      <c r="E52" s="337"/>
      <c r="F52" s="337"/>
      <c r="G52" s="337"/>
      <c r="H52" s="337"/>
      <c r="I52" s="337"/>
      <c r="J52" s="337"/>
      <c r="K52" s="337"/>
      <c r="L52" s="337"/>
      <c r="M52" s="337"/>
      <c r="N52" s="337"/>
      <c r="O52" s="337"/>
      <c r="P52" s="337"/>
      <c r="Q52" s="337"/>
      <c r="R52" s="337"/>
      <c r="S52" s="337"/>
      <c r="T52" s="337"/>
      <c r="U52" s="337"/>
      <c r="V52" s="337"/>
      <c r="W52" s="337"/>
      <c r="X52" s="337"/>
      <c r="Y52" s="337"/>
      <c r="Z52" s="337"/>
      <c r="AA52" s="337"/>
      <c r="AB52" s="337"/>
    </row>
    <row r="54" spans="1:28" ht="17.25" x14ac:dyDescent="0.3">
      <c r="A54" s="199" t="s">
        <v>607</v>
      </c>
      <c r="B54" s="235">
        <v>207</v>
      </c>
      <c r="C54" s="235">
        <v>300</v>
      </c>
      <c r="D54" s="235">
        <v>400</v>
      </c>
      <c r="E54" s="236">
        <v>500</v>
      </c>
      <c r="F54" s="237">
        <v>556</v>
      </c>
      <c r="G54" s="238">
        <v>586</v>
      </c>
      <c r="H54" s="235">
        <v>600</v>
      </c>
      <c r="I54" s="238">
        <v>626</v>
      </c>
      <c r="J54" s="237">
        <v>656</v>
      </c>
      <c r="K54" s="239">
        <v>676</v>
      </c>
      <c r="L54" s="235">
        <v>750</v>
      </c>
      <c r="M54" s="237">
        <v>756</v>
      </c>
      <c r="N54" s="240">
        <v>786</v>
      </c>
      <c r="O54" s="237">
        <v>856</v>
      </c>
      <c r="P54" s="241">
        <v>876</v>
      </c>
      <c r="Q54" s="242">
        <v>900</v>
      </c>
      <c r="R54" s="238">
        <v>926</v>
      </c>
      <c r="S54" s="242">
        <v>1000</v>
      </c>
      <c r="T54" s="243">
        <v>1200</v>
      </c>
      <c r="U54" s="243">
        <v>1500</v>
      </c>
      <c r="V54" s="244">
        <v>1656</v>
      </c>
      <c r="W54" s="242">
        <v>1800</v>
      </c>
      <c r="X54" s="244">
        <v>1856</v>
      </c>
      <c r="Y54" s="242">
        <v>2000</v>
      </c>
      <c r="Z54" s="244">
        <v>2056</v>
      </c>
      <c r="AA54" s="242">
        <v>2200</v>
      </c>
      <c r="AB54" s="243">
        <v>2500</v>
      </c>
    </row>
    <row r="55" spans="1:28" ht="15" x14ac:dyDescent="0.3">
      <c r="A55" s="210" t="s">
        <v>622</v>
      </c>
      <c r="B55" s="245">
        <v>151</v>
      </c>
      <c r="C55" s="245">
        <v>244</v>
      </c>
      <c r="D55" s="246">
        <v>344</v>
      </c>
      <c r="E55" s="246">
        <v>444</v>
      </c>
      <c r="F55" s="247">
        <v>500</v>
      </c>
      <c r="G55" s="248">
        <v>530</v>
      </c>
      <c r="H55" s="249">
        <v>544</v>
      </c>
      <c r="I55" s="248">
        <v>570</v>
      </c>
      <c r="J55" s="247">
        <v>600</v>
      </c>
      <c r="K55" s="250">
        <v>620</v>
      </c>
      <c r="L55" s="249">
        <v>694</v>
      </c>
      <c r="M55" s="247">
        <v>700</v>
      </c>
      <c r="N55" s="251">
        <v>730</v>
      </c>
      <c r="O55" s="247">
        <v>800</v>
      </c>
      <c r="P55" s="252">
        <v>820</v>
      </c>
      <c r="Q55" s="253">
        <v>844</v>
      </c>
      <c r="R55" s="248">
        <v>870</v>
      </c>
      <c r="S55" s="253">
        <v>944</v>
      </c>
      <c r="T55" s="254">
        <v>1144</v>
      </c>
      <c r="U55" s="254">
        <v>1444</v>
      </c>
      <c r="V55" s="255">
        <v>1600</v>
      </c>
      <c r="W55" s="253">
        <v>1744</v>
      </c>
      <c r="X55" s="255">
        <v>1800</v>
      </c>
      <c r="Y55" s="253">
        <v>1944</v>
      </c>
      <c r="Z55" s="255">
        <v>2000</v>
      </c>
      <c r="AA55" s="253">
        <v>2144</v>
      </c>
      <c r="AB55" s="254">
        <v>2444</v>
      </c>
    </row>
    <row r="56" spans="1:28" x14ac:dyDescent="0.2">
      <c r="A56" s="189" t="s">
        <v>609</v>
      </c>
      <c r="B56" s="256">
        <v>50.5</v>
      </c>
      <c r="C56" s="256">
        <v>71.900000000000006</v>
      </c>
      <c r="D56" s="256">
        <v>92.1</v>
      </c>
      <c r="E56" s="256">
        <v>111.7</v>
      </c>
      <c r="F56" s="256">
        <v>122.5</v>
      </c>
      <c r="G56" s="256">
        <v>128.30000000000001</v>
      </c>
      <c r="H56" s="256">
        <v>130.9</v>
      </c>
      <c r="I56" s="256">
        <v>135.9</v>
      </c>
      <c r="J56" s="256">
        <v>141.5</v>
      </c>
      <c r="K56" s="256">
        <v>145.30000000000001</v>
      </c>
      <c r="L56" s="256">
        <v>159.19999999999999</v>
      </c>
      <c r="M56" s="256">
        <v>160.30000000000001</v>
      </c>
      <c r="N56" s="256">
        <v>165.9</v>
      </c>
      <c r="O56" s="256">
        <v>178.8</v>
      </c>
      <c r="P56" s="256">
        <v>182.5</v>
      </c>
      <c r="Q56" s="256">
        <v>186.9</v>
      </c>
      <c r="R56" s="256">
        <v>191.7</v>
      </c>
      <c r="S56" s="256">
        <v>205.4</v>
      </c>
      <c r="T56" s="256">
        <v>242.1</v>
      </c>
      <c r="U56" s="257">
        <v>297</v>
      </c>
      <c r="V56" s="257">
        <v>324</v>
      </c>
      <c r="W56" s="256">
        <v>348.7</v>
      </c>
      <c r="X56" s="256">
        <v>358.3</v>
      </c>
      <c r="Y56" s="256">
        <v>382.9</v>
      </c>
      <c r="Z56" s="256">
        <v>392.4</v>
      </c>
      <c r="AA56" s="256">
        <v>416.7</v>
      </c>
      <c r="AB56" s="256">
        <v>467.2</v>
      </c>
    </row>
    <row r="57" spans="1:28" x14ac:dyDescent="0.2">
      <c r="A57" s="190" t="s">
        <v>610</v>
      </c>
      <c r="B57" s="258">
        <v>39.700000000000003</v>
      </c>
      <c r="C57" s="258">
        <v>56.5</v>
      </c>
      <c r="D57" s="258">
        <v>72.400000000000006</v>
      </c>
      <c r="E57" s="258">
        <v>87.7</v>
      </c>
      <c r="F57" s="258">
        <v>96.2</v>
      </c>
      <c r="G57" s="258">
        <v>100.7</v>
      </c>
      <c r="H57" s="258">
        <v>102.7</v>
      </c>
      <c r="I57" s="258">
        <v>106.6</v>
      </c>
      <c r="J57" s="259">
        <v>111</v>
      </c>
      <c r="K57" s="259">
        <v>114</v>
      </c>
      <c r="L57" s="258">
        <v>124.8</v>
      </c>
      <c r="M57" s="258">
        <v>125.7</v>
      </c>
      <c r="N57" s="259">
        <v>130</v>
      </c>
      <c r="O57" s="258">
        <v>140.1</v>
      </c>
      <c r="P57" s="259">
        <v>143</v>
      </c>
      <c r="Q57" s="258">
        <v>146.4</v>
      </c>
      <c r="R57" s="258">
        <v>150.1</v>
      </c>
      <c r="S57" s="258">
        <v>160.6</v>
      </c>
      <c r="T57" s="258">
        <v>188.8</v>
      </c>
      <c r="U57" s="258">
        <v>230.4</v>
      </c>
      <c r="V57" s="258">
        <v>251.9</v>
      </c>
      <c r="W57" s="258">
        <v>271.60000000000002</v>
      </c>
      <c r="X57" s="258">
        <v>279.3</v>
      </c>
      <c r="Y57" s="259">
        <v>299</v>
      </c>
      <c r="Z57" s="258">
        <v>306.7</v>
      </c>
      <c r="AA57" s="258">
        <v>326.39999999999998</v>
      </c>
      <c r="AB57" s="258">
        <v>367.4</v>
      </c>
    </row>
    <row r="58" spans="1:28" x14ac:dyDescent="0.2">
      <c r="A58" s="191" t="s">
        <v>611</v>
      </c>
      <c r="B58" s="260">
        <v>20.100000000000001</v>
      </c>
      <c r="C58" s="260">
        <v>28.8</v>
      </c>
      <c r="D58" s="260">
        <v>36.799999999999997</v>
      </c>
      <c r="E58" s="260">
        <v>44.6</v>
      </c>
      <c r="F58" s="260">
        <v>48.8</v>
      </c>
      <c r="G58" s="260">
        <v>51.1</v>
      </c>
      <c r="H58" s="260">
        <v>52.1</v>
      </c>
      <c r="I58" s="261">
        <v>54</v>
      </c>
      <c r="J58" s="260">
        <v>56.3</v>
      </c>
      <c r="K58" s="260">
        <v>57.7</v>
      </c>
      <c r="L58" s="260">
        <v>63.1</v>
      </c>
      <c r="M58" s="260">
        <v>63.6</v>
      </c>
      <c r="N58" s="260">
        <v>65.7</v>
      </c>
      <c r="O58" s="260">
        <v>70.7</v>
      </c>
      <c r="P58" s="260">
        <v>72.2</v>
      </c>
      <c r="Q58" s="260">
        <v>73.900000000000006</v>
      </c>
      <c r="R58" s="260">
        <v>75.599999999999994</v>
      </c>
      <c r="S58" s="260">
        <v>80.7</v>
      </c>
      <c r="T58" s="260">
        <v>93.9</v>
      </c>
      <c r="U58" s="260">
        <v>113.1</v>
      </c>
      <c r="V58" s="260">
        <v>124.4</v>
      </c>
      <c r="W58" s="260">
        <v>134.9</v>
      </c>
      <c r="X58" s="261">
        <v>139</v>
      </c>
      <c r="Y58" s="260">
        <v>149.6</v>
      </c>
      <c r="Z58" s="260">
        <v>153.80000000000001</v>
      </c>
      <c r="AA58" s="260">
        <v>164.6</v>
      </c>
      <c r="AB58" s="260">
        <v>187.4</v>
      </c>
    </row>
    <row r="59" spans="1:28" x14ac:dyDescent="0.2">
      <c r="A59" s="191" t="s">
        <v>612</v>
      </c>
      <c r="B59" s="260">
        <v>0.7</v>
      </c>
      <c r="C59" s="260">
        <v>0.9</v>
      </c>
      <c r="D59" s="260">
        <v>1.1000000000000001</v>
      </c>
      <c r="E59" s="260">
        <v>1.3</v>
      </c>
      <c r="F59" s="260">
        <v>1.41</v>
      </c>
      <c r="G59" s="260">
        <v>1.47</v>
      </c>
      <c r="H59" s="260">
        <v>1.5</v>
      </c>
      <c r="I59" s="260">
        <v>1.55</v>
      </c>
      <c r="J59" s="260">
        <v>1.61</v>
      </c>
      <c r="K59" s="260">
        <v>1.65</v>
      </c>
      <c r="L59" s="260">
        <v>1.8</v>
      </c>
      <c r="M59" s="260">
        <v>1.81</v>
      </c>
      <c r="N59" s="260">
        <v>1.87</v>
      </c>
      <c r="O59" s="260">
        <v>2.0099999999999998</v>
      </c>
      <c r="P59" s="260">
        <v>2.0499999999999998</v>
      </c>
      <c r="Q59" s="260">
        <v>2.1</v>
      </c>
      <c r="R59" s="260">
        <v>2.13</v>
      </c>
      <c r="S59" s="260">
        <v>2.2999999999999998</v>
      </c>
      <c r="T59" s="260">
        <v>2.7</v>
      </c>
      <c r="U59" s="260">
        <v>3.3</v>
      </c>
      <c r="V59" s="260">
        <v>3.62</v>
      </c>
      <c r="W59" s="260">
        <v>3.91</v>
      </c>
      <c r="X59" s="260">
        <v>4.0199999999999996</v>
      </c>
      <c r="Y59" s="260">
        <v>4.3099999999999996</v>
      </c>
      <c r="Z59" s="260">
        <v>4.42</v>
      </c>
      <c r="AA59" s="260">
        <v>4.71</v>
      </c>
      <c r="AB59" s="260">
        <v>5.31</v>
      </c>
    </row>
    <row r="60" spans="1:28" x14ac:dyDescent="0.2">
      <c r="A60" s="191" t="s">
        <v>613</v>
      </c>
      <c r="B60" s="260">
        <v>0.89</v>
      </c>
      <c r="C60" s="260">
        <v>1.24</v>
      </c>
      <c r="D60" s="260">
        <v>1.59</v>
      </c>
      <c r="E60" s="260">
        <v>1.95</v>
      </c>
      <c r="F60" s="260">
        <v>2.14</v>
      </c>
      <c r="G60" s="260">
        <v>2.2400000000000002</v>
      </c>
      <c r="H60" s="260">
        <v>2.2999999999999998</v>
      </c>
      <c r="I60" s="260">
        <v>2.39</v>
      </c>
      <c r="J60" s="260">
        <v>2.5</v>
      </c>
      <c r="K60" s="260">
        <v>2.57</v>
      </c>
      <c r="L60" s="260">
        <v>2.83</v>
      </c>
      <c r="M60" s="260">
        <v>2.85</v>
      </c>
      <c r="N60" s="260">
        <v>2.97</v>
      </c>
      <c r="O60" s="260">
        <v>3.2</v>
      </c>
      <c r="P60" s="260">
        <v>3.27</v>
      </c>
      <c r="Q60" s="260">
        <v>3.36</v>
      </c>
      <c r="R60" s="260">
        <v>3.26</v>
      </c>
      <c r="S60" s="260">
        <v>3.71</v>
      </c>
      <c r="T60" s="260">
        <v>4.41</v>
      </c>
      <c r="U60" s="260">
        <v>5.47</v>
      </c>
      <c r="V60" s="260">
        <v>6.02</v>
      </c>
      <c r="W60" s="260">
        <v>6.53</v>
      </c>
      <c r="X60" s="260">
        <v>6.75</v>
      </c>
      <c r="Y60" s="260">
        <v>7.23</v>
      </c>
      <c r="Z60" s="260">
        <v>7.45</v>
      </c>
      <c r="AA60" s="260">
        <v>7.94</v>
      </c>
      <c r="AB60" s="261">
        <v>9</v>
      </c>
    </row>
    <row r="61" spans="1:28" x14ac:dyDescent="0.2">
      <c r="A61" s="262" t="s">
        <v>614</v>
      </c>
      <c r="B61" s="263">
        <v>1.329</v>
      </c>
      <c r="C61" s="264">
        <v>1.32</v>
      </c>
      <c r="D61" s="263">
        <v>1.323</v>
      </c>
      <c r="E61" s="263">
        <v>1.3260000000000001</v>
      </c>
      <c r="F61" s="263">
        <v>1.3280000000000001</v>
      </c>
      <c r="G61" s="263">
        <v>1.329</v>
      </c>
      <c r="H61" s="263">
        <v>1.329</v>
      </c>
      <c r="I61" s="264">
        <v>1.33</v>
      </c>
      <c r="J61" s="263">
        <v>1.331</v>
      </c>
      <c r="K61" s="263">
        <v>1.3320000000000001</v>
      </c>
      <c r="L61" s="263">
        <v>1.3340000000000001</v>
      </c>
      <c r="M61" s="263">
        <v>1.335</v>
      </c>
      <c r="N61" s="263">
        <v>1.335</v>
      </c>
      <c r="O61" s="263">
        <v>1.3380000000000001</v>
      </c>
      <c r="P61" s="263">
        <v>1.3380000000000001</v>
      </c>
      <c r="Q61" s="263">
        <v>1.339</v>
      </c>
      <c r="R61" s="263">
        <v>1.3420000000000001</v>
      </c>
      <c r="S61" s="263">
        <v>1.3480000000000001</v>
      </c>
      <c r="T61" s="263">
        <v>1.3660000000000001</v>
      </c>
      <c r="U61" s="263">
        <v>1.393</v>
      </c>
      <c r="V61" s="263">
        <v>1.381</v>
      </c>
      <c r="W61" s="264">
        <v>1.37</v>
      </c>
      <c r="X61" s="263">
        <v>1.3660000000000001</v>
      </c>
      <c r="Y61" s="263">
        <v>1.3560000000000001</v>
      </c>
      <c r="Z61" s="263">
        <v>1.351</v>
      </c>
      <c r="AA61" s="263">
        <v>1.341</v>
      </c>
      <c r="AB61" s="263">
        <v>1.3180000000000001</v>
      </c>
    </row>
    <row r="62" spans="1:28" x14ac:dyDescent="0.2">
      <c r="A62" s="191" t="s">
        <v>615</v>
      </c>
      <c r="B62" s="260">
        <v>3.4</v>
      </c>
      <c r="C62" s="260">
        <v>4.9000000000000004</v>
      </c>
      <c r="D62" s="260">
        <v>6.2</v>
      </c>
      <c r="E62" s="260">
        <v>7.5</v>
      </c>
      <c r="F62" s="260">
        <v>8.3000000000000007</v>
      </c>
      <c r="G62" s="260">
        <v>8.6999999999999993</v>
      </c>
      <c r="H62" s="260">
        <v>8.8000000000000007</v>
      </c>
      <c r="I62" s="260">
        <v>9.1999999999999993</v>
      </c>
      <c r="J62" s="260">
        <v>9.5</v>
      </c>
      <c r="K62" s="260">
        <v>9.8000000000000007</v>
      </c>
      <c r="L62" s="260">
        <v>10.7</v>
      </c>
      <c r="M62" s="260">
        <v>10.8</v>
      </c>
      <c r="N62" s="260">
        <v>11.2</v>
      </c>
      <c r="O62" s="261">
        <v>12</v>
      </c>
      <c r="P62" s="260">
        <v>12.3</v>
      </c>
      <c r="Q62" s="260">
        <v>12.6</v>
      </c>
      <c r="R62" s="260">
        <v>12.9</v>
      </c>
      <c r="S62" s="260">
        <v>13.8</v>
      </c>
      <c r="T62" s="260">
        <v>16.2</v>
      </c>
      <c r="U62" s="260">
        <v>19.8</v>
      </c>
      <c r="V62" s="260">
        <v>21.7</v>
      </c>
      <c r="W62" s="260">
        <v>23.4</v>
      </c>
      <c r="X62" s="261">
        <v>24</v>
      </c>
      <c r="Y62" s="260">
        <v>25.7</v>
      </c>
      <c r="Z62" s="260">
        <v>26.4</v>
      </c>
      <c r="AA62" s="260">
        <v>28.1</v>
      </c>
      <c r="AB62" s="260">
        <v>31.6</v>
      </c>
    </row>
    <row r="63" spans="1:28" x14ac:dyDescent="0.2">
      <c r="A63" s="191" t="s">
        <v>616</v>
      </c>
      <c r="B63" s="261">
        <v>19</v>
      </c>
      <c r="C63" s="261">
        <v>19</v>
      </c>
      <c r="D63" s="261">
        <v>18</v>
      </c>
      <c r="E63" s="261">
        <v>18</v>
      </c>
      <c r="F63" s="261">
        <v>18</v>
      </c>
      <c r="G63" s="261">
        <v>18</v>
      </c>
      <c r="H63" s="261">
        <v>18</v>
      </c>
      <c r="I63" s="261">
        <v>18</v>
      </c>
      <c r="J63" s="261">
        <v>18</v>
      </c>
      <c r="K63" s="261">
        <v>18</v>
      </c>
      <c r="L63" s="261">
        <v>18</v>
      </c>
      <c r="M63" s="261">
        <v>18</v>
      </c>
      <c r="N63" s="261">
        <v>17</v>
      </c>
      <c r="O63" s="261">
        <v>17</v>
      </c>
      <c r="P63" s="261">
        <v>17</v>
      </c>
      <c r="Q63" s="261">
        <v>17</v>
      </c>
      <c r="R63" s="261">
        <v>17</v>
      </c>
      <c r="S63" s="261">
        <v>17</v>
      </c>
      <c r="T63" s="261">
        <v>16</v>
      </c>
      <c r="U63" s="261">
        <v>16</v>
      </c>
      <c r="V63" s="261">
        <v>15</v>
      </c>
      <c r="W63" s="261">
        <v>15</v>
      </c>
      <c r="X63" s="261">
        <v>15</v>
      </c>
      <c r="Y63" s="261">
        <v>14</v>
      </c>
      <c r="Z63" s="261">
        <v>14</v>
      </c>
      <c r="AA63" s="261">
        <v>14</v>
      </c>
      <c r="AB63" s="261">
        <v>13</v>
      </c>
    </row>
    <row r="64" spans="1:28" x14ac:dyDescent="0.2">
      <c r="A64" s="192" t="s">
        <v>617</v>
      </c>
      <c r="B64" s="260">
        <v>0.09</v>
      </c>
      <c r="C64" s="260">
        <v>0.12</v>
      </c>
      <c r="D64" s="260">
        <v>0.16</v>
      </c>
      <c r="E64" s="260">
        <v>0.2</v>
      </c>
      <c r="F64" s="260">
        <v>0.22</v>
      </c>
      <c r="G64" s="260">
        <v>0.23</v>
      </c>
      <c r="H64" s="260">
        <v>0.24</v>
      </c>
      <c r="I64" s="260">
        <v>0.25</v>
      </c>
      <c r="J64" s="260">
        <v>0.26</v>
      </c>
      <c r="K64" s="260">
        <v>0.27</v>
      </c>
      <c r="L64" s="260">
        <v>0.28999999999999998</v>
      </c>
      <c r="M64" s="260">
        <v>0.3</v>
      </c>
      <c r="N64" s="260">
        <v>0.31</v>
      </c>
      <c r="O64" s="260">
        <v>0.33</v>
      </c>
      <c r="P64" s="260">
        <v>0.34</v>
      </c>
      <c r="Q64" s="260">
        <v>0.35</v>
      </c>
      <c r="R64" s="260">
        <v>0.36</v>
      </c>
      <c r="S64" s="260">
        <v>0.39</v>
      </c>
      <c r="T64" s="260">
        <v>0.46</v>
      </c>
      <c r="U64" s="260">
        <v>0.57999999999999996</v>
      </c>
      <c r="V64" s="260">
        <v>0.64</v>
      </c>
      <c r="W64" s="260">
        <v>0.69</v>
      </c>
      <c r="X64" s="260">
        <v>0.71</v>
      </c>
      <c r="Y64" s="260">
        <v>0.77</v>
      </c>
      <c r="Z64" s="260">
        <v>0.79</v>
      </c>
      <c r="AA64" s="260">
        <v>0.84</v>
      </c>
      <c r="AB64" s="260">
        <v>0.95</v>
      </c>
    </row>
    <row r="66" spans="1:28" ht="15" x14ac:dyDescent="0.2">
      <c r="A66" s="188" t="s">
        <v>627</v>
      </c>
    </row>
    <row r="68" spans="1:28" ht="15" x14ac:dyDescent="0.2">
      <c r="A68" s="337" t="s">
        <v>624</v>
      </c>
      <c r="B68" s="337"/>
      <c r="C68" s="337"/>
      <c r="D68" s="337"/>
      <c r="E68" s="337"/>
      <c r="F68" s="337"/>
      <c r="G68" s="337"/>
      <c r="H68" s="337"/>
      <c r="I68" s="337"/>
      <c r="J68" s="337"/>
      <c r="K68" s="337"/>
      <c r="L68" s="337"/>
      <c r="M68" s="337"/>
      <c r="N68" s="337"/>
      <c r="O68" s="337"/>
      <c r="P68" s="337"/>
      <c r="Q68" s="337"/>
      <c r="R68" s="337"/>
      <c r="S68" s="337"/>
      <c r="T68" s="337"/>
      <c r="U68" s="337"/>
      <c r="V68" s="337"/>
      <c r="W68" s="337"/>
      <c r="X68" s="337"/>
      <c r="Y68" s="337"/>
      <c r="Z68" s="337"/>
      <c r="AA68" s="337"/>
      <c r="AB68" s="337"/>
    </row>
    <row r="70" spans="1:28" ht="17.25" x14ac:dyDescent="0.3">
      <c r="A70" s="199" t="s">
        <v>607</v>
      </c>
      <c r="B70" s="200">
        <v>207</v>
      </c>
      <c r="C70" s="200">
        <v>300</v>
      </c>
      <c r="D70" s="200">
        <v>400</v>
      </c>
      <c r="E70" s="200">
        <v>500</v>
      </c>
      <c r="F70" s="202">
        <v>556</v>
      </c>
      <c r="G70" s="203">
        <v>586</v>
      </c>
      <c r="H70" s="200">
        <v>600</v>
      </c>
      <c r="I70" s="203">
        <v>626</v>
      </c>
      <c r="J70" s="202">
        <v>656</v>
      </c>
      <c r="K70" s="204">
        <v>676</v>
      </c>
      <c r="L70" s="200">
        <v>750</v>
      </c>
      <c r="M70" s="202">
        <v>756</v>
      </c>
      <c r="N70" s="205">
        <v>786</v>
      </c>
      <c r="O70" s="202">
        <v>856</v>
      </c>
      <c r="P70" s="206">
        <v>876</v>
      </c>
      <c r="Q70" s="242">
        <v>900</v>
      </c>
      <c r="R70" s="203">
        <v>926</v>
      </c>
      <c r="S70" s="207">
        <v>1000</v>
      </c>
      <c r="T70" s="208">
        <v>1200</v>
      </c>
      <c r="U70" s="208">
        <v>1500</v>
      </c>
      <c r="V70" s="209">
        <v>1656</v>
      </c>
      <c r="W70" s="207">
        <v>1800</v>
      </c>
      <c r="X70" s="209">
        <v>1856</v>
      </c>
      <c r="Y70" s="207">
        <v>2000</v>
      </c>
      <c r="Z70" s="209">
        <v>2056</v>
      </c>
      <c r="AA70" s="207">
        <v>2200</v>
      </c>
      <c r="AB70" s="208">
        <v>2500</v>
      </c>
    </row>
    <row r="71" spans="1:28" ht="15" x14ac:dyDescent="0.3">
      <c r="A71" s="210" t="s">
        <v>622</v>
      </c>
      <c r="B71" s="211">
        <v>151</v>
      </c>
      <c r="C71" s="211">
        <v>244</v>
      </c>
      <c r="D71" s="212">
        <v>344</v>
      </c>
      <c r="E71" s="212">
        <v>444</v>
      </c>
      <c r="F71" s="213">
        <v>500</v>
      </c>
      <c r="G71" s="214">
        <v>530</v>
      </c>
      <c r="H71" s="215">
        <v>544</v>
      </c>
      <c r="I71" s="214">
        <v>570</v>
      </c>
      <c r="J71" s="213">
        <v>600</v>
      </c>
      <c r="K71" s="216">
        <v>620</v>
      </c>
      <c r="L71" s="215">
        <v>694</v>
      </c>
      <c r="M71" s="213">
        <v>700</v>
      </c>
      <c r="N71" s="217">
        <v>730</v>
      </c>
      <c r="O71" s="213">
        <v>800</v>
      </c>
      <c r="P71" s="218">
        <v>820</v>
      </c>
      <c r="Q71" s="253">
        <v>844</v>
      </c>
      <c r="R71" s="214">
        <v>870</v>
      </c>
      <c r="S71" s="219">
        <v>944</v>
      </c>
      <c r="T71" s="220">
        <v>1144</v>
      </c>
      <c r="U71" s="220">
        <v>1444</v>
      </c>
      <c r="V71" s="221">
        <v>1600</v>
      </c>
      <c r="W71" s="219">
        <v>1744</v>
      </c>
      <c r="X71" s="221">
        <v>1800</v>
      </c>
      <c r="Y71" s="219">
        <v>1944</v>
      </c>
      <c r="Z71" s="221">
        <v>2000</v>
      </c>
      <c r="AA71" s="219">
        <v>2144</v>
      </c>
      <c r="AB71" s="220">
        <v>2444</v>
      </c>
    </row>
    <row r="72" spans="1:28" x14ac:dyDescent="0.2">
      <c r="A72" s="189" t="s">
        <v>609</v>
      </c>
      <c r="B72" s="223">
        <v>61.9</v>
      </c>
      <c r="C72" s="223">
        <v>86.1</v>
      </c>
      <c r="D72" s="223">
        <v>110.9</v>
      </c>
      <c r="E72" s="223">
        <v>134.69999999999999</v>
      </c>
      <c r="F72" s="223">
        <v>147.6</v>
      </c>
      <c r="G72" s="223">
        <v>154.5</v>
      </c>
      <c r="H72" s="223">
        <v>157.6</v>
      </c>
      <c r="I72" s="223">
        <v>163.5</v>
      </c>
      <c r="J72" s="223">
        <v>170.2</v>
      </c>
      <c r="K72" s="223">
        <v>174.6</v>
      </c>
      <c r="L72" s="223">
        <v>190.7</v>
      </c>
      <c r="M72" s="224">
        <v>192</v>
      </c>
      <c r="N72" s="223">
        <v>198.4</v>
      </c>
      <c r="O72" s="223">
        <v>213.2</v>
      </c>
      <c r="P72" s="223">
        <v>217.4</v>
      </c>
      <c r="Q72" s="256">
        <v>222.4</v>
      </c>
      <c r="R72" s="223">
        <v>228.1</v>
      </c>
      <c r="S72" s="223">
        <v>244.2</v>
      </c>
      <c r="T72" s="223">
        <v>287.10000000000002</v>
      </c>
      <c r="U72" s="223">
        <v>349.7</v>
      </c>
      <c r="V72" s="224">
        <v>378</v>
      </c>
      <c r="W72" s="223">
        <v>403.4</v>
      </c>
      <c r="X72" s="224">
        <v>413</v>
      </c>
      <c r="Y72" s="223">
        <v>437.2</v>
      </c>
      <c r="Z72" s="223">
        <v>446.4</v>
      </c>
      <c r="AA72" s="223">
        <v>469.6</v>
      </c>
      <c r="AB72" s="223">
        <v>515.6</v>
      </c>
    </row>
    <row r="73" spans="1:28" x14ac:dyDescent="0.2">
      <c r="A73" s="190" t="s">
        <v>610</v>
      </c>
      <c r="B73" s="229">
        <v>48.7</v>
      </c>
      <c r="C73" s="229">
        <v>67.7</v>
      </c>
      <c r="D73" s="229">
        <v>87.3</v>
      </c>
      <c r="E73" s="229">
        <v>106.2</v>
      </c>
      <c r="F73" s="229">
        <v>116.5</v>
      </c>
      <c r="G73" s="229">
        <v>121.9</v>
      </c>
      <c r="H73" s="229">
        <v>124.5</v>
      </c>
      <c r="I73" s="229">
        <v>129.1</v>
      </c>
      <c r="J73" s="229">
        <v>134.5</v>
      </c>
      <c r="K73" s="228">
        <v>138</v>
      </c>
      <c r="L73" s="229">
        <v>150.9</v>
      </c>
      <c r="M73" s="228">
        <v>152</v>
      </c>
      <c r="N73" s="229">
        <v>157.1</v>
      </c>
      <c r="O73" s="228">
        <v>169</v>
      </c>
      <c r="P73" s="229">
        <v>172.4</v>
      </c>
      <c r="Q73" s="258">
        <v>176.4</v>
      </c>
      <c r="R73" s="229">
        <v>180.7</v>
      </c>
      <c r="S73" s="229">
        <v>192.9</v>
      </c>
      <c r="T73" s="229">
        <v>224.7</v>
      </c>
      <c r="U73" s="228">
        <v>270</v>
      </c>
      <c r="V73" s="229">
        <v>292.5</v>
      </c>
      <c r="W73" s="229">
        <v>312.7</v>
      </c>
      <c r="X73" s="229">
        <v>320.39999999999998</v>
      </c>
      <c r="Y73" s="229">
        <v>339.8</v>
      </c>
      <c r="Z73" s="229">
        <v>347.2</v>
      </c>
      <c r="AA73" s="228">
        <v>366</v>
      </c>
      <c r="AB73" s="229">
        <v>403.4</v>
      </c>
    </row>
    <row r="74" spans="1:28" x14ac:dyDescent="0.2">
      <c r="A74" s="191" t="s">
        <v>611</v>
      </c>
      <c r="B74" s="225">
        <v>24.8</v>
      </c>
      <c r="C74" s="225">
        <v>34.5</v>
      </c>
      <c r="D74" s="225">
        <v>44.6</v>
      </c>
      <c r="E74" s="225">
        <v>54.5</v>
      </c>
      <c r="F74" s="226">
        <v>60</v>
      </c>
      <c r="G74" s="225">
        <v>62.8</v>
      </c>
      <c r="H74" s="225">
        <v>64.2</v>
      </c>
      <c r="I74" s="225">
        <v>66.7</v>
      </c>
      <c r="J74" s="225">
        <v>69.5</v>
      </c>
      <c r="K74" s="225">
        <v>71.400000000000006</v>
      </c>
      <c r="L74" s="225">
        <v>78.3</v>
      </c>
      <c r="M74" s="225">
        <v>78.900000000000006</v>
      </c>
      <c r="N74" s="225">
        <v>81.7</v>
      </c>
      <c r="O74" s="225">
        <v>88.1</v>
      </c>
      <c r="P74" s="226">
        <v>90</v>
      </c>
      <c r="Q74" s="260">
        <v>90</v>
      </c>
      <c r="R74" s="225">
        <v>94.1</v>
      </c>
      <c r="S74" s="225">
        <v>99.5</v>
      </c>
      <c r="T74" s="225">
        <v>113.1</v>
      </c>
      <c r="U74" s="225">
        <v>130.80000000000001</v>
      </c>
      <c r="V74" s="225">
        <v>142.6</v>
      </c>
      <c r="W74" s="225">
        <v>153.19999999999999</v>
      </c>
      <c r="X74" s="225">
        <v>157.30000000000001</v>
      </c>
      <c r="Y74" s="225">
        <v>167.8</v>
      </c>
      <c r="Z74" s="225">
        <v>171.8</v>
      </c>
      <c r="AA74" s="226">
        <v>182</v>
      </c>
      <c r="AB74" s="225">
        <v>202.9</v>
      </c>
    </row>
    <row r="75" spans="1:28" x14ac:dyDescent="0.2">
      <c r="A75" s="191" t="s">
        <v>612</v>
      </c>
      <c r="B75" s="225">
        <v>0.8</v>
      </c>
      <c r="C75" s="225">
        <v>1.1000000000000001</v>
      </c>
      <c r="D75" s="225">
        <v>1.3</v>
      </c>
      <c r="E75" s="225">
        <v>1.6</v>
      </c>
      <c r="F75" s="225">
        <v>1.7</v>
      </c>
      <c r="G75" s="225">
        <v>1.77</v>
      </c>
      <c r="H75" s="225">
        <v>1.8</v>
      </c>
      <c r="I75" s="225">
        <v>1.85</v>
      </c>
      <c r="J75" s="225">
        <v>1.9</v>
      </c>
      <c r="K75" s="226">
        <v>2</v>
      </c>
      <c r="L75" s="225">
        <v>2.2000000000000002</v>
      </c>
      <c r="M75" s="225">
        <v>2.2000000000000002</v>
      </c>
      <c r="N75" s="225">
        <v>2.25</v>
      </c>
      <c r="O75" s="225">
        <v>2.4</v>
      </c>
      <c r="P75" s="225">
        <v>2.5</v>
      </c>
      <c r="Q75" s="260">
        <v>2.5</v>
      </c>
      <c r="R75" s="225">
        <v>2.56</v>
      </c>
      <c r="S75" s="225">
        <v>2.8</v>
      </c>
      <c r="T75" s="225">
        <v>3.2</v>
      </c>
      <c r="U75" s="226">
        <v>4</v>
      </c>
      <c r="V75" s="225">
        <v>4.3600000000000003</v>
      </c>
      <c r="W75" s="225">
        <v>4.7</v>
      </c>
      <c r="X75" s="225">
        <v>4.84</v>
      </c>
      <c r="Y75" s="225">
        <v>5.2</v>
      </c>
      <c r="Z75" s="225">
        <v>5.29</v>
      </c>
      <c r="AA75" s="225">
        <v>5.6</v>
      </c>
      <c r="AB75" s="225">
        <v>6.4</v>
      </c>
    </row>
    <row r="76" spans="1:28" x14ac:dyDescent="0.2">
      <c r="A76" s="191" t="s">
        <v>613</v>
      </c>
      <c r="B76" s="225">
        <v>1.07</v>
      </c>
      <c r="C76" s="225">
        <v>1.49</v>
      </c>
      <c r="D76" s="225">
        <v>1.92</v>
      </c>
      <c r="E76" s="225">
        <v>2.34</v>
      </c>
      <c r="F76" s="225">
        <v>2.58</v>
      </c>
      <c r="G76" s="225">
        <v>2.7</v>
      </c>
      <c r="H76" s="225">
        <v>2.76</v>
      </c>
      <c r="I76" s="225">
        <v>2.87</v>
      </c>
      <c r="J76" s="226">
        <v>3</v>
      </c>
      <c r="K76" s="225">
        <v>3.09</v>
      </c>
      <c r="L76" s="225">
        <v>3.4</v>
      </c>
      <c r="M76" s="225">
        <v>3.42</v>
      </c>
      <c r="N76" s="225">
        <v>3.56</v>
      </c>
      <c r="O76" s="225">
        <v>3.85</v>
      </c>
      <c r="P76" s="225">
        <v>3.93</v>
      </c>
      <c r="Q76" s="260">
        <v>4.03</v>
      </c>
      <c r="R76" s="225">
        <v>3.92</v>
      </c>
      <c r="S76" s="225">
        <v>4.46</v>
      </c>
      <c r="T76" s="225">
        <v>5.3</v>
      </c>
      <c r="U76" s="225">
        <v>6.57</v>
      </c>
      <c r="V76" s="225">
        <v>7.23</v>
      </c>
      <c r="W76" s="225">
        <v>7.84</v>
      </c>
      <c r="X76" s="225">
        <v>8.11</v>
      </c>
      <c r="Y76" s="225">
        <v>8.69</v>
      </c>
      <c r="Z76" s="225">
        <v>8.9499999999999993</v>
      </c>
      <c r="AA76" s="225">
        <v>9.5299999999999994</v>
      </c>
      <c r="AB76" s="225">
        <v>10.8</v>
      </c>
    </row>
    <row r="77" spans="1:28" x14ac:dyDescent="0.2">
      <c r="A77" s="262" t="s">
        <v>614</v>
      </c>
      <c r="B77" s="232">
        <v>1.3180000000000001</v>
      </c>
      <c r="C77" s="232">
        <v>1.3220000000000001</v>
      </c>
      <c r="D77" s="232">
        <v>1.3129999999999999</v>
      </c>
      <c r="E77" s="232">
        <v>1.3049999999999999</v>
      </c>
      <c r="F77" s="233">
        <v>1.3</v>
      </c>
      <c r="G77" s="232">
        <v>1.298</v>
      </c>
      <c r="H77" s="232">
        <v>1.296</v>
      </c>
      <c r="I77" s="232">
        <v>1.294</v>
      </c>
      <c r="J77" s="232">
        <v>1.292</v>
      </c>
      <c r="K77" s="233">
        <v>1.29</v>
      </c>
      <c r="L77" s="232">
        <v>1.284</v>
      </c>
      <c r="M77" s="232">
        <v>1.2829999999999999</v>
      </c>
      <c r="N77" s="232">
        <v>1.2809999999999999</v>
      </c>
      <c r="O77" s="232">
        <v>1.2749999999999999</v>
      </c>
      <c r="P77" s="232">
        <v>1.2729999999999999</v>
      </c>
      <c r="Q77" s="263">
        <v>1.2709999999999999</v>
      </c>
      <c r="R77" s="232">
        <v>1.2769999999999999</v>
      </c>
      <c r="S77" s="232">
        <v>1.296</v>
      </c>
      <c r="T77" s="232">
        <v>1.345</v>
      </c>
      <c r="U77" s="232">
        <v>1.4179999999999999</v>
      </c>
      <c r="V77" s="232">
        <v>1.407</v>
      </c>
      <c r="W77" s="232">
        <v>1.3959999999999999</v>
      </c>
      <c r="X77" s="232">
        <v>1.3919999999999999</v>
      </c>
      <c r="Y77" s="232">
        <v>1.3819999999999999</v>
      </c>
      <c r="Z77" s="232">
        <v>1.3779999999999999</v>
      </c>
      <c r="AA77" s="232">
        <v>1.367</v>
      </c>
      <c r="AB77" s="232">
        <v>1.345</v>
      </c>
    </row>
    <row r="78" spans="1:28" x14ac:dyDescent="0.2">
      <c r="A78" s="191" t="s">
        <v>615</v>
      </c>
      <c r="B78" s="225">
        <v>4.2</v>
      </c>
      <c r="C78" s="225">
        <v>5.8</v>
      </c>
      <c r="D78" s="225">
        <v>7.5</v>
      </c>
      <c r="E78" s="225">
        <v>9.1</v>
      </c>
      <c r="F78" s="226">
        <v>10</v>
      </c>
      <c r="G78" s="225">
        <v>10.5</v>
      </c>
      <c r="H78" s="225">
        <v>10.7</v>
      </c>
      <c r="I78" s="225">
        <v>11.1</v>
      </c>
      <c r="J78" s="225">
        <v>11.6</v>
      </c>
      <c r="K78" s="225">
        <v>11.9</v>
      </c>
      <c r="L78" s="226">
        <v>13</v>
      </c>
      <c r="M78" s="225">
        <v>13.1</v>
      </c>
      <c r="N78" s="225">
        <v>13.5</v>
      </c>
      <c r="O78" s="225">
        <v>14.5</v>
      </c>
      <c r="P78" s="225">
        <v>14.8</v>
      </c>
      <c r="Q78" s="260">
        <v>15.2</v>
      </c>
      <c r="R78" s="225">
        <v>15.5</v>
      </c>
      <c r="S78" s="225">
        <v>16.600000000000001</v>
      </c>
      <c r="T78" s="225">
        <v>19.3</v>
      </c>
      <c r="U78" s="225">
        <v>23.2</v>
      </c>
      <c r="V78" s="225">
        <v>25.2</v>
      </c>
      <c r="W78" s="225">
        <v>26.9</v>
      </c>
      <c r="X78" s="225">
        <v>27.6</v>
      </c>
      <c r="Y78" s="225">
        <v>29.2</v>
      </c>
      <c r="Z78" s="225">
        <v>29.9</v>
      </c>
      <c r="AA78" s="225">
        <v>31.5</v>
      </c>
      <c r="AB78" s="225">
        <v>34.700000000000003</v>
      </c>
    </row>
    <row r="79" spans="1:28" x14ac:dyDescent="0.2">
      <c r="A79" s="191" t="s">
        <v>616</v>
      </c>
      <c r="B79" s="226">
        <v>19</v>
      </c>
      <c r="C79" s="226">
        <v>19</v>
      </c>
      <c r="D79" s="226">
        <v>18</v>
      </c>
      <c r="E79" s="226">
        <v>18</v>
      </c>
      <c r="F79" s="226">
        <v>18</v>
      </c>
      <c r="G79" s="226">
        <v>18</v>
      </c>
      <c r="H79" s="226">
        <v>18</v>
      </c>
      <c r="I79" s="226">
        <v>18</v>
      </c>
      <c r="J79" s="226">
        <v>18</v>
      </c>
      <c r="K79" s="226">
        <v>18</v>
      </c>
      <c r="L79" s="226">
        <v>17</v>
      </c>
      <c r="M79" s="226">
        <v>17</v>
      </c>
      <c r="N79" s="226">
        <v>17</v>
      </c>
      <c r="O79" s="226">
        <v>17</v>
      </c>
      <c r="P79" s="226">
        <v>17</v>
      </c>
      <c r="Q79" s="261">
        <v>17</v>
      </c>
      <c r="R79" s="226">
        <v>17</v>
      </c>
      <c r="S79" s="226">
        <v>17</v>
      </c>
      <c r="T79" s="226">
        <v>16</v>
      </c>
      <c r="U79" s="226">
        <v>15</v>
      </c>
      <c r="V79" s="226">
        <v>15</v>
      </c>
      <c r="W79" s="226">
        <v>14</v>
      </c>
      <c r="X79" s="226">
        <v>14</v>
      </c>
      <c r="Y79" s="226">
        <v>14</v>
      </c>
      <c r="Z79" s="226">
        <v>13</v>
      </c>
      <c r="AA79" s="226">
        <v>13</v>
      </c>
      <c r="AB79" s="226">
        <v>12</v>
      </c>
    </row>
    <row r="80" spans="1:28" x14ac:dyDescent="0.2">
      <c r="A80" s="192" t="s">
        <v>617</v>
      </c>
      <c r="B80" s="225">
        <v>0.11</v>
      </c>
      <c r="C80" s="225">
        <v>0.15</v>
      </c>
      <c r="D80" s="225">
        <v>0.19</v>
      </c>
      <c r="E80" s="225">
        <v>0.24</v>
      </c>
      <c r="F80" s="225">
        <v>0.27</v>
      </c>
      <c r="G80" s="225">
        <v>0.28000000000000003</v>
      </c>
      <c r="H80" s="225">
        <v>0.28999999999999998</v>
      </c>
      <c r="I80" s="225">
        <v>0.3</v>
      </c>
      <c r="J80" s="225">
        <v>0.31</v>
      </c>
      <c r="K80" s="225">
        <v>0.32</v>
      </c>
      <c r="L80" s="225">
        <v>0.35</v>
      </c>
      <c r="M80" s="225">
        <v>0.36</v>
      </c>
      <c r="N80" s="225">
        <v>0.37</v>
      </c>
      <c r="O80" s="225">
        <v>0.4</v>
      </c>
      <c r="P80" s="225">
        <v>0.41</v>
      </c>
      <c r="Q80" s="260">
        <v>0.42</v>
      </c>
      <c r="R80" s="225">
        <v>0.43</v>
      </c>
      <c r="S80" s="225">
        <v>0.47</v>
      </c>
      <c r="T80" s="225">
        <v>0.56000000000000005</v>
      </c>
      <c r="U80" s="225">
        <v>0.69</v>
      </c>
      <c r="V80" s="225">
        <v>0.76</v>
      </c>
      <c r="W80" s="225">
        <v>0.83</v>
      </c>
      <c r="X80" s="225">
        <v>0.85</v>
      </c>
      <c r="Y80" s="225">
        <v>0.92</v>
      </c>
      <c r="Z80" s="225">
        <v>0.94</v>
      </c>
      <c r="AA80" s="225">
        <v>1.01</v>
      </c>
      <c r="AB80" s="225">
        <v>1.1399999999999999</v>
      </c>
    </row>
    <row r="82" spans="1:12" ht="51" x14ac:dyDescent="0.2">
      <c r="A82" s="266" t="s">
        <v>607</v>
      </c>
      <c r="B82" s="210" t="s">
        <v>622</v>
      </c>
      <c r="C82" s="231" t="s">
        <v>628</v>
      </c>
      <c r="D82" s="230" t="s">
        <v>609</v>
      </c>
      <c r="E82" s="227" t="s">
        <v>610</v>
      </c>
      <c r="F82" s="230" t="s">
        <v>611</v>
      </c>
      <c r="G82" s="230" t="s">
        <v>612</v>
      </c>
      <c r="H82" s="230" t="s">
        <v>613</v>
      </c>
      <c r="I82" s="230" t="s">
        <v>614</v>
      </c>
      <c r="J82" s="230" t="s">
        <v>615</v>
      </c>
      <c r="K82" s="230" t="s">
        <v>616</v>
      </c>
      <c r="L82" s="231" t="s">
        <v>617</v>
      </c>
    </row>
    <row r="83" spans="1:12" ht="17.25" x14ac:dyDescent="0.2">
      <c r="A83" s="200">
        <v>207</v>
      </c>
      <c r="B83" s="211">
        <v>151</v>
      </c>
      <c r="C83" s="223">
        <v>66</v>
      </c>
      <c r="D83" s="223">
        <v>22.2</v>
      </c>
      <c r="E83" s="229">
        <v>17.5</v>
      </c>
      <c r="F83" s="226">
        <v>9</v>
      </c>
      <c r="G83" s="225">
        <v>0.28999999999999998</v>
      </c>
      <c r="H83" s="225">
        <v>0.35</v>
      </c>
      <c r="I83" s="232">
        <v>1.3029999999999999</v>
      </c>
      <c r="J83" s="225">
        <v>1.5</v>
      </c>
      <c r="K83" s="226">
        <v>30</v>
      </c>
      <c r="L83" s="225">
        <v>0.03</v>
      </c>
    </row>
    <row r="84" spans="1:12" ht="17.25" x14ac:dyDescent="0.2">
      <c r="A84" s="200">
        <v>300</v>
      </c>
      <c r="B84" s="211">
        <v>244</v>
      </c>
      <c r="C84" s="223">
        <v>66</v>
      </c>
      <c r="D84" s="223">
        <v>32.1</v>
      </c>
      <c r="E84" s="229">
        <v>25.6</v>
      </c>
      <c r="F84" s="225">
        <v>13.5</v>
      </c>
      <c r="G84" s="225">
        <v>0.37</v>
      </c>
      <c r="H84" s="225">
        <v>0.49</v>
      </c>
      <c r="I84" s="232">
        <v>1.2470000000000001</v>
      </c>
      <c r="J84" s="225">
        <v>2.2000000000000002</v>
      </c>
      <c r="K84" s="226">
        <v>25</v>
      </c>
      <c r="L84" s="225">
        <v>0.05</v>
      </c>
    </row>
    <row r="85" spans="1:12" ht="17.25" x14ac:dyDescent="0.2">
      <c r="A85" s="200">
        <v>400</v>
      </c>
      <c r="B85" s="211">
        <v>344</v>
      </c>
      <c r="C85" s="223">
        <v>66</v>
      </c>
      <c r="D85" s="223">
        <v>41.5</v>
      </c>
      <c r="E85" s="228">
        <v>33</v>
      </c>
      <c r="F85" s="225">
        <v>17.3</v>
      </c>
      <c r="G85" s="225">
        <v>0.45</v>
      </c>
      <c r="H85" s="225">
        <v>0.63</v>
      </c>
      <c r="I85" s="232">
        <v>1.2609999999999999</v>
      </c>
      <c r="J85" s="225">
        <v>2.8</v>
      </c>
      <c r="K85" s="226">
        <v>25</v>
      </c>
      <c r="L85" s="225">
        <v>0.06</v>
      </c>
    </row>
    <row r="86" spans="1:12" ht="17.25" x14ac:dyDescent="0.2">
      <c r="A86" s="200">
        <v>500</v>
      </c>
      <c r="B86" s="212">
        <v>444</v>
      </c>
      <c r="C86" s="223">
        <v>66</v>
      </c>
      <c r="D86" s="223">
        <v>50.6</v>
      </c>
      <c r="E86" s="229">
        <v>40.1</v>
      </c>
      <c r="F86" s="225">
        <v>20.9</v>
      </c>
      <c r="G86" s="225">
        <v>0.53</v>
      </c>
      <c r="H86" s="225">
        <v>0.77</v>
      </c>
      <c r="I86" s="232">
        <v>1.2749999999999999</v>
      </c>
      <c r="J86" s="225">
        <v>3.4</v>
      </c>
      <c r="K86" s="226">
        <v>25</v>
      </c>
      <c r="L86" s="225">
        <v>0.08</v>
      </c>
    </row>
    <row r="87" spans="1:12" ht="17.25" x14ac:dyDescent="0.2">
      <c r="A87" s="202">
        <v>556</v>
      </c>
      <c r="B87" s="213">
        <v>500</v>
      </c>
      <c r="C87" s="223">
        <v>66</v>
      </c>
      <c r="D87" s="223">
        <v>55.6</v>
      </c>
      <c r="E87" s="228">
        <v>44</v>
      </c>
      <c r="F87" s="225">
        <v>22.9</v>
      </c>
      <c r="G87" s="225">
        <v>0.57999999999999996</v>
      </c>
      <c r="H87" s="225">
        <v>0.85</v>
      </c>
      <c r="I87" s="232">
        <v>1.2829999999999999</v>
      </c>
      <c r="J87" s="225">
        <v>3.8</v>
      </c>
      <c r="K87" s="226">
        <v>25</v>
      </c>
      <c r="L87" s="225">
        <v>0.09</v>
      </c>
    </row>
    <row r="88" spans="1:12" ht="17.25" x14ac:dyDescent="0.2">
      <c r="A88" s="203">
        <v>586</v>
      </c>
      <c r="B88" s="214">
        <v>530</v>
      </c>
      <c r="C88" s="223">
        <v>66</v>
      </c>
      <c r="D88" s="223">
        <v>58.3</v>
      </c>
      <c r="E88" s="229">
        <v>46.1</v>
      </c>
      <c r="F88" s="225">
        <v>23.9</v>
      </c>
      <c r="G88" s="225">
        <v>0.6</v>
      </c>
      <c r="H88" s="225">
        <v>0.89</v>
      </c>
      <c r="I88" s="232">
        <v>1.2869999999999999</v>
      </c>
      <c r="J88" s="226">
        <v>4</v>
      </c>
      <c r="K88" s="226">
        <v>25</v>
      </c>
      <c r="L88" s="225">
        <v>0.09</v>
      </c>
    </row>
    <row r="89" spans="1:12" ht="17.25" x14ac:dyDescent="0.2">
      <c r="A89" s="200">
        <v>600</v>
      </c>
      <c r="B89" s="215">
        <v>544</v>
      </c>
      <c r="C89" s="223">
        <v>66</v>
      </c>
      <c r="D89" s="223">
        <v>59.6</v>
      </c>
      <c r="E89" s="229">
        <v>47.1</v>
      </c>
      <c r="F89" s="225">
        <v>24.4</v>
      </c>
      <c r="G89" s="225">
        <v>0.61</v>
      </c>
      <c r="H89" s="225">
        <v>0.91</v>
      </c>
      <c r="I89" s="232">
        <v>1.2889999999999999</v>
      </c>
      <c r="J89" s="225">
        <v>4.0999999999999996</v>
      </c>
      <c r="K89" s="226">
        <v>24</v>
      </c>
      <c r="L89" s="225">
        <v>0.09</v>
      </c>
    </row>
    <row r="90" spans="1:12" ht="17.25" x14ac:dyDescent="0.2">
      <c r="A90" s="203">
        <v>626</v>
      </c>
      <c r="B90" s="214">
        <v>570</v>
      </c>
      <c r="C90" s="223">
        <v>66</v>
      </c>
      <c r="D90" s="223">
        <v>61.9</v>
      </c>
      <c r="E90" s="229">
        <v>48.9</v>
      </c>
      <c r="F90" s="225">
        <v>25.3</v>
      </c>
      <c r="G90" s="225">
        <v>0.63</v>
      </c>
      <c r="H90" s="225">
        <v>0.95</v>
      </c>
      <c r="I90" s="232">
        <v>1.292</v>
      </c>
      <c r="J90" s="225">
        <v>4.2</v>
      </c>
      <c r="K90" s="226">
        <v>25</v>
      </c>
      <c r="L90" s="225">
        <v>0.12</v>
      </c>
    </row>
    <row r="91" spans="1:12" ht="17.25" x14ac:dyDescent="0.2">
      <c r="A91" s="202">
        <v>656</v>
      </c>
      <c r="B91" s="213">
        <v>600</v>
      </c>
      <c r="C91" s="223">
        <v>66</v>
      </c>
      <c r="D91" s="223">
        <v>64.7</v>
      </c>
      <c r="E91" s="228">
        <v>51</v>
      </c>
      <c r="F91" s="225">
        <v>26.3</v>
      </c>
      <c r="G91" s="225">
        <v>0.66</v>
      </c>
      <c r="H91" s="225">
        <v>0.99</v>
      </c>
      <c r="I91" s="232">
        <v>1.2969999999999999</v>
      </c>
      <c r="J91" s="225">
        <v>4.4000000000000004</v>
      </c>
      <c r="K91" s="226">
        <v>25</v>
      </c>
      <c r="L91" s="225">
        <v>0.1</v>
      </c>
    </row>
    <row r="92" spans="1:12" ht="17.25" x14ac:dyDescent="0.2">
      <c r="A92" s="204">
        <v>676</v>
      </c>
      <c r="B92" s="216">
        <v>620</v>
      </c>
      <c r="C92" s="223">
        <v>66</v>
      </c>
      <c r="D92" s="223">
        <v>66.5</v>
      </c>
      <c r="E92" s="229">
        <v>52.4</v>
      </c>
      <c r="F92" s="226">
        <v>27</v>
      </c>
      <c r="G92" s="225">
        <v>0.67</v>
      </c>
      <c r="H92" s="225">
        <v>1.02</v>
      </c>
      <c r="I92" s="232">
        <v>1.2989999999999999</v>
      </c>
      <c r="J92" s="225">
        <v>4.5</v>
      </c>
      <c r="K92" s="226">
        <v>24</v>
      </c>
      <c r="L92" s="225">
        <v>0.11</v>
      </c>
    </row>
    <row r="93" spans="1:12" ht="17.25" x14ac:dyDescent="0.2">
      <c r="A93" s="200">
        <v>750</v>
      </c>
      <c r="B93" s="215">
        <v>694</v>
      </c>
      <c r="C93" s="223">
        <v>66</v>
      </c>
      <c r="D93" s="223">
        <v>73.2</v>
      </c>
      <c r="E93" s="229">
        <v>57.6</v>
      </c>
      <c r="F93" s="225">
        <v>29.5</v>
      </c>
      <c r="G93" s="225">
        <v>0.73</v>
      </c>
      <c r="H93" s="225">
        <v>1.1200000000000001</v>
      </c>
      <c r="I93" s="233">
        <v>1.31</v>
      </c>
      <c r="J93" s="226">
        <v>5</v>
      </c>
      <c r="K93" s="226">
        <v>24</v>
      </c>
      <c r="L93" s="225">
        <v>0.12</v>
      </c>
    </row>
    <row r="94" spans="1:12" ht="17.25" x14ac:dyDescent="0.2">
      <c r="A94" s="202">
        <v>756</v>
      </c>
      <c r="B94" s="213">
        <v>700</v>
      </c>
      <c r="C94" s="223">
        <v>66</v>
      </c>
      <c r="D94" s="223">
        <v>73.7</v>
      </c>
      <c r="E94" s="228">
        <v>58</v>
      </c>
      <c r="F94" s="225">
        <v>29.7</v>
      </c>
      <c r="G94" s="225">
        <v>0.74</v>
      </c>
      <c r="H94" s="225">
        <v>1.1299999999999999</v>
      </c>
      <c r="I94" s="232">
        <v>1.3109999999999999</v>
      </c>
      <c r="J94" s="226">
        <v>5</v>
      </c>
      <c r="K94" s="226">
        <v>24</v>
      </c>
      <c r="L94" s="225">
        <v>0.12</v>
      </c>
    </row>
    <row r="95" spans="1:12" ht="17.25" x14ac:dyDescent="0.2">
      <c r="A95" s="205">
        <v>786</v>
      </c>
      <c r="B95" s="217">
        <v>730</v>
      </c>
      <c r="C95" s="223">
        <v>66</v>
      </c>
      <c r="D95" s="223">
        <v>76.400000000000006</v>
      </c>
      <c r="E95" s="229">
        <v>60.1</v>
      </c>
      <c r="F95" s="225">
        <v>30.7</v>
      </c>
      <c r="G95" s="225">
        <v>0.76</v>
      </c>
      <c r="H95" s="225">
        <v>1.18</v>
      </c>
      <c r="I95" s="232">
        <v>1.3149999999999999</v>
      </c>
      <c r="J95" s="225">
        <v>5.2</v>
      </c>
      <c r="K95" s="226">
        <v>25</v>
      </c>
      <c r="L95" s="225">
        <v>0.1</v>
      </c>
    </row>
    <row r="96" spans="1:12" ht="17.25" x14ac:dyDescent="0.2">
      <c r="A96" s="202">
        <v>856</v>
      </c>
      <c r="B96" s="213">
        <v>800</v>
      </c>
      <c r="C96" s="223">
        <v>66</v>
      </c>
      <c r="D96" s="223">
        <v>82.8</v>
      </c>
      <c r="E96" s="229">
        <v>65.099999999999994</v>
      </c>
      <c r="F96" s="225">
        <v>33.1</v>
      </c>
      <c r="G96" s="225">
        <v>0.82</v>
      </c>
      <c r="H96" s="225">
        <v>1.27</v>
      </c>
      <c r="I96" s="232">
        <v>1.3240000000000001</v>
      </c>
      <c r="J96" s="225">
        <v>5.6</v>
      </c>
      <c r="K96" s="226">
        <v>24</v>
      </c>
      <c r="L96" s="225">
        <v>0.13</v>
      </c>
    </row>
    <row r="97" spans="1:12" ht="17.25" x14ac:dyDescent="0.2">
      <c r="A97" s="206">
        <v>876</v>
      </c>
      <c r="B97" s="218">
        <v>820</v>
      </c>
      <c r="C97" s="223">
        <v>66</v>
      </c>
      <c r="D97" s="225">
        <v>84.7</v>
      </c>
      <c r="E97" s="229">
        <v>66.5</v>
      </c>
      <c r="F97" s="225">
        <v>33.700000000000003</v>
      </c>
      <c r="G97" s="225">
        <v>0.83</v>
      </c>
      <c r="H97" s="225">
        <v>1.3</v>
      </c>
      <c r="I97" s="232">
        <v>1.327</v>
      </c>
      <c r="J97" s="225">
        <v>5.7</v>
      </c>
      <c r="K97" s="226">
        <v>24</v>
      </c>
      <c r="L97" s="225">
        <v>0.14000000000000001</v>
      </c>
    </row>
    <row r="98" spans="1:12" ht="17.25" x14ac:dyDescent="0.2">
      <c r="A98" s="207">
        <v>900</v>
      </c>
      <c r="B98" s="219">
        <v>844</v>
      </c>
      <c r="C98" s="223">
        <v>66</v>
      </c>
      <c r="D98" s="225">
        <v>86.9</v>
      </c>
      <c r="E98" s="229">
        <v>68.099999999999994</v>
      </c>
      <c r="F98" s="225">
        <v>34.5</v>
      </c>
      <c r="G98" s="225">
        <v>0.85</v>
      </c>
      <c r="H98" s="225">
        <v>1.33</v>
      </c>
      <c r="I98" s="232">
        <v>1.331</v>
      </c>
      <c r="J98" s="225">
        <v>5.9</v>
      </c>
      <c r="K98" s="226">
        <v>24</v>
      </c>
      <c r="L98" s="225">
        <v>0.14000000000000001</v>
      </c>
    </row>
    <row r="99" spans="1:12" ht="17.25" x14ac:dyDescent="0.2">
      <c r="A99" s="203">
        <v>926</v>
      </c>
      <c r="B99" s="214">
        <v>870</v>
      </c>
      <c r="C99" s="223">
        <v>66</v>
      </c>
      <c r="D99" s="225">
        <v>89.2</v>
      </c>
      <c r="E99" s="228">
        <v>70</v>
      </c>
      <c r="F99" s="225">
        <v>35.4</v>
      </c>
      <c r="G99" s="225">
        <v>0.78</v>
      </c>
      <c r="H99" s="225">
        <v>1.29</v>
      </c>
      <c r="I99" s="232">
        <v>1.3320000000000001</v>
      </c>
      <c r="J99" s="226">
        <v>6</v>
      </c>
      <c r="K99" s="226">
        <v>24</v>
      </c>
      <c r="L99" s="225">
        <v>0.14000000000000001</v>
      </c>
    </row>
    <row r="100" spans="1:12" ht="17.25" x14ac:dyDescent="0.2">
      <c r="A100" s="207">
        <v>1000</v>
      </c>
      <c r="B100" s="219">
        <v>944</v>
      </c>
      <c r="C100" s="223">
        <v>66</v>
      </c>
      <c r="D100" s="225">
        <v>95.9</v>
      </c>
      <c r="E100" s="229">
        <v>75.2</v>
      </c>
      <c r="F100" s="226">
        <v>38</v>
      </c>
      <c r="G100" s="225">
        <v>0.93</v>
      </c>
      <c r="H100" s="225">
        <v>1.48</v>
      </c>
      <c r="I100" s="232">
        <v>1.335</v>
      </c>
      <c r="J100" s="225">
        <v>6.5</v>
      </c>
      <c r="K100" s="226">
        <v>24</v>
      </c>
      <c r="L100" s="225">
        <v>0.15</v>
      </c>
    </row>
    <row r="101" spans="1:12" ht="17.25" x14ac:dyDescent="0.2">
      <c r="A101" s="208">
        <v>1200</v>
      </c>
      <c r="B101" s="220">
        <v>1144</v>
      </c>
      <c r="C101" s="223">
        <v>66</v>
      </c>
      <c r="D101" s="225">
        <v>114.3</v>
      </c>
      <c r="E101" s="229">
        <v>89.5</v>
      </c>
      <c r="F101" s="225">
        <v>45.1</v>
      </c>
      <c r="G101" s="225">
        <v>1.0900000000000001</v>
      </c>
      <c r="H101" s="225">
        <v>1.76</v>
      </c>
      <c r="I101" s="232">
        <v>1.343</v>
      </c>
      <c r="J101" s="225">
        <v>7.7</v>
      </c>
      <c r="K101" s="226">
        <v>23</v>
      </c>
      <c r="L101" s="225">
        <v>0.18</v>
      </c>
    </row>
    <row r="102" spans="1:12" ht="17.25" x14ac:dyDescent="0.2">
      <c r="A102" s="208">
        <v>1500</v>
      </c>
      <c r="B102" s="220">
        <v>1444</v>
      </c>
      <c r="C102" s="223">
        <v>66</v>
      </c>
      <c r="D102" s="225">
        <v>142.6</v>
      </c>
      <c r="E102" s="229">
        <v>111.4</v>
      </c>
      <c r="F102" s="225">
        <v>55.8</v>
      </c>
      <c r="G102" s="225">
        <v>1.33</v>
      </c>
      <c r="H102" s="225">
        <v>2.1800000000000002</v>
      </c>
      <c r="I102" s="232">
        <v>1.355</v>
      </c>
      <c r="J102" s="225">
        <v>9.6</v>
      </c>
      <c r="K102" s="226">
        <v>23</v>
      </c>
      <c r="L102" s="225">
        <v>0.23</v>
      </c>
    </row>
    <row r="103" spans="1:12" ht="17.25" x14ac:dyDescent="0.2">
      <c r="A103" s="209">
        <v>1656</v>
      </c>
      <c r="B103" s="221">
        <v>1600</v>
      </c>
      <c r="C103" s="223">
        <v>66</v>
      </c>
      <c r="D103" s="225">
        <v>157.6</v>
      </c>
      <c r="E103" s="229">
        <v>123.1</v>
      </c>
      <c r="F103" s="225">
        <v>61.6</v>
      </c>
      <c r="G103" s="225">
        <v>1.46</v>
      </c>
      <c r="H103" s="225">
        <v>2.4</v>
      </c>
      <c r="I103" s="232">
        <v>1.355</v>
      </c>
      <c r="J103" s="225">
        <v>10.6</v>
      </c>
      <c r="K103" s="226">
        <v>23</v>
      </c>
      <c r="L103" s="225">
        <v>0.25</v>
      </c>
    </row>
    <row r="104" spans="1:12" ht="17.25" x14ac:dyDescent="0.2">
      <c r="A104" s="207">
        <v>1800</v>
      </c>
      <c r="B104" s="219">
        <v>1744</v>
      </c>
      <c r="C104" s="223">
        <v>66</v>
      </c>
      <c r="D104" s="225">
        <v>171.7</v>
      </c>
      <c r="E104" s="229">
        <v>134.1</v>
      </c>
      <c r="F104" s="225">
        <v>67.099999999999994</v>
      </c>
      <c r="G104" s="225">
        <v>1.58</v>
      </c>
      <c r="H104" s="225">
        <v>2.6</v>
      </c>
      <c r="I104" s="232">
        <v>1.355</v>
      </c>
      <c r="J104" s="225">
        <v>11.5</v>
      </c>
      <c r="K104" s="226">
        <v>22</v>
      </c>
      <c r="L104" s="225">
        <v>0.28000000000000003</v>
      </c>
    </row>
    <row r="105" spans="1:12" ht="17.25" x14ac:dyDescent="0.2">
      <c r="A105" s="209">
        <v>1856</v>
      </c>
      <c r="B105" s="221">
        <v>1800</v>
      </c>
      <c r="C105" s="223">
        <v>66</v>
      </c>
      <c r="D105" s="225">
        <v>177.2</v>
      </c>
      <c r="E105" s="229">
        <v>138.4</v>
      </c>
      <c r="F105" s="225">
        <v>69.3</v>
      </c>
      <c r="G105" s="225">
        <v>1.62</v>
      </c>
      <c r="H105" s="225">
        <v>2.69</v>
      </c>
      <c r="I105" s="232">
        <v>1.355</v>
      </c>
      <c r="J105" s="225">
        <v>11.9</v>
      </c>
      <c r="K105" s="226">
        <v>23</v>
      </c>
      <c r="L105" s="225">
        <v>0.28000000000000003</v>
      </c>
    </row>
    <row r="106" spans="1:12" ht="17.25" x14ac:dyDescent="0.2">
      <c r="A106" s="207">
        <v>2000</v>
      </c>
      <c r="B106" s="219">
        <v>1944</v>
      </c>
      <c r="C106" s="223">
        <v>66</v>
      </c>
      <c r="D106" s="225">
        <v>191.7</v>
      </c>
      <c r="E106" s="229">
        <v>149.80000000000001</v>
      </c>
      <c r="F106" s="226">
        <v>75</v>
      </c>
      <c r="G106" s="225">
        <v>1.74</v>
      </c>
      <c r="H106" s="225">
        <v>2.89</v>
      </c>
      <c r="I106" s="232">
        <v>1.355</v>
      </c>
      <c r="J106" s="225">
        <v>12.9</v>
      </c>
      <c r="K106" s="226">
        <v>22</v>
      </c>
      <c r="L106" s="225">
        <v>0.31</v>
      </c>
    </row>
    <row r="107" spans="1:12" ht="17.25" x14ac:dyDescent="0.2">
      <c r="A107" s="209">
        <v>2056</v>
      </c>
      <c r="B107" s="221">
        <v>2000</v>
      </c>
      <c r="C107" s="223">
        <v>66</v>
      </c>
      <c r="D107" s="225">
        <v>197.4</v>
      </c>
      <c r="E107" s="229">
        <v>154.19999999999999</v>
      </c>
      <c r="F107" s="225">
        <v>77.2</v>
      </c>
      <c r="G107" s="225">
        <v>1.78</v>
      </c>
      <c r="H107" s="225">
        <v>2.98</v>
      </c>
      <c r="I107" s="232">
        <v>1.355</v>
      </c>
      <c r="J107" s="225">
        <v>13.3</v>
      </c>
      <c r="K107" s="226">
        <v>23</v>
      </c>
      <c r="L107" s="225">
        <v>0.31</v>
      </c>
    </row>
    <row r="108" spans="1:12" ht="17.25" x14ac:dyDescent="0.2">
      <c r="A108" s="207">
        <v>2200</v>
      </c>
      <c r="B108" s="219">
        <v>2144</v>
      </c>
      <c r="C108" s="223">
        <v>66</v>
      </c>
      <c r="D108" s="225">
        <v>212.3</v>
      </c>
      <c r="E108" s="229">
        <v>165.9</v>
      </c>
      <c r="F108" s="226">
        <v>83</v>
      </c>
      <c r="G108" s="225">
        <v>1.9</v>
      </c>
      <c r="H108" s="225">
        <v>3.17</v>
      </c>
      <c r="I108" s="232">
        <v>1.355</v>
      </c>
      <c r="J108" s="225">
        <v>14.3</v>
      </c>
      <c r="K108" s="226">
        <v>22</v>
      </c>
      <c r="L108" s="225">
        <v>0.34</v>
      </c>
    </row>
    <row r="109" spans="1:12" ht="17.25" x14ac:dyDescent="0.2">
      <c r="A109" s="208">
        <v>2500</v>
      </c>
      <c r="B109" s="220">
        <v>2444</v>
      </c>
      <c r="C109" s="223">
        <v>66</v>
      </c>
      <c r="D109" s="225">
        <v>244.4</v>
      </c>
      <c r="E109" s="229">
        <v>190.9</v>
      </c>
      <c r="F109" s="225">
        <v>95.5</v>
      </c>
      <c r="G109" s="225">
        <v>2.14</v>
      </c>
      <c r="H109" s="225">
        <v>3.59</v>
      </c>
      <c r="I109" s="232">
        <v>1.355</v>
      </c>
      <c r="J109" s="225">
        <v>16.399999999999999</v>
      </c>
      <c r="K109" s="226">
        <v>22</v>
      </c>
      <c r="L109" s="225">
        <v>0.38</v>
      </c>
    </row>
    <row r="111" spans="1:12" ht="51" x14ac:dyDescent="0.2">
      <c r="A111" s="266" t="s">
        <v>607</v>
      </c>
      <c r="B111" s="210" t="s">
        <v>622</v>
      </c>
      <c r="C111" s="231" t="s">
        <v>628</v>
      </c>
      <c r="D111" s="230" t="s">
        <v>609</v>
      </c>
      <c r="E111" s="227" t="s">
        <v>610</v>
      </c>
      <c r="F111" s="230" t="s">
        <v>611</v>
      </c>
      <c r="G111" s="230" t="s">
        <v>612</v>
      </c>
      <c r="H111" s="230" t="s">
        <v>613</v>
      </c>
      <c r="I111" s="230" t="s">
        <v>614</v>
      </c>
      <c r="J111" s="230" t="s">
        <v>615</v>
      </c>
      <c r="K111" s="230" t="s">
        <v>616</v>
      </c>
      <c r="L111" s="231" t="s">
        <v>617</v>
      </c>
    </row>
    <row r="112" spans="1:12" ht="17.25" x14ac:dyDescent="0.2">
      <c r="A112" s="200">
        <v>207</v>
      </c>
      <c r="B112" s="211">
        <v>151</v>
      </c>
      <c r="C112" s="223">
        <v>107</v>
      </c>
      <c r="D112" s="223">
        <v>31.5</v>
      </c>
      <c r="E112" s="229">
        <v>24.8</v>
      </c>
      <c r="F112" s="225">
        <v>12.7</v>
      </c>
      <c r="G112" s="225">
        <v>0.42</v>
      </c>
      <c r="H112" s="225">
        <v>0.53</v>
      </c>
      <c r="I112" s="232">
        <v>1.3140000000000001</v>
      </c>
      <c r="J112" s="225">
        <v>2.1</v>
      </c>
      <c r="K112" s="226">
        <v>23</v>
      </c>
      <c r="L112" s="225">
        <v>0.05</v>
      </c>
    </row>
    <row r="113" spans="1:12" ht="17.25" x14ac:dyDescent="0.2">
      <c r="A113" s="200">
        <v>300</v>
      </c>
      <c r="B113" s="211">
        <v>244</v>
      </c>
      <c r="C113" s="223">
        <v>107</v>
      </c>
      <c r="D113" s="223">
        <v>43.7</v>
      </c>
      <c r="E113" s="229">
        <v>34.700000000000003</v>
      </c>
      <c r="F113" s="225">
        <v>18.100000000000001</v>
      </c>
      <c r="G113" s="225">
        <v>0.54</v>
      </c>
      <c r="H113" s="225">
        <v>0.74</v>
      </c>
      <c r="I113" s="232">
        <v>1.2729999999999999</v>
      </c>
      <c r="J113" s="226">
        <v>3</v>
      </c>
      <c r="K113" s="226">
        <v>23</v>
      </c>
      <c r="L113" s="225">
        <v>7.0000000000000007E-2</v>
      </c>
    </row>
    <row r="114" spans="1:12" ht="17.25" x14ac:dyDescent="0.2">
      <c r="A114" s="200">
        <v>400</v>
      </c>
      <c r="B114" s="211">
        <v>344</v>
      </c>
      <c r="C114" s="223">
        <v>107</v>
      </c>
      <c r="D114" s="223">
        <v>56.9</v>
      </c>
      <c r="E114" s="229">
        <v>45.1</v>
      </c>
      <c r="F114" s="225">
        <v>23.4</v>
      </c>
      <c r="G114" s="225">
        <v>0.66</v>
      </c>
      <c r="H114" s="225">
        <v>0.95</v>
      </c>
      <c r="I114" s="232">
        <v>1.284</v>
      </c>
      <c r="J114" s="225">
        <v>3.9</v>
      </c>
      <c r="K114" s="226">
        <v>23</v>
      </c>
      <c r="L114" s="225">
        <v>0.1</v>
      </c>
    </row>
    <row r="115" spans="1:12" ht="17.25" x14ac:dyDescent="0.2">
      <c r="A115" s="200">
        <v>500</v>
      </c>
      <c r="B115" s="212">
        <v>444</v>
      </c>
      <c r="C115" s="223">
        <v>107</v>
      </c>
      <c r="D115" s="223">
        <v>69.900000000000006</v>
      </c>
      <c r="E115" s="229">
        <v>55.2</v>
      </c>
      <c r="F115" s="225">
        <v>28.5</v>
      </c>
      <c r="G115" s="225">
        <v>0.79</v>
      </c>
      <c r="H115" s="225">
        <v>1.1599999999999999</v>
      </c>
      <c r="I115" s="232">
        <v>1.296</v>
      </c>
      <c r="J115" s="225">
        <v>4.7</v>
      </c>
      <c r="K115" s="226">
        <v>22</v>
      </c>
      <c r="L115" s="225">
        <v>0.12</v>
      </c>
    </row>
    <row r="116" spans="1:12" ht="17.25" x14ac:dyDescent="0.2">
      <c r="A116" s="202">
        <v>556</v>
      </c>
      <c r="B116" s="213">
        <v>500</v>
      </c>
      <c r="C116" s="223">
        <v>107</v>
      </c>
      <c r="D116" s="223">
        <v>77.2</v>
      </c>
      <c r="E116" s="229">
        <v>60.9</v>
      </c>
      <c r="F116" s="225">
        <v>31.3</v>
      </c>
      <c r="G116" s="225">
        <v>0.85</v>
      </c>
      <c r="H116" s="225">
        <v>1.28</v>
      </c>
      <c r="I116" s="232">
        <v>1.302</v>
      </c>
      <c r="J116" s="225">
        <v>5.2</v>
      </c>
      <c r="K116" s="226">
        <v>22</v>
      </c>
      <c r="L116" s="225">
        <v>0.13</v>
      </c>
    </row>
    <row r="117" spans="1:12" ht="17.25" x14ac:dyDescent="0.2">
      <c r="A117" s="203">
        <v>586</v>
      </c>
      <c r="B117" s="214">
        <v>530</v>
      </c>
      <c r="C117" s="223">
        <v>107</v>
      </c>
      <c r="D117" s="224">
        <v>81</v>
      </c>
      <c r="E117" s="229">
        <v>63.8</v>
      </c>
      <c r="F117" s="225">
        <v>32.799999999999997</v>
      </c>
      <c r="G117" s="225">
        <v>0.89</v>
      </c>
      <c r="H117" s="225">
        <v>1.34</v>
      </c>
      <c r="I117" s="232">
        <v>1.306</v>
      </c>
      <c r="J117" s="225">
        <v>5.5</v>
      </c>
      <c r="K117" s="226">
        <v>22</v>
      </c>
      <c r="L117" s="225">
        <v>0.14000000000000001</v>
      </c>
    </row>
    <row r="118" spans="1:12" ht="17.25" x14ac:dyDescent="0.2">
      <c r="A118" s="200">
        <v>600</v>
      </c>
      <c r="B118" s="215">
        <v>544</v>
      </c>
      <c r="C118" s="223">
        <v>107</v>
      </c>
      <c r="D118" s="223">
        <v>82.8</v>
      </c>
      <c r="E118" s="229">
        <v>65.2</v>
      </c>
      <c r="F118" s="225">
        <v>33.5</v>
      </c>
      <c r="G118" s="225">
        <v>0.91</v>
      </c>
      <c r="H118" s="225">
        <v>1.37</v>
      </c>
      <c r="I118" s="232">
        <v>1.3069999999999999</v>
      </c>
      <c r="J118" s="225">
        <v>5.6</v>
      </c>
      <c r="K118" s="226">
        <v>22</v>
      </c>
      <c r="L118" s="225">
        <v>0.14000000000000001</v>
      </c>
    </row>
    <row r="119" spans="1:12" ht="17.25" x14ac:dyDescent="0.2">
      <c r="A119" s="203">
        <v>626</v>
      </c>
      <c r="B119" s="214">
        <v>570</v>
      </c>
      <c r="C119" s="223">
        <v>107</v>
      </c>
      <c r="D119" s="223">
        <v>86.1</v>
      </c>
      <c r="E119" s="229">
        <v>67.8</v>
      </c>
      <c r="F119" s="225">
        <v>34.700000000000003</v>
      </c>
      <c r="G119" s="225">
        <v>0.94</v>
      </c>
      <c r="H119" s="225">
        <v>1.43</v>
      </c>
      <c r="I119" s="233">
        <v>1.31</v>
      </c>
      <c r="J119" s="225">
        <v>5.8</v>
      </c>
      <c r="K119" s="226">
        <v>22</v>
      </c>
      <c r="L119" s="225">
        <v>0.15</v>
      </c>
    </row>
    <row r="120" spans="1:12" ht="17.25" x14ac:dyDescent="0.2">
      <c r="A120" s="202">
        <v>656</v>
      </c>
      <c r="B120" s="213">
        <v>600</v>
      </c>
      <c r="C120" s="223">
        <v>107</v>
      </c>
      <c r="D120" s="224">
        <v>90</v>
      </c>
      <c r="E120" s="229">
        <v>70.8</v>
      </c>
      <c r="F120" s="225">
        <v>36.200000000000003</v>
      </c>
      <c r="G120" s="225">
        <v>0.97</v>
      </c>
      <c r="H120" s="225">
        <v>1.49</v>
      </c>
      <c r="I120" s="232">
        <v>1.3140000000000001</v>
      </c>
      <c r="J120" s="225">
        <v>6.1</v>
      </c>
      <c r="K120" s="226">
        <v>22</v>
      </c>
      <c r="L120" s="225">
        <v>0.15</v>
      </c>
    </row>
    <row r="121" spans="1:12" ht="17.25" x14ac:dyDescent="0.2">
      <c r="A121" s="204">
        <v>676</v>
      </c>
      <c r="B121" s="216">
        <v>620</v>
      </c>
      <c r="C121" s="223">
        <v>107</v>
      </c>
      <c r="D121" s="223">
        <v>92.5</v>
      </c>
      <c r="E121" s="229">
        <v>72.8</v>
      </c>
      <c r="F121" s="225">
        <v>37.200000000000003</v>
      </c>
      <c r="G121" s="226">
        <v>1</v>
      </c>
      <c r="H121" s="225">
        <v>1.53</v>
      </c>
      <c r="I121" s="232">
        <v>1.3160000000000001</v>
      </c>
      <c r="J121" s="225">
        <v>6.3</v>
      </c>
      <c r="K121" s="226">
        <v>22</v>
      </c>
      <c r="L121" s="225">
        <v>0.16</v>
      </c>
    </row>
    <row r="122" spans="1:12" ht="17.25" x14ac:dyDescent="0.2">
      <c r="A122" s="200">
        <v>750</v>
      </c>
      <c r="B122" s="215">
        <v>694</v>
      </c>
      <c r="C122" s="223">
        <v>107</v>
      </c>
      <c r="D122" s="223">
        <v>101.9</v>
      </c>
      <c r="E122" s="228">
        <v>80</v>
      </c>
      <c r="F122" s="225">
        <v>40.700000000000003</v>
      </c>
      <c r="G122" s="225">
        <v>1.0900000000000001</v>
      </c>
      <c r="H122" s="225">
        <v>1.69</v>
      </c>
      <c r="I122" s="232">
        <v>1.325</v>
      </c>
      <c r="J122" s="225">
        <v>6.9</v>
      </c>
      <c r="K122" s="226">
        <v>21</v>
      </c>
      <c r="L122" s="225">
        <v>0.18</v>
      </c>
    </row>
    <row r="123" spans="1:12" ht="17.25" x14ac:dyDescent="0.2">
      <c r="A123" s="202">
        <v>756</v>
      </c>
      <c r="B123" s="213">
        <v>700</v>
      </c>
      <c r="C123" s="223">
        <v>107</v>
      </c>
      <c r="D123" s="223">
        <v>102.7</v>
      </c>
      <c r="E123" s="229">
        <v>80.599999999999994</v>
      </c>
      <c r="F123" s="226">
        <v>41</v>
      </c>
      <c r="G123" s="225">
        <v>1.0900000000000001</v>
      </c>
      <c r="H123" s="225">
        <v>1.7</v>
      </c>
      <c r="I123" s="232">
        <v>1.325</v>
      </c>
      <c r="J123" s="225">
        <v>6.9</v>
      </c>
      <c r="K123" s="226">
        <v>22</v>
      </c>
      <c r="L123" s="225">
        <v>0.18</v>
      </c>
    </row>
    <row r="124" spans="1:12" ht="17.25" x14ac:dyDescent="0.2">
      <c r="A124" s="205">
        <v>786</v>
      </c>
      <c r="B124" s="217">
        <v>730</v>
      </c>
      <c r="C124" s="223">
        <v>107</v>
      </c>
      <c r="D124" s="223">
        <v>106.5</v>
      </c>
      <c r="E124" s="229">
        <v>83.6</v>
      </c>
      <c r="F124" s="225">
        <v>42.4</v>
      </c>
      <c r="G124" s="225">
        <v>1.1299999999999999</v>
      </c>
      <c r="H124" s="225">
        <v>1.77</v>
      </c>
      <c r="I124" s="232">
        <v>1.329</v>
      </c>
      <c r="J124" s="225">
        <v>7.2</v>
      </c>
      <c r="K124" s="226">
        <v>22</v>
      </c>
      <c r="L124" s="225">
        <v>0.18</v>
      </c>
    </row>
    <row r="125" spans="1:12" ht="17.25" x14ac:dyDescent="0.2">
      <c r="A125" s="202">
        <v>856</v>
      </c>
      <c r="B125" s="213">
        <v>800</v>
      </c>
      <c r="C125" s="223">
        <v>107</v>
      </c>
      <c r="D125" s="223">
        <v>115.3</v>
      </c>
      <c r="E125" s="229">
        <v>90.4</v>
      </c>
      <c r="F125" s="225">
        <v>45.7</v>
      </c>
      <c r="G125" s="225">
        <v>1.21</v>
      </c>
      <c r="H125" s="225">
        <v>1.91</v>
      </c>
      <c r="I125" s="232">
        <v>1.337</v>
      </c>
      <c r="J125" s="225">
        <v>7.8</v>
      </c>
      <c r="K125" s="226">
        <v>22</v>
      </c>
      <c r="L125" s="225">
        <v>0.2</v>
      </c>
    </row>
    <row r="126" spans="1:12" ht="17.25" x14ac:dyDescent="0.2">
      <c r="A126" s="206">
        <v>876</v>
      </c>
      <c r="B126" s="218">
        <v>820</v>
      </c>
      <c r="C126" s="223">
        <v>107</v>
      </c>
      <c r="D126" s="225">
        <v>117.8</v>
      </c>
      <c r="E126" s="229">
        <v>92.3</v>
      </c>
      <c r="F126" s="225">
        <v>46.6</v>
      </c>
      <c r="G126" s="225">
        <v>1.24</v>
      </c>
      <c r="H126" s="225">
        <v>1.96</v>
      </c>
      <c r="I126" s="232">
        <v>1.339</v>
      </c>
      <c r="J126" s="225">
        <v>7.9</v>
      </c>
      <c r="K126" s="226">
        <v>22</v>
      </c>
      <c r="L126" s="225">
        <v>0.2</v>
      </c>
    </row>
    <row r="127" spans="1:12" ht="17.25" x14ac:dyDescent="0.2">
      <c r="A127" s="207">
        <v>900</v>
      </c>
      <c r="B127" s="219">
        <v>844</v>
      </c>
      <c r="C127" s="223">
        <v>107</v>
      </c>
      <c r="D127" s="225">
        <v>120.9</v>
      </c>
      <c r="E127" s="229">
        <v>94.6</v>
      </c>
      <c r="F127" s="225">
        <v>47.7</v>
      </c>
      <c r="G127" s="225">
        <v>1.27</v>
      </c>
      <c r="H127" s="225">
        <v>2.0099999999999998</v>
      </c>
      <c r="I127" s="232">
        <v>1.3420000000000001</v>
      </c>
      <c r="J127" s="225">
        <v>8.1</v>
      </c>
      <c r="K127" s="226">
        <v>21</v>
      </c>
      <c r="L127" s="225">
        <v>0.21</v>
      </c>
    </row>
    <row r="128" spans="1:12" ht="17.25" x14ac:dyDescent="0.2">
      <c r="A128" s="203">
        <v>926</v>
      </c>
      <c r="B128" s="214">
        <v>870</v>
      </c>
      <c r="C128" s="223">
        <v>107</v>
      </c>
      <c r="D128" s="225">
        <v>124.1</v>
      </c>
      <c r="E128" s="229">
        <v>97.2</v>
      </c>
      <c r="F128" s="225">
        <v>48.9</v>
      </c>
      <c r="G128" s="225">
        <v>1.26</v>
      </c>
      <c r="H128" s="225">
        <v>1.95</v>
      </c>
      <c r="I128" s="232">
        <v>1.343</v>
      </c>
      <c r="J128" s="225">
        <v>8.4</v>
      </c>
      <c r="K128" s="226">
        <v>21</v>
      </c>
      <c r="L128" s="225">
        <v>0.22</v>
      </c>
    </row>
    <row r="129" spans="1:12" ht="17.25" x14ac:dyDescent="0.2">
      <c r="A129" s="207">
        <v>1000</v>
      </c>
      <c r="B129" s="219">
        <v>944</v>
      </c>
      <c r="C129" s="223">
        <v>107</v>
      </c>
      <c r="D129" s="225">
        <v>133.30000000000001</v>
      </c>
      <c r="E129" s="229">
        <v>104.3</v>
      </c>
      <c r="F129" s="225">
        <v>52.5</v>
      </c>
      <c r="G129" s="225">
        <v>1.39</v>
      </c>
      <c r="H129" s="225">
        <v>2.2200000000000002</v>
      </c>
      <c r="I129" s="232">
        <v>1.345</v>
      </c>
      <c r="J129" s="226">
        <v>9</v>
      </c>
      <c r="K129" s="226">
        <v>21</v>
      </c>
      <c r="L129" s="225">
        <v>0.23</v>
      </c>
    </row>
    <row r="130" spans="1:12" ht="17.25" x14ac:dyDescent="0.2">
      <c r="A130" s="208">
        <v>1200</v>
      </c>
      <c r="B130" s="220">
        <v>1144</v>
      </c>
      <c r="C130" s="223">
        <v>107</v>
      </c>
      <c r="D130" s="225">
        <v>157.9</v>
      </c>
      <c r="E130" s="229">
        <v>123.5</v>
      </c>
      <c r="F130" s="225">
        <v>61.9</v>
      </c>
      <c r="G130" s="225">
        <v>1.63</v>
      </c>
      <c r="H130" s="225">
        <v>2.64</v>
      </c>
      <c r="I130" s="233">
        <v>1.35</v>
      </c>
      <c r="J130" s="225">
        <v>10.6</v>
      </c>
      <c r="K130" s="226">
        <v>21</v>
      </c>
      <c r="L130" s="225">
        <v>0.28000000000000003</v>
      </c>
    </row>
    <row r="131" spans="1:12" ht="17.25" x14ac:dyDescent="0.2">
      <c r="A131" s="208">
        <v>1500</v>
      </c>
      <c r="B131" s="220">
        <v>1444</v>
      </c>
      <c r="C131" s="223">
        <v>107</v>
      </c>
      <c r="D131" s="225">
        <v>194.6</v>
      </c>
      <c r="E131" s="229">
        <v>151.9</v>
      </c>
      <c r="F131" s="225">
        <v>75.900000000000006</v>
      </c>
      <c r="G131" s="225">
        <v>1.99</v>
      </c>
      <c r="H131" s="225">
        <v>3.28</v>
      </c>
      <c r="I131" s="232">
        <v>1.359</v>
      </c>
      <c r="J131" s="225">
        <v>13.1</v>
      </c>
      <c r="K131" s="226">
        <v>20</v>
      </c>
      <c r="L131" s="225">
        <v>0.35</v>
      </c>
    </row>
    <row r="132" spans="1:12" ht="17.25" x14ac:dyDescent="0.2">
      <c r="A132" s="209">
        <v>1656</v>
      </c>
      <c r="B132" s="221">
        <v>1600</v>
      </c>
      <c r="C132" s="223">
        <v>107</v>
      </c>
      <c r="D132" s="225">
        <v>213.2</v>
      </c>
      <c r="E132" s="229">
        <v>166.7</v>
      </c>
      <c r="F132" s="225">
        <v>83.6</v>
      </c>
      <c r="G132" s="225">
        <v>2.1800000000000002</v>
      </c>
      <c r="H132" s="225">
        <v>3.61</v>
      </c>
      <c r="I132" s="233">
        <v>1.35</v>
      </c>
      <c r="J132" s="225">
        <v>14.3</v>
      </c>
      <c r="K132" s="226">
        <v>20</v>
      </c>
      <c r="L132" s="225">
        <v>0.38</v>
      </c>
    </row>
    <row r="133" spans="1:12" ht="17.25" x14ac:dyDescent="0.2">
      <c r="A133" s="207">
        <v>1800</v>
      </c>
      <c r="B133" s="219">
        <v>1744</v>
      </c>
      <c r="C133" s="223">
        <v>107</v>
      </c>
      <c r="D133" s="225">
        <v>230.1</v>
      </c>
      <c r="E133" s="229">
        <v>180.2</v>
      </c>
      <c r="F133" s="225">
        <v>90.8</v>
      </c>
      <c r="G133" s="225">
        <v>2.35</v>
      </c>
      <c r="H133" s="225">
        <v>3.91</v>
      </c>
      <c r="I133" s="232">
        <v>1.341</v>
      </c>
      <c r="J133" s="225">
        <v>15.5</v>
      </c>
      <c r="K133" s="226">
        <v>20</v>
      </c>
      <c r="L133" s="225">
        <v>0.41</v>
      </c>
    </row>
    <row r="134" spans="1:12" ht="17.25" x14ac:dyDescent="0.2">
      <c r="A134" s="209">
        <v>1856</v>
      </c>
      <c r="B134" s="221">
        <v>1800</v>
      </c>
      <c r="C134" s="223">
        <v>107</v>
      </c>
      <c r="D134" s="225">
        <v>236.6</v>
      </c>
      <c r="E134" s="229">
        <v>185.5</v>
      </c>
      <c r="F134" s="225">
        <v>93.6</v>
      </c>
      <c r="G134" s="225">
        <v>2.42</v>
      </c>
      <c r="H134" s="225">
        <v>4.04</v>
      </c>
      <c r="I134" s="232">
        <v>1.3380000000000001</v>
      </c>
      <c r="J134" s="226">
        <v>16</v>
      </c>
      <c r="K134" s="226">
        <v>19</v>
      </c>
      <c r="L134" s="225">
        <v>0.43</v>
      </c>
    </row>
    <row r="135" spans="1:12" ht="17.25" x14ac:dyDescent="0.2">
      <c r="A135" s="207">
        <v>2000</v>
      </c>
      <c r="B135" s="219">
        <v>1944</v>
      </c>
      <c r="C135" s="223">
        <v>107</v>
      </c>
      <c r="D135" s="225">
        <v>253.6</v>
      </c>
      <c r="E135" s="228">
        <v>199</v>
      </c>
      <c r="F135" s="225">
        <v>100.9</v>
      </c>
      <c r="G135" s="225">
        <v>2.59</v>
      </c>
      <c r="H135" s="225">
        <v>4.33</v>
      </c>
      <c r="I135" s="233">
        <v>1.33</v>
      </c>
      <c r="J135" s="225">
        <v>17.100000000000001</v>
      </c>
      <c r="K135" s="226">
        <v>19</v>
      </c>
      <c r="L135" s="225">
        <v>0.46</v>
      </c>
    </row>
    <row r="136" spans="1:12" ht="17.25" x14ac:dyDescent="0.2">
      <c r="A136" s="209">
        <v>2056</v>
      </c>
      <c r="B136" s="221">
        <v>2000</v>
      </c>
      <c r="C136" s="223">
        <v>107</v>
      </c>
      <c r="D136" s="225">
        <v>260.10000000000002</v>
      </c>
      <c r="E136" s="229">
        <v>204.3</v>
      </c>
      <c r="F136" s="225">
        <v>103.7</v>
      </c>
      <c r="G136" s="225">
        <v>2.66</v>
      </c>
      <c r="H136" s="225">
        <v>4.47</v>
      </c>
      <c r="I136" s="232">
        <v>1.3260000000000001</v>
      </c>
      <c r="J136" s="225">
        <v>17.600000000000001</v>
      </c>
      <c r="K136" s="226">
        <v>19</v>
      </c>
      <c r="L136" s="225">
        <v>0.47</v>
      </c>
    </row>
    <row r="137" spans="1:12" ht="17.25" x14ac:dyDescent="0.2">
      <c r="A137" s="207">
        <v>2200</v>
      </c>
      <c r="B137" s="219">
        <v>2144</v>
      </c>
      <c r="C137" s="223">
        <v>107</v>
      </c>
      <c r="D137" s="225">
        <v>276.89999999999998</v>
      </c>
      <c r="E137" s="229">
        <v>217.8</v>
      </c>
      <c r="F137" s="225">
        <v>111.1</v>
      </c>
      <c r="G137" s="225">
        <v>2.83</v>
      </c>
      <c r="H137" s="225">
        <v>4.76</v>
      </c>
      <c r="I137" s="232">
        <v>1.3180000000000001</v>
      </c>
      <c r="J137" s="225">
        <v>18.7</v>
      </c>
      <c r="K137" s="226">
        <v>19</v>
      </c>
      <c r="L137" s="225">
        <v>0.5</v>
      </c>
    </row>
    <row r="138" spans="1:12" ht="17.25" x14ac:dyDescent="0.2">
      <c r="A138" s="208">
        <v>2500</v>
      </c>
      <c r="B138" s="220">
        <v>2444</v>
      </c>
      <c r="C138" s="223">
        <v>107</v>
      </c>
      <c r="D138" s="225">
        <v>311.7</v>
      </c>
      <c r="E138" s="229">
        <v>245.9</v>
      </c>
      <c r="F138" s="225">
        <v>126.6</v>
      </c>
      <c r="G138" s="225">
        <v>3.19</v>
      </c>
      <c r="H138" s="225">
        <v>5.39</v>
      </c>
      <c r="I138" s="232">
        <v>1.3009999999999999</v>
      </c>
      <c r="J138" s="225">
        <v>21.1</v>
      </c>
      <c r="K138" s="226">
        <v>18</v>
      </c>
      <c r="L138" s="225">
        <v>0.56999999999999995</v>
      </c>
    </row>
    <row r="140" spans="1:12" ht="51" x14ac:dyDescent="0.2">
      <c r="A140" s="266" t="s">
        <v>607</v>
      </c>
      <c r="B140" s="210" t="s">
        <v>622</v>
      </c>
      <c r="C140" s="231" t="s">
        <v>628</v>
      </c>
      <c r="D140" s="230" t="s">
        <v>609</v>
      </c>
      <c r="E140" s="227" t="s">
        <v>610</v>
      </c>
      <c r="F140" s="230" t="s">
        <v>611</v>
      </c>
      <c r="G140" s="230" t="s">
        <v>612</v>
      </c>
      <c r="H140" s="230" t="s">
        <v>613</v>
      </c>
      <c r="I140" s="230" t="s">
        <v>614</v>
      </c>
      <c r="J140" s="230" t="s">
        <v>615</v>
      </c>
      <c r="K140" s="230" t="s">
        <v>616</v>
      </c>
      <c r="L140" s="231" t="s">
        <v>617</v>
      </c>
    </row>
    <row r="141" spans="1:12" ht="17.25" x14ac:dyDescent="0.2">
      <c r="A141" s="200">
        <v>207</v>
      </c>
      <c r="B141" s="211">
        <v>151</v>
      </c>
      <c r="C141" s="223">
        <v>148</v>
      </c>
      <c r="D141" s="223">
        <v>40.700000000000003</v>
      </c>
      <c r="E141" s="228">
        <v>32</v>
      </c>
      <c r="F141" s="225">
        <v>16.3</v>
      </c>
      <c r="G141" s="225">
        <v>0.56000000000000005</v>
      </c>
      <c r="H141" s="225">
        <v>0.71</v>
      </c>
      <c r="I141" s="232">
        <v>1.3169999999999999</v>
      </c>
      <c r="J141" s="225">
        <v>2.8</v>
      </c>
      <c r="K141" s="226">
        <v>20</v>
      </c>
      <c r="L141" s="225">
        <v>7.0000000000000007E-2</v>
      </c>
    </row>
    <row r="142" spans="1:12" ht="17.25" x14ac:dyDescent="0.2">
      <c r="A142" s="200">
        <v>300</v>
      </c>
      <c r="B142" s="211">
        <v>244</v>
      </c>
      <c r="C142" s="223">
        <v>148</v>
      </c>
      <c r="D142" s="223">
        <v>58.9</v>
      </c>
      <c r="E142" s="229">
        <v>46.8</v>
      </c>
      <c r="F142" s="225">
        <v>24.5</v>
      </c>
      <c r="G142" s="225">
        <v>0.72</v>
      </c>
      <c r="H142" s="225">
        <v>0.99</v>
      </c>
      <c r="I142" s="232">
        <v>1.2649999999999999</v>
      </c>
      <c r="J142" s="226">
        <v>4</v>
      </c>
      <c r="K142" s="226">
        <v>20</v>
      </c>
      <c r="L142" s="225">
        <v>0.1</v>
      </c>
    </row>
    <row r="143" spans="1:12" ht="17.25" x14ac:dyDescent="0.2">
      <c r="A143" s="200">
        <v>400</v>
      </c>
      <c r="B143" s="211">
        <v>344</v>
      </c>
      <c r="C143" s="223">
        <v>148</v>
      </c>
      <c r="D143" s="223">
        <v>75.5</v>
      </c>
      <c r="E143" s="229">
        <v>59.8</v>
      </c>
      <c r="F143" s="225">
        <v>31.1</v>
      </c>
      <c r="G143" s="225">
        <v>0.88</v>
      </c>
      <c r="H143" s="225">
        <v>1.27</v>
      </c>
      <c r="I143" s="233">
        <v>1.28</v>
      </c>
      <c r="J143" s="225">
        <v>5.0999999999999996</v>
      </c>
      <c r="K143" s="226">
        <v>19</v>
      </c>
      <c r="L143" s="225">
        <v>0.13</v>
      </c>
    </row>
    <row r="144" spans="1:12" ht="17.25" x14ac:dyDescent="0.2">
      <c r="A144" s="200">
        <v>500</v>
      </c>
      <c r="B144" s="212">
        <v>444</v>
      </c>
      <c r="C144" s="223">
        <v>148</v>
      </c>
      <c r="D144" s="223">
        <v>91.7</v>
      </c>
      <c r="E144" s="229">
        <v>72.400000000000006</v>
      </c>
      <c r="F144" s="225">
        <v>37.299999999999997</v>
      </c>
      <c r="G144" s="225">
        <v>1.04</v>
      </c>
      <c r="H144" s="225">
        <v>1.55</v>
      </c>
      <c r="I144" s="232">
        <v>1.296</v>
      </c>
      <c r="J144" s="225">
        <v>6.2</v>
      </c>
      <c r="K144" s="226">
        <v>19</v>
      </c>
      <c r="L144" s="225">
        <v>0.16</v>
      </c>
    </row>
    <row r="145" spans="1:12" ht="17.25" x14ac:dyDescent="0.2">
      <c r="A145" s="202">
        <v>556</v>
      </c>
      <c r="B145" s="213">
        <v>500</v>
      </c>
      <c r="C145" s="223">
        <v>148</v>
      </c>
      <c r="D145" s="223">
        <v>100.6</v>
      </c>
      <c r="E145" s="229">
        <v>79.3</v>
      </c>
      <c r="F145" s="225">
        <v>40.700000000000003</v>
      </c>
      <c r="G145" s="225">
        <v>1.1299999999999999</v>
      </c>
      <c r="H145" s="225">
        <v>1.71</v>
      </c>
      <c r="I145" s="232">
        <v>1.3049999999999999</v>
      </c>
      <c r="J145" s="225">
        <v>6.8</v>
      </c>
      <c r="K145" s="226">
        <v>19</v>
      </c>
      <c r="L145" s="225">
        <v>0.18</v>
      </c>
    </row>
    <row r="146" spans="1:12" ht="17.25" x14ac:dyDescent="0.2">
      <c r="A146" s="203">
        <v>586</v>
      </c>
      <c r="B146" s="214">
        <v>530</v>
      </c>
      <c r="C146" s="223">
        <v>148</v>
      </c>
      <c r="D146" s="223">
        <v>105.4</v>
      </c>
      <c r="E146" s="228">
        <v>83</v>
      </c>
      <c r="F146" s="225">
        <v>42.5</v>
      </c>
      <c r="G146" s="225">
        <v>1.18</v>
      </c>
      <c r="H146" s="225">
        <v>1.79</v>
      </c>
      <c r="I146" s="232">
        <v>1.3089999999999999</v>
      </c>
      <c r="J146" s="225">
        <v>7.1</v>
      </c>
      <c r="K146" s="226">
        <v>19</v>
      </c>
      <c r="L146" s="225">
        <v>0.19</v>
      </c>
    </row>
    <row r="147" spans="1:12" ht="17.25" x14ac:dyDescent="0.2">
      <c r="A147" s="200">
        <v>600</v>
      </c>
      <c r="B147" s="215">
        <v>544</v>
      </c>
      <c r="C147" s="223">
        <v>148</v>
      </c>
      <c r="D147" s="223">
        <v>107.6</v>
      </c>
      <c r="E147" s="229">
        <v>84.7</v>
      </c>
      <c r="F147" s="225">
        <v>43.4</v>
      </c>
      <c r="G147" s="225">
        <v>1.2</v>
      </c>
      <c r="H147" s="225">
        <v>1.84</v>
      </c>
      <c r="I147" s="232">
        <v>1.3120000000000001</v>
      </c>
      <c r="J147" s="225">
        <v>7.3</v>
      </c>
      <c r="K147" s="226">
        <v>19</v>
      </c>
      <c r="L147" s="225">
        <v>0.19</v>
      </c>
    </row>
    <row r="148" spans="1:12" ht="17.25" x14ac:dyDescent="0.2">
      <c r="A148" s="203">
        <v>626</v>
      </c>
      <c r="B148" s="214">
        <v>570</v>
      </c>
      <c r="C148" s="223">
        <v>148</v>
      </c>
      <c r="D148" s="223">
        <v>111.7</v>
      </c>
      <c r="E148" s="229">
        <v>87.9</v>
      </c>
      <c r="F148" s="225">
        <v>44.9</v>
      </c>
      <c r="G148" s="225">
        <v>1.24</v>
      </c>
      <c r="H148" s="225">
        <v>1.91</v>
      </c>
      <c r="I148" s="232">
        <v>1.3160000000000001</v>
      </c>
      <c r="J148" s="225">
        <v>7.6</v>
      </c>
      <c r="K148" s="226">
        <v>19</v>
      </c>
      <c r="L148" s="225">
        <v>0.2</v>
      </c>
    </row>
    <row r="149" spans="1:12" ht="17.25" x14ac:dyDescent="0.2">
      <c r="A149" s="202">
        <v>656</v>
      </c>
      <c r="B149" s="213">
        <v>600</v>
      </c>
      <c r="C149" s="223">
        <v>148</v>
      </c>
      <c r="D149" s="223">
        <v>116.5</v>
      </c>
      <c r="E149" s="229">
        <v>91.6</v>
      </c>
      <c r="F149" s="225">
        <v>46.6</v>
      </c>
      <c r="G149" s="225">
        <v>1.29</v>
      </c>
      <c r="H149" s="225">
        <v>1.99</v>
      </c>
      <c r="I149" s="233">
        <v>1.32</v>
      </c>
      <c r="J149" s="225">
        <v>7.9</v>
      </c>
      <c r="K149" s="226">
        <v>19</v>
      </c>
      <c r="L149" s="225">
        <v>0.21</v>
      </c>
    </row>
    <row r="150" spans="1:12" ht="17.25" x14ac:dyDescent="0.2">
      <c r="A150" s="204">
        <v>676</v>
      </c>
      <c r="B150" s="216">
        <v>620</v>
      </c>
      <c r="C150" s="223">
        <v>148</v>
      </c>
      <c r="D150" s="223">
        <v>119.6</v>
      </c>
      <c r="E150" s="228">
        <v>94</v>
      </c>
      <c r="F150" s="225">
        <v>47.8</v>
      </c>
      <c r="G150" s="225">
        <v>1.32</v>
      </c>
      <c r="H150" s="225">
        <v>2.0499999999999998</v>
      </c>
      <c r="I150" s="232">
        <v>1.3240000000000001</v>
      </c>
      <c r="J150" s="225">
        <v>8.1</v>
      </c>
      <c r="K150" s="226">
        <v>19</v>
      </c>
      <c r="L150" s="225">
        <v>0.21</v>
      </c>
    </row>
    <row r="151" spans="1:12" ht="17.25" x14ac:dyDescent="0.2">
      <c r="A151" s="200">
        <v>750</v>
      </c>
      <c r="B151" s="215">
        <v>694</v>
      </c>
      <c r="C151" s="223">
        <v>148</v>
      </c>
      <c r="D151" s="223">
        <v>131.30000000000001</v>
      </c>
      <c r="E151" s="229">
        <v>102.9</v>
      </c>
      <c r="F151" s="226">
        <v>52</v>
      </c>
      <c r="G151" s="225">
        <v>1.44</v>
      </c>
      <c r="H151" s="225">
        <v>2.2599999999999998</v>
      </c>
      <c r="I151" s="232">
        <v>1.335</v>
      </c>
      <c r="J151" s="225">
        <v>8.8000000000000007</v>
      </c>
      <c r="K151" s="226">
        <v>19</v>
      </c>
      <c r="L151" s="225">
        <v>0.23</v>
      </c>
    </row>
    <row r="152" spans="1:12" ht="17.25" x14ac:dyDescent="0.2">
      <c r="A152" s="202">
        <v>756</v>
      </c>
      <c r="B152" s="213">
        <v>700</v>
      </c>
      <c r="C152" s="223">
        <v>148</v>
      </c>
      <c r="D152" s="223">
        <v>132.19999999999999</v>
      </c>
      <c r="E152" s="229">
        <v>103.6</v>
      </c>
      <c r="F152" s="225">
        <v>52.4</v>
      </c>
      <c r="G152" s="225">
        <v>1.45</v>
      </c>
      <c r="H152" s="225">
        <v>2.2799999999999998</v>
      </c>
      <c r="I152" s="232">
        <v>1.3360000000000001</v>
      </c>
      <c r="J152" s="225">
        <v>8.9</v>
      </c>
      <c r="K152" s="226">
        <v>19</v>
      </c>
      <c r="L152" s="225">
        <v>0.24</v>
      </c>
    </row>
    <row r="153" spans="1:12" ht="17.25" x14ac:dyDescent="0.2">
      <c r="A153" s="205">
        <v>786</v>
      </c>
      <c r="B153" s="217">
        <v>730</v>
      </c>
      <c r="C153" s="223">
        <v>148</v>
      </c>
      <c r="D153" s="223">
        <v>136.9</v>
      </c>
      <c r="E153" s="229">
        <v>107.2</v>
      </c>
      <c r="F153" s="225">
        <v>54.1</v>
      </c>
      <c r="G153" s="225">
        <v>1.5</v>
      </c>
      <c r="H153" s="225">
        <v>2.37</v>
      </c>
      <c r="I153" s="232">
        <v>1.341</v>
      </c>
      <c r="J153" s="225">
        <v>9.1999999999999993</v>
      </c>
      <c r="K153" s="226">
        <v>19</v>
      </c>
      <c r="L153" s="225">
        <v>0.25</v>
      </c>
    </row>
    <row r="154" spans="1:12" ht="17.25" x14ac:dyDescent="0.2">
      <c r="A154" s="202">
        <v>856</v>
      </c>
      <c r="B154" s="213">
        <v>800</v>
      </c>
      <c r="C154" s="223">
        <v>148</v>
      </c>
      <c r="D154" s="223">
        <v>147.9</v>
      </c>
      <c r="E154" s="229">
        <v>115.6</v>
      </c>
      <c r="F154" s="226">
        <v>58</v>
      </c>
      <c r="G154" s="225">
        <v>1.61</v>
      </c>
      <c r="H154" s="225">
        <v>2.56</v>
      </c>
      <c r="I154" s="232">
        <v>1.3520000000000001</v>
      </c>
      <c r="J154" s="225">
        <v>9.9</v>
      </c>
      <c r="K154" s="226">
        <v>19</v>
      </c>
      <c r="L154" s="225">
        <v>0.27</v>
      </c>
    </row>
    <row r="155" spans="1:12" ht="17.25" x14ac:dyDescent="0.2">
      <c r="A155" s="206">
        <v>876</v>
      </c>
      <c r="B155" s="218">
        <v>820</v>
      </c>
      <c r="C155" s="223">
        <v>148</v>
      </c>
      <c r="D155" s="224">
        <v>151</v>
      </c>
      <c r="E155" s="228">
        <v>118</v>
      </c>
      <c r="F155" s="225">
        <v>59.1</v>
      </c>
      <c r="G155" s="225">
        <v>1.65</v>
      </c>
      <c r="H155" s="225">
        <v>2.61</v>
      </c>
      <c r="I155" s="232">
        <v>1.355</v>
      </c>
      <c r="J155" s="225">
        <v>10.1</v>
      </c>
      <c r="K155" s="226">
        <v>19</v>
      </c>
      <c r="L155" s="225">
        <v>0.27</v>
      </c>
    </row>
    <row r="156" spans="1:12" ht="17.25" x14ac:dyDescent="0.2">
      <c r="A156" s="207">
        <v>900</v>
      </c>
      <c r="B156" s="219">
        <v>844</v>
      </c>
      <c r="C156" s="223">
        <v>148</v>
      </c>
      <c r="D156" s="225">
        <v>154.80000000000001</v>
      </c>
      <c r="E156" s="229">
        <v>120.8</v>
      </c>
      <c r="F156" s="225">
        <v>60.4</v>
      </c>
      <c r="G156" s="225">
        <v>1.68</v>
      </c>
      <c r="H156" s="225">
        <v>2.68</v>
      </c>
      <c r="I156" s="232">
        <v>1.359</v>
      </c>
      <c r="J156" s="225">
        <v>10.4</v>
      </c>
      <c r="K156" s="226">
        <v>18</v>
      </c>
      <c r="L156" s="225">
        <v>0.28000000000000003</v>
      </c>
    </row>
    <row r="157" spans="1:12" ht="17.25" x14ac:dyDescent="0.2">
      <c r="A157" s="203">
        <v>926</v>
      </c>
      <c r="B157" s="214">
        <v>870</v>
      </c>
      <c r="C157" s="223">
        <v>148</v>
      </c>
      <c r="D157" s="225">
        <v>158.69999999999999</v>
      </c>
      <c r="E157" s="229">
        <v>123.9</v>
      </c>
      <c r="F157" s="225">
        <v>61.9</v>
      </c>
      <c r="G157" s="225">
        <v>1.7</v>
      </c>
      <c r="H157" s="225">
        <v>2.6</v>
      </c>
      <c r="I157" s="232">
        <v>1.3580000000000001</v>
      </c>
      <c r="J157" s="225">
        <v>10.7</v>
      </c>
      <c r="K157" s="226">
        <v>18</v>
      </c>
      <c r="L157" s="225">
        <v>0.28999999999999998</v>
      </c>
    </row>
    <row r="158" spans="1:12" ht="17.25" x14ac:dyDescent="0.2">
      <c r="A158" s="207">
        <v>1000</v>
      </c>
      <c r="B158" s="219">
        <v>944</v>
      </c>
      <c r="C158" s="223">
        <v>148</v>
      </c>
      <c r="D158" s="225">
        <v>169.9</v>
      </c>
      <c r="E158" s="229">
        <v>132.69999999999999</v>
      </c>
      <c r="F158" s="225">
        <v>66.400000000000006</v>
      </c>
      <c r="G158" s="225">
        <v>1.84</v>
      </c>
      <c r="H158" s="225">
        <v>2.96</v>
      </c>
      <c r="I158" s="232">
        <v>1.355</v>
      </c>
      <c r="J158" s="225">
        <v>11.4</v>
      </c>
      <c r="K158" s="226">
        <v>18</v>
      </c>
      <c r="L158" s="225">
        <v>0.31</v>
      </c>
    </row>
    <row r="159" spans="1:12" ht="17.25" x14ac:dyDescent="0.2">
      <c r="A159" s="208">
        <v>1200</v>
      </c>
      <c r="B159" s="220">
        <v>1144</v>
      </c>
      <c r="C159" s="223">
        <v>148</v>
      </c>
      <c r="D159" s="225">
        <v>199.7</v>
      </c>
      <c r="E159" s="229">
        <v>156.19999999999999</v>
      </c>
      <c r="F159" s="225">
        <v>78.5</v>
      </c>
      <c r="G159" s="225">
        <v>2.17</v>
      </c>
      <c r="H159" s="225">
        <v>3.53</v>
      </c>
      <c r="I159" s="232">
        <v>1.3480000000000001</v>
      </c>
      <c r="J159" s="225">
        <v>13.4</v>
      </c>
      <c r="K159" s="226">
        <v>18</v>
      </c>
      <c r="L159" s="225">
        <v>0.37</v>
      </c>
    </row>
    <row r="160" spans="1:12" ht="17.25" x14ac:dyDescent="0.2">
      <c r="A160" s="208">
        <v>1500</v>
      </c>
      <c r="B160" s="220">
        <v>1444</v>
      </c>
      <c r="C160" s="223">
        <v>148</v>
      </c>
      <c r="D160" s="225">
        <v>244.3</v>
      </c>
      <c r="E160" s="229">
        <v>191.4</v>
      </c>
      <c r="F160" s="225">
        <v>96.6</v>
      </c>
      <c r="G160" s="225">
        <v>2.65</v>
      </c>
      <c r="H160" s="225">
        <v>4.37</v>
      </c>
      <c r="I160" s="232">
        <v>1.3380000000000001</v>
      </c>
      <c r="J160" s="225">
        <v>16.5</v>
      </c>
      <c r="K160" s="226">
        <v>17</v>
      </c>
      <c r="L160" s="225">
        <v>0.46</v>
      </c>
    </row>
    <row r="161" spans="1:12" ht="17.25" x14ac:dyDescent="0.2">
      <c r="A161" s="209">
        <v>1656</v>
      </c>
      <c r="B161" s="221">
        <v>1600</v>
      </c>
      <c r="C161" s="223">
        <v>148</v>
      </c>
      <c r="D161" s="226">
        <v>268</v>
      </c>
      <c r="E161" s="229">
        <v>209.7</v>
      </c>
      <c r="F161" s="225">
        <v>105.5</v>
      </c>
      <c r="G161" s="225">
        <v>2.9</v>
      </c>
      <c r="H161" s="225">
        <v>4.8099999999999996</v>
      </c>
      <c r="I161" s="232">
        <v>1.3460000000000001</v>
      </c>
      <c r="J161" s="226">
        <v>18</v>
      </c>
      <c r="K161" s="226">
        <v>17</v>
      </c>
      <c r="L161" s="225">
        <v>0.51</v>
      </c>
    </row>
    <row r="162" spans="1:12" ht="17.25" x14ac:dyDescent="0.2">
      <c r="A162" s="207">
        <v>1800</v>
      </c>
      <c r="B162" s="219">
        <v>1744</v>
      </c>
      <c r="C162" s="223">
        <v>148</v>
      </c>
      <c r="D162" s="225">
        <v>290.10000000000002</v>
      </c>
      <c r="E162" s="229">
        <v>226.6</v>
      </c>
      <c r="F162" s="225">
        <v>113.5</v>
      </c>
      <c r="G162" s="225">
        <v>3.13</v>
      </c>
      <c r="H162" s="225">
        <v>5.22</v>
      </c>
      <c r="I162" s="232">
        <v>1.353</v>
      </c>
      <c r="J162" s="225">
        <v>19.5</v>
      </c>
      <c r="K162" s="226">
        <v>17</v>
      </c>
      <c r="L162" s="225">
        <v>0.55000000000000004</v>
      </c>
    </row>
    <row r="163" spans="1:12" ht="17.25" x14ac:dyDescent="0.2">
      <c r="A163" s="209">
        <v>1856</v>
      </c>
      <c r="B163" s="221">
        <v>1800</v>
      </c>
      <c r="C163" s="223">
        <v>148</v>
      </c>
      <c r="D163" s="225">
        <v>298.7</v>
      </c>
      <c r="E163" s="229">
        <v>233.3</v>
      </c>
      <c r="F163" s="225">
        <v>116.7</v>
      </c>
      <c r="G163" s="225">
        <v>3.22</v>
      </c>
      <c r="H163" s="225">
        <v>5.4</v>
      </c>
      <c r="I163" s="232">
        <v>1.3560000000000001</v>
      </c>
      <c r="J163" s="225">
        <v>20.100000000000001</v>
      </c>
      <c r="K163" s="226">
        <v>16</v>
      </c>
      <c r="L163" s="225">
        <v>0.56999999999999995</v>
      </c>
    </row>
    <row r="164" spans="1:12" ht="17.25" x14ac:dyDescent="0.2">
      <c r="A164" s="207">
        <v>2000</v>
      </c>
      <c r="B164" s="219">
        <v>1944</v>
      </c>
      <c r="C164" s="223">
        <v>148</v>
      </c>
      <c r="D164" s="225">
        <v>320.89999999999998</v>
      </c>
      <c r="E164" s="229">
        <v>250.3</v>
      </c>
      <c r="F164" s="225">
        <v>124.7</v>
      </c>
      <c r="G164" s="225">
        <v>3.45</v>
      </c>
      <c r="H164" s="225">
        <v>5.78</v>
      </c>
      <c r="I164" s="232">
        <v>1.3640000000000001</v>
      </c>
      <c r="J164" s="225">
        <v>21.5</v>
      </c>
      <c r="K164" s="226">
        <v>16</v>
      </c>
      <c r="L164" s="225">
        <v>0.61</v>
      </c>
    </row>
    <row r="165" spans="1:12" ht="17.25" x14ac:dyDescent="0.2">
      <c r="A165" s="209">
        <v>2056</v>
      </c>
      <c r="B165" s="221">
        <v>2000</v>
      </c>
      <c r="C165" s="223">
        <v>148</v>
      </c>
      <c r="D165" s="225">
        <v>329.6</v>
      </c>
      <c r="E165" s="229">
        <v>256.89999999999998</v>
      </c>
      <c r="F165" s="225">
        <v>127.8</v>
      </c>
      <c r="G165" s="225">
        <v>3.54</v>
      </c>
      <c r="H165" s="225">
        <v>5.96</v>
      </c>
      <c r="I165" s="232">
        <v>1.3660000000000001</v>
      </c>
      <c r="J165" s="225">
        <v>22.1</v>
      </c>
      <c r="K165" s="226">
        <v>16</v>
      </c>
      <c r="L165" s="225">
        <v>0.63</v>
      </c>
    </row>
    <row r="166" spans="1:12" ht="17.25" x14ac:dyDescent="0.2">
      <c r="A166" s="207">
        <v>2200</v>
      </c>
      <c r="B166" s="219">
        <v>2144</v>
      </c>
      <c r="C166" s="223">
        <v>148</v>
      </c>
      <c r="D166" s="225">
        <v>352.1</v>
      </c>
      <c r="E166" s="229">
        <v>274.10000000000002</v>
      </c>
      <c r="F166" s="225">
        <v>135.9</v>
      </c>
      <c r="G166" s="225">
        <v>3.77</v>
      </c>
      <c r="H166" s="225">
        <v>6.35</v>
      </c>
      <c r="I166" s="232">
        <v>1.3740000000000001</v>
      </c>
      <c r="J166" s="225">
        <v>23.6</v>
      </c>
      <c r="K166" s="226">
        <v>16</v>
      </c>
      <c r="L166" s="225">
        <v>0.67</v>
      </c>
    </row>
    <row r="167" spans="1:12" ht="17.25" x14ac:dyDescent="0.2">
      <c r="A167" s="208">
        <v>2500</v>
      </c>
      <c r="B167" s="220">
        <v>2444</v>
      </c>
      <c r="C167" s="223">
        <v>148</v>
      </c>
      <c r="D167" s="225">
        <v>399.6</v>
      </c>
      <c r="E167" s="229">
        <v>310.2</v>
      </c>
      <c r="F167" s="225">
        <v>152.5</v>
      </c>
      <c r="G167" s="225">
        <v>4.25</v>
      </c>
      <c r="H167" s="225">
        <v>7.19</v>
      </c>
      <c r="I167" s="232">
        <v>1.389</v>
      </c>
      <c r="J167" s="225">
        <v>26.7</v>
      </c>
      <c r="K167" s="226">
        <v>15</v>
      </c>
      <c r="L167" s="225">
        <v>0.76</v>
      </c>
    </row>
    <row r="169" spans="1:12" ht="51" x14ac:dyDescent="0.2">
      <c r="A169" s="266" t="s">
        <v>607</v>
      </c>
      <c r="B169" s="210" t="s">
        <v>622</v>
      </c>
      <c r="C169" s="231" t="s">
        <v>628</v>
      </c>
      <c r="D169" s="230" t="s">
        <v>609</v>
      </c>
      <c r="E169" s="227" t="s">
        <v>610</v>
      </c>
      <c r="F169" s="230" t="s">
        <v>611</v>
      </c>
      <c r="G169" s="230" t="s">
        <v>612</v>
      </c>
      <c r="H169" s="230" t="s">
        <v>613</v>
      </c>
      <c r="I169" s="230" t="s">
        <v>614</v>
      </c>
      <c r="J169" s="230" t="s">
        <v>615</v>
      </c>
      <c r="K169" s="230" t="s">
        <v>616</v>
      </c>
      <c r="L169" s="231" t="s">
        <v>617</v>
      </c>
    </row>
    <row r="170" spans="1:12" ht="17.25" x14ac:dyDescent="0.2">
      <c r="A170" s="200">
        <v>207</v>
      </c>
      <c r="B170" s="211">
        <v>151</v>
      </c>
      <c r="C170" s="223">
        <v>189</v>
      </c>
      <c r="D170" s="256">
        <v>50.5</v>
      </c>
      <c r="E170" s="258">
        <v>39.700000000000003</v>
      </c>
      <c r="F170" s="260">
        <v>20.100000000000001</v>
      </c>
      <c r="G170" s="260">
        <v>0.7</v>
      </c>
      <c r="H170" s="260">
        <v>0.89</v>
      </c>
      <c r="I170" s="263">
        <v>1.329</v>
      </c>
      <c r="J170" s="260">
        <v>3.4</v>
      </c>
      <c r="K170" s="261">
        <v>19</v>
      </c>
      <c r="L170" s="260">
        <v>0.09</v>
      </c>
    </row>
    <row r="171" spans="1:12" ht="17.25" x14ac:dyDescent="0.2">
      <c r="A171" s="200">
        <v>300</v>
      </c>
      <c r="B171" s="211">
        <v>244</v>
      </c>
      <c r="C171" s="223">
        <v>189</v>
      </c>
      <c r="D171" s="256">
        <v>71.900000000000006</v>
      </c>
      <c r="E171" s="258">
        <v>56.5</v>
      </c>
      <c r="F171" s="260">
        <v>28.8</v>
      </c>
      <c r="G171" s="260">
        <v>0.9</v>
      </c>
      <c r="H171" s="260">
        <v>1.24</v>
      </c>
      <c r="I171" s="264">
        <v>1.32</v>
      </c>
      <c r="J171" s="260">
        <v>4.9000000000000004</v>
      </c>
      <c r="K171" s="261">
        <v>19</v>
      </c>
      <c r="L171" s="260">
        <v>0.12</v>
      </c>
    </row>
    <row r="172" spans="1:12" ht="17.25" x14ac:dyDescent="0.2">
      <c r="A172" s="200">
        <v>400</v>
      </c>
      <c r="B172" s="211">
        <v>344</v>
      </c>
      <c r="C172" s="223">
        <v>189</v>
      </c>
      <c r="D172" s="256">
        <v>92.1</v>
      </c>
      <c r="E172" s="258">
        <v>72.400000000000006</v>
      </c>
      <c r="F172" s="260">
        <v>36.799999999999997</v>
      </c>
      <c r="G172" s="260">
        <v>1.1000000000000001</v>
      </c>
      <c r="H172" s="260">
        <v>1.59</v>
      </c>
      <c r="I172" s="263">
        <v>1.323</v>
      </c>
      <c r="J172" s="260">
        <v>6.2</v>
      </c>
      <c r="K172" s="261">
        <v>18</v>
      </c>
      <c r="L172" s="260">
        <v>0.16</v>
      </c>
    </row>
    <row r="173" spans="1:12" ht="17.25" x14ac:dyDescent="0.2">
      <c r="A173" s="200">
        <v>500</v>
      </c>
      <c r="B173" s="212">
        <v>444</v>
      </c>
      <c r="C173" s="223">
        <v>189</v>
      </c>
      <c r="D173" s="256">
        <v>111.7</v>
      </c>
      <c r="E173" s="258">
        <v>87.7</v>
      </c>
      <c r="F173" s="260">
        <v>44.6</v>
      </c>
      <c r="G173" s="260">
        <v>1.3</v>
      </c>
      <c r="H173" s="260">
        <v>1.95</v>
      </c>
      <c r="I173" s="263">
        <v>1.3260000000000001</v>
      </c>
      <c r="J173" s="260">
        <v>7.5</v>
      </c>
      <c r="K173" s="261">
        <v>18</v>
      </c>
      <c r="L173" s="260">
        <v>0.2</v>
      </c>
    </row>
    <row r="174" spans="1:12" ht="17.25" x14ac:dyDescent="0.2">
      <c r="A174" s="202">
        <v>556</v>
      </c>
      <c r="B174" s="213">
        <v>500</v>
      </c>
      <c r="C174" s="223">
        <v>189</v>
      </c>
      <c r="D174" s="256">
        <v>122.5</v>
      </c>
      <c r="E174" s="258">
        <v>96.2</v>
      </c>
      <c r="F174" s="260">
        <v>48.8</v>
      </c>
      <c r="G174" s="260">
        <v>1.41</v>
      </c>
      <c r="H174" s="260">
        <v>2.14</v>
      </c>
      <c r="I174" s="263">
        <v>1.3280000000000001</v>
      </c>
      <c r="J174" s="260">
        <v>8.3000000000000007</v>
      </c>
      <c r="K174" s="261">
        <v>18</v>
      </c>
      <c r="L174" s="260">
        <v>0.22</v>
      </c>
    </row>
    <row r="175" spans="1:12" ht="17.25" x14ac:dyDescent="0.2">
      <c r="A175" s="203">
        <v>586</v>
      </c>
      <c r="B175" s="214">
        <v>530</v>
      </c>
      <c r="C175" s="223">
        <v>189</v>
      </c>
      <c r="D175" s="256">
        <v>128.30000000000001</v>
      </c>
      <c r="E175" s="258">
        <v>100.7</v>
      </c>
      <c r="F175" s="260">
        <v>51.1</v>
      </c>
      <c r="G175" s="260">
        <v>1.47</v>
      </c>
      <c r="H175" s="260">
        <v>2.2400000000000002</v>
      </c>
      <c r="I175" s="263">
        <v>1.329</v>
      </c>
      <c r="J175" s="260">
        <v>8.6999999999999993</v>
      </c>
      <c r="K175" s="261">
        <v>18</v>
      </c>
      <c r="L175" s="260">
        <v>0.23</v>
      </c>
    </row>
    <row r="176" spans="1:12" ht="17.25" x14ac:dyDescent="0.2">
      <c r="A176" s="200">
        <v>600</v>
      </c>
      <c r="B176" s="215">
        <v>544</v>
      </c>
      <c r="C176" s="223">
        <v>189</v>
      </c>
      <c r="D176" s="256">
        <v>130.9</v>
      </c>
      <c r="E176" s="258">
        <v>102.7</v>
      </c>
      <c r="F176" s="260">
        <v>52.1</v>
      </c>
      <c r="G176" s="260">
        <v>1.5</v>
      </c>
      <c r="H176" s="260">
        <v>2.2999999999999998</v>
      </c>
      <c r="I176" s="263">
        <v>1.329</v>
      </c>
      <c r="J176" s="260">
        <v>8.8000000000000007</v>
      </c>
      <c r="K176" s="261">
        <v>18</v>
      </c>
      <c r="L176" s="260">
        <v>0.24</v>
      </c>
    </row>
    <row r="177" spans="1:12" ht="17.25" x14ac:dyDescent="0.2">
      <c r="A177" s="203">
        <v>626</v>
      </c>
      <c r="B177" s="214">
        <v>570</v>
      </c>
      <c r="C177" s="223">
        <v>189</v>
      </c>
      <c r="D177" s="256">
        <v>135.9</v>
      </c>
      <c r="E177" s="258">
        <v>106.6</v>
      </c>
      <c r="F177" s="261">
        <v>54</v>
      </c>
      <c r="G177" s="260">
        <v>1.55</v>
      </c>
      <c r="H177" s="260">
        <v>2.39</v>
      </c>
      <c r="I177" s="264">
        <v>1.33</v>
      </c>
      <c r="J177" s="260">
        <v>9.1999999999999993</v>
      </c>
      <c r="K177" s="261">
        <v>18</v>
      </c>
      <c r="L177" s="260">
        <v>0.25</v>
      </c>
    </row>
    <row r="178" spans="1:12" ht="17.25" x14ac:dyDescent="0.2">
      <c r="A178" s="202">
        <v>656</v>
      </c>
      <c r="B178" s="213">
        <v>600</v>
      </c>
      <c r="C178" s="223">
        <v>189</v>
      </c>
      <c r="D178" s="256">
        <v>141.5</v>
      </c>
      <c r="E178" s="259">
        <v>111</v>
      </c>
      <c r="F178" s="260">
        <v>56.3</v>
      </c>
      <c r="G178" s="260">
        <v>1.61</v>
      </c>
      <c r="H178" s="260">
        <v>2.5</v>
      </c>
      <c r="I178" s="263">
        <v>1.331</v>
      </c>
      <c r="J178" s="260">
        <v>9.5</v>
      </c>
      <c r="K178" s="261">
        <v>18</v>
      </c>
      <c r="L178" s="260">
        <v>0.26</v>
      </c>
    </row>
    <row r="179" spans="1:12" ht="17.25" x14ac:dyDescent="0.2">
      <c r="A179" s="204">
        <v>676</v>
      </c>
      <c r="B179" s="216">
        <v>620</v>
      </c>
      <c r="C179" s="223">
        <v>189</v>
      </c>
      <c r="D179" s="256">
        <v>145.30000000000001</v>
      </c>
      <c r="E179" s="259">
        <v>114</v>
      </c>
      <c r="F179" s="260">
        <v>57.7</v>
      </c>
      <c r="G179" s="260">
        <v>1.65</v>
      </c>
      <c r="H179" s="260">
        <v>2.57</v>
      </c>
      <c r="I179" s="263">
        <v>1.3320000000000001</v>
      </c>
      <c r="J179" s="260">
        <v>9.8000000000000007</v>
      </c>
      <c r="K179" s="261">
        <v>18</v>
      </c>
      <c r="L179" s="260">
        <v>0.27</v>
      </c>
    </row>
    <row r="180" spans="1:12" ht="17.25" x14ac:dyDescent="0.2">
      <c r="A180" s="200">
        <v>750</v>
      </c>
      <c r="B180" s="215">
        <v>694</v>
      </c>
      <c r="C180" s="223">
        <v>189</v>
      </c>
      <c r="D180" s="256">
        <v>159.19999999999999</v>
      </c>
      <c r="E180" s="258">
        <v>124.8</v>
      </c>
      <c r="F180" s="260">
        <v>63.1</v>
      </c>
      <c r="G180" s="260">
        <v>1.8</v>
      </c>
      <c r="H180" s="260">
        <v>2.83</v>
      </c>
      <c r="I180" s="263">
        <v>1.3340000000000001</v>
      </c>
      <c r="J180" s="260">
        <v>10.7</v>
      </c>
      <c r="K180" s="261">
        <v>18</v>
      </c>
      <c r="L180" s="260">
        <v>0.28999999999999998</v>
      </c>
    </row>
    <row r="181" spans="1:12" ht="17.25" x14ac:dyDescent="0.2">
      <c r="A181" s="202">
        <v>756</v>
      </c>
      <c r="B181" s="213">
        <v>700</v>
      </c>
      <c r="C181" s="223">
        <v>189</v>
      </c>
      <c r="D181" s="256">
        <v>160.30000000000001</v>
      </c>
      <c r="E181" s="258">
        <v>125.7</v>
      </c>
      <c r="F181" s="260">
        <v>63.6</v>
      </c>
      <c r="G181" s="260">
        <v>1.81</v>
      </c>
      <c r="H181" s="260">
        <v>2.85</v>
      </c>
      <c r="I181" s="263">
        <v>1.335</v>
      </c>
      <c r="J181" s="260">
        <v>10.8</v>
      </c>
      <c r="K181" s="261">
        <v>18</v>
      </c>
      <c r="L181" s="260">
        <v>0.3</v>
      </c>
    </row>
    <row r="182" spans="1:12" ht="17.25" x14ac:dyDescent="0.2">
      <c r="A182" s="205">
        <v>786</v>
      </c>
      <c r="B182" s="217">
        <v>730</v>
      </c>
      <c r="C182" s="223">
        <v>189</v>
      </c>
      <c r="D182" s="256">
        <v>165.9</v>
      </c>
      <c r="E182" s="259">
        <v>130</v>
      </c>
      <c r="F182" s="260">
        <v>65.7</v>
      </c>
      <c r="G182" s="260">
        <v>1.87</v>
      </c>
      <c r="H182" s="260">
        <v>2.97</v>
      </c>
      <c r="I182" s="263">
        <v>1.335</v>
      </c>
      <c r="J182" s="260">
        <v>11.2</v>
      </c>
      <c r="K182" s="261">
        <v>17</v>
      </c>
      <c r="L182" s="260">
        <v>0.31</v>
      </c>
    </row>
    <row r="183" spans="1:12" ht="17.25" x14ac:dyDescent="0.2">
      <c r="A183" s="202">
        <v>856</v>
      </c>
      <c r="B183" s="213">
        <v>800</v>
      </c>
      <c r="C183" s="223">
        <v>189</v>
      </c>
      <c r="D183" s="256">
        <v>178.8</v>
      </c>
      <c r="E183" s="258">
        <v>140.1</v>
      </c>
      <c r="F183" s="260">
        <v>70.7</v>
      </c>
      <c r="G183" s="260">
        <v>2.0099999999999998</v>
      </c>
      <c r="H183" s="260">
        <v>3.2</v>
      </c>
      <c r="I183" s="263">
        <v>1.3380000000000001</v>
      </c>
      <c r="J183" s="261">
        <v>12</v>
      </c>
      <c r="K183" s="261">
        <v>17</v>
      </c>
      <c r="L183" s="260">
        <v>0.33</v>
      </c>
    </row>
    <row r="184" spans="1:12" ht="17.25" x14ac:dyDescent="0.2">
      <c r="A184" s="206">
        <v>876</v>
      </c>
      <c r="B184" s="218">
        <v>820</v>
      </c>
      <c r="C184" s="223">
        <v>189</v>
      </c>
      <c r="D184" s="256">
        <v>182.5</v>
      </c>
      <c r="E184" s="259">
        <v>143</v>
      </c>
      <c r="F184" s="260">
        <v>72.2</v>
      </c>
      <c r="G184" s="260">
        <v>2.0499999999999998</v>
      </c>
      <c r="H184" s="260">
        <v>3.27</v>
      </c>
      <c r="I184" s="263">
        <v>1.3380000000000001</v>
      </c>
      <c r="J184" s="260">
        <v>12.3</v>
      </c>
      <c r="K184" s="261">
        <v>17</v>
      </c>
      <c r="L184" s="260">
        <v>0.34</v>
      </c>
    </row>
    <row r="185" spans="1:12" ht="17.25" x14ac:dyDescent="0.2">
      <c r="A185" s="207">
        <v>900</v>
      </c>
      <c r="B185" s="219">
        <v>844</v>
      </c>
      <c r="C185" s="223">
        <v>189</v>
      </c>
      <c r="D185" s="256">
        <v>186.9</v>
      </c>
      <c r="E185" s="258">
        <v>146.4</v>
      </c>
      <c r="F185" s="260">
        <v>73.900000000000006</v>
      </c>
      <c r="G185" s="260">
        <v>2.1</v>
      </c>
      <c r="H185" s="260">
        <v>3.36</v>
      </c>
      <c r="I185" s="263">
        <v>1.339</v>
      </c>
      <c r="J185" s="260">
        <v>12.6</v>
      </c>
      <c r="K185" s="261">
        <v>17</v>
      </c>
      <c r="L185" s="260">
        <v>0.35</v>
      </c>
    </row>
    <row r="186" spans="1:12" ht="17.25" x14ac:dyDescent="0.2">
      <c r="A186" s="203">
        <v>926</v>
      </c>
      <c r="B186" s="214">
        <v>870</v>
      </c>
      <c r="C186" s="223">
        <v>189</v>
      </c>
      <c r="D186" s="256">
        <v>191.7</v>
      </c>
      <c r="E186" s="258">
        <v>150.1</v>
      </c>
      <c r="F186" s="260">
        <v>75.599999999999994</v>
      </c>
      <c r="G186" s="260">
        <v>2.13</v>
      </c>
      <c r="H186" s="260">
        <v>3.26</v>
      </c>
      <c r="I186" s="263">
        <v>1.3420000000000001</v>
      </c>
      <c r="J186" s="260">
        <v>12.9</v>
      </c>
      <c r="K186" s="261">
        <v>17</v>
      </c>
      <c r="L186" s="260">
        <v>0.36</v>
      </c>
    </row>
    <row r="187" spans="1:12" ht="17.25" x14ac:dyDescent="0.2">
      <c r="A187" s="207">
        <v>1000</v>
      </c>
      <c r="B187" s="219">
        <v>944</v>
      </c>
      <c r="C187" s="223">
        <v>189</v>
      </c>
      <c r="D187" s="256">
        <v>205.4</v>
      </c>
      <c r="E187" s="258">
        <v>160.6</v>
      </c>
      <c r="F187" s="260">
        <v>80.7</v>
      </c>
      <c r="G187" s="260">
        <v>2.2999999999999998</v>
      </c>
      <c r="H187" s="260">
        <v>3.71</v>
      </c>
      <c r="I187" s="263">
        <v>1.3480000000000001</v>
      </c>
      <c r="J187" s="260">
        <v>13.8</v>
      </c>
      <c r="K187" s="261">
        <v>17</v>
      </c>
      <c r="L187" s="260">
        <v>0.39</v>
      </c>
    </row>
    <row r="188" spans="1:12" ht="17.25" x14ac:dyDescent="0.2">
      <c r="A188" s="208">
        <v>1200</v>
      </c>
      <c r="B188" s="220">
        <v>1144</v>
      </c>
      <c r="C188" s="223">
        <v>189</v>
      </c>
      <c r="D188" s="256">
        <v>242.1</v>
      </c>
      <c r="E188" s="258">
        <v>188.8</v>
      </c>
      <c r="F188" s="260">
        <v>93.9</v>
      </c>
      <c r="G188" s="260">
        <v>2.7</v>
      </c>
      <c r="H188" s="260">
        <v>4.41</v>
      </c>
      <c r="I188" s="263">
        <v>1.3660000000000001</v>
      </c>
      <c r="J188" s="260">
        <v>16.2</v>
      </c>
      <c r="K188" s="261">
        <v>16</v>
      </c>
      <c r="L188" s="260">
        <v>0.46</v>
      </c>
    </row>
    <row r="189" spans="1:12" ht="17.25" x14ac:dyDescent="0.2">
      <c r="A189" s="208">
        <v>1500</v>
      </c>
      <c r="B189" s="220">
        <v>1444</v>
      </c>
      <c r="C189" s="223">
        <v>189</v>
      </c>
      <c r="D189" s="257">
        <v>297</v>
      </c>
      <c r="E189" s="258">
        <v>230.4</v>
      </c>
      <c r="F189" s="260">
        <v>113.1</v>
      </c>
      <c r="G189" s="260">
        <v>3.3</v>
      </c>
      <c r="H189" s="260">
        <v>5.47</v>
      </c>
      <c r="I189" s="263">
        <v>1.393</v>
      </c>
      <c r="J189" s="260">
        <v>19.8</v>
      </c>
      <c r="K189" s="261">
        <v>16</v>
      </c>
      <c r="L189" s="260">
        <v>0.57999999999999996</v>
      </c>
    </row>
    <row r="190" spans="1:12" ht="17.25" x14ac:dyDescent="0.2">
      <c r="A190" s="209">
        <v>1656</v>
      </c>
      <c r="B190" s="221">
        <v>1600</v>
      </c>
      <c r="C190" s="223">
        <v>189</v>
      </c>
      <c r="D190" s="257">
        <v>324</v>
      </c>
      <c r="E190" s="258">
        <v>251.9</v>
      </c>
      <c r="F190" s="260">
        <v>124.4</v>
      </c>
      <c r="G190" s="260">
        <v>3.62</v>
      </c>
      <c r="H190" s="260">
        <v>6.02</v>
      </c>
      <c r="I190" s="263">
        <v>1.381</v>
      </c>
      <c r="J190" s="260">
        <v>21.7</v>
      </c>
      <c r="K190" s="261">
        <v>15</v>
      </c>
      <c r="L190" s="260">
        <v>0.64</v>
      </c>
    </row>
    <row r="191" spans="1:12" ht="17.25" x14ac:dyDescent="0.2">
      <c r="A191" s="207">
        <v>1800</v>
      </c>
      <c r="B191" s="219">
        <v>1744</v>
      </c>
      <c r="C191" s="223">
        <v>189</v>
      </c>
      <c r="D191" s="256">
        <v>348.7</v>
      </c>
      <c r="E191" s="258">
        <v>271.60000000000002</v>
      </c>
      <c r="F191" s="260">
        <v>134.9</v>
      </c>
      <c r="G191" s="260">
        <v>3.91</v>
      </c>
      <c r="H191" s="260">
        <v>6.53</v>
      </c>
      <c r="I191" s="264">
        <v>1.37</v>
      </c>
      <c r="J191" s="260">
        <v>23.4</v>
      </c>
      <c r="K191" s="261">
        <v>15</v>
      </c>
      <c r="L191" s="260">
        <v>0.69</v>
      </c>
    </row>
    <row r="192" spans="1:12" ht="17.25" x14ac:dyDescent="0.2">
      <c r="A192" s="209">
        <v>1856</v>
      </c>
      <c r="B192" s="221">
        <v>1800</v>
      </c>
      <c r="C192" s="223">
        <v>189</v>
      </c>
      <c r="D192" s="256">
        <v>358.3</v>
      </c>
      <c r="E192" s="258">
        <v>279.3</v>
      </c>
      <c r="F192" s="261">
        <v>139</v>
      </c>
      <c r="G192" s="260">
        <v>4.0199999999999996</v>
      </c>
      <c r="H192" s="260">
        <v>6.75</v>
      </c>
      <c r="I192" s="263">
        <v>1.3660000000000001</v>
      </c>
      <c r="J192" s="261">
        <v>24</v>
      </c>
      <c r="K192" s="261">
        <v>15</v>
      </c>
      <c r="L192" s="260">
        <v>0.71</v>
      </c>
    </row>
    <row r="193" spans="1:12" ht="17.25" x14ac:dyDescent="0.2">
      <c r="A193" s="207">
        <v>2000</v>
      </c>
      <c r="B193" s="219">
        <v>1944</v>
      </c>
      <c r="C193" s="223">
        <v>189</v>
      </c>
      <c r="D193" s="256">
        <v>382.9</v>
      </c>
      <c r="E193" s="259">
        <v>299</v>
      </c>
      <c r="F193" s="260">
        <v>149.6</v>
      </c>
      <c r="G193" s="260">
        <v>4.3099999999999996</v>
      </c>
      <c r="H193" s="260">
        <v>7.23</v>
      </c>
      <c r="I193" s="263">
        <v>1.3560000000000001</v>
      </c>
      <c r="J193" s="260">
        <v>25.7</v>
      </c>
      <c r="K193" s="261">
        <v>14</v>
      </c>
      <c r="L193" s="260">
        <v>0.77</v>
      </c>
    </row>
    <row r="194" spans="1:12" ht="17.25" x14ac:dyDescent="0.2">
      <c r="A194" s="209">
        <v>2056</v>
      </c>
      <c r="B194" s="221">
        <v>2000</v>
      </c>
      <c r="C194" s="223">
        <v>189</v>
      </c>
      <c r="D194" s="256">
        <v>392.4</v>
      </c>
      <c r="E194" s="258">
        <v>306.7</v>
      </c>
      <c r="F194" s="260">
        <v>153.80000000000001</v>
      </c>
      <c r="G194" s="260">
        <v>4.42</v>
      </c>
      <c r="H194" s="260">
        <v>7.45</v>
      </c>
      <c r="I194" s="263">
        <v>1.351</v>
      </c>
      <c r="J194" s="260">
        <v>26.4</v>
      </c>
      <c r="K194" s="261">
        <v>14</v>
      </c>
      <c r="L194" s="260">
        <v>0.79</v>
      </c>
    </row>
    <row r="195" spans="1:12" ht="17.25" x14ac:dyDescent="0.2">
      <c r="A195" s="207">
        <v>2200</v>
      </c>
      <c r="B195" s="219">
        <v>2144</v>
      </c>
      <c r="C195" s="223">
        <v>189</v>
      </c>
      <c r="D195" s="256">
        <v>416.7</v>
      </c>
      <c r="E195" s="258">
        <v>326.39999999999998</v>
      </c>
      <c r="F195" s="260">
        <v>164.6</v>
      </c>
      <c r="G195" s="260">
        <v>4.71</v>
      </c>
      <c r="H195" s="260">
        <v>7.94</v>
      </c>
      <c r="I195" s="263">
        <v>1.341</v>
      </c>
      <c r="J195" s="260">
        <v>28.1</v>
      </c>
      <c r="K195" s="261">
        <v>14</v>
      </c>
      <c r="L195" s="260">
        <v>0.84</v>
      </c>
    </row>
    <row r="196" spans="1:12" ht="17.25" x14ac:dyDescent="0.2">
      <c r="A196" s="208">
        <v>2500</v>
      </c>
      <c r="B196" s="220">
        <v>2444</v>
      </c>
      <c r="C196" s="223">
        <v>189</v>
      </c>
      <c r="D196" s="256">
        <v>467.2</v>
      </c>
      <c r="E196" s="258">
        <v>367.4</v>
      </c>
      <c r="F196" s="260">
        <v>187.4</v>
      </c>
      <c r="G196" s="260">
        <v>5.31</v>
      </c>
      <c r="H196" s="261">
        <v>9</v>
      </c>
      <c r="I196" s="263">
        <v>1.3180000000000001</v>
      </c>
      <c r="J196" s="260">
        <v>31.6</v>
      </c>
      <c r="K196" s="261">
        <v>13</v>
      </c>
      <c r="L196" s="260">
        <v>0.95</v>
      </c>
    </row>
    <row r="198" spans="1:12" ht="51" x14ac:dyDescent="0.2">
      <c r="A198" s="266" t="s">
        <v>607</v>
      </c>
      <c r="B198" s="210" t="s">
        <v>622</v>
      </c>
      <c r="C198" s="231" t="s">
        <v>628</v>
      </c>
      <c r="D198" s="230" t="s">
        <v>609</v>
      </c>
      <c r="E198" s="227" t="s">
        <v>610</v>
      </c>
      <c r="F198" s="230" t="s">
        <v>611</v>
      </c>
      <c r="G198" s="230" t="s">
        <v>612</v>
      </c>
      <c r="H198" s="230" t="s">
        <v>613</v>
      </c>
      <c r="I198" s="230" t="s">
        <v>614</v>
      </c>
      <c r="J198" s="230" t="s">
        <v>615</v>
      </c>
      <c r="K198" s="230" t="s">
        <v>616</v>
      </c>
      <c r="L198" s="231" t="s">
        <v>617</v>
      </c>
    </row>
    <row r="199" spans="1:12" ht="17.25" x14ac:dyDescent="0.2">
      <c r="A199" s="200">
        <v>207</v>
      </c>
      <c r="B199" s="211">
        <v>151</v>
      </c>
      <c r="C199" s="223">
        <v>230</v>
      </c>
      <c r="D199" s="223">
        <v>61.9</v>
      </c>
      <c r="E199" s="229">
        <v>48.7</v>
      </c>
      <c r="F199" s="225">
        <v>24.8</v>
      </c>
      <c r="G199" s="225">
        <v>0.8</v>
      </c>
      <c r="H199" s="225">
        <v>1.07</v>
      </c>
      <c r="I199" s="232">
        <v>1.3180000000000001</v>
      </c>
      <c r="J199" s="225">
        <v>4.2</v>
      </c>
      <c r="K199" s="226">
        <v>19</v>
      </c>
      <c r="L199" s="225">
        <v>0.11</v>
      </c>
    </row>
    <row r="200" spans="1:12" ht="17.25" x14ac:dyDescent="0.2">
      <c r="A200" s="200">
        <v>300</v>
      </c>
      <c r="B200" s="211">
        <v>244</v>
      </c>
      <c r="C200" s="223">
        <v>230</v>
      </c>
      <c r="D200" s="223">
        <v>86.1</v>
      </c>
      <c r="E200" s="229">
        <v>67.7</v>
      </c>
      <c r="F200" s="225">
        <v>34.5</v>
      </c>
      <c r="G200" s="225">
        <v>1.1000000000000001</v>
      </c>
      <c r="H200" s="225">
        <v>1.49</v>
      </c>
      <c r="I200" s="232">
        <v>1.3220000000000001</v>
      </c>
      <c r="J200" s="225">
        <v>5.8</v>
      </c>
      <c r="K200" s="226">
        <v>19</v>
      </c>
      <c r="L200" s="225">
        <v>0.15</v>
      </c>
    </row>
    <row r="201" spans="1:12" ht="17.25" x14ac:dyDescent="0.2">
      <c r="A201" s="200">
        <v>400</v>
      </c>
      <c r="B201" s="211">
        <v>344</v>
      </c>
      <c r="C201" s="223">
        <v>230</v>
      </c>
      <c r="D201" s="223">
        <v>110.9</v>
      </c>
      <c r="E201" s="229">
        <v>87.3</v>
      </c>
      <c r="F201" s="225">
        <v>44.6</v>
      </c>
      <c r="G201" s="225">
        <v>1.3</v>
      </c>
      <c r="H201" s="225">
        <v>1.92</v>
      </c>
      <c r="I201" s="232">
        <v>1.3129999999999999</v>
      </c>
      <c r="J201" s="225">
        <v>7.5</v>
      </c>
      <c r="K201" s="226">
        <v>18</v>
      </c>
      <c r="L201" s="225">
        <v>0.19</v>
      </c>
    </row>
    <row r="202" spans="1:12" ht="17.25" x14ac:dyDescent="0.2">
      <c r="A202" s="200">
        <v>500</v>
      </c>
      <c r="B202" s="212">
        <v>444</v>
      </c>
      <c r="C202" s="223">
        <v>230</v>
      </c>
      <c r="D202" s="223">
        <v>134.69999999999999</v>
      </c>
      <c r="E202" s="229">
        <v>106.2</v>
      </c>
      <c r="F202" s="225">
        <v>54.5</v>
      </c>
      <c r="G202" s="225">
        <v>1.6</v>
      </c>
      <c r="H202" s="225">
        <v>2.34</v>
      </c>
      <c r="I202" s="232">
        <v>1.3049999999999999</v>
      </c>
      <c r="J202" s="225">
        <v>9.1</v>
      </c>
      <c r="K202" s="226">
        <v>18</v>
      </c>
      <c r="L202" s="225">
        <v>0.24</v>
      </c>
    </row>
    <row r="203" spans="1:12" ht="17.25" x14ac:dyDescent="0.2">
      <c r="A203" s="202">
        <v>556</v>
      </c>
      <c r="B203" s="213">
        <v>500</v>
      </c>
      <c r="C203" s="223">
        <v>230</v>
      </c>
      <c r="D203" s="223">
        <v>147.6</v>
      </c>
      <c r="E203" s="229">
        <v>116.5</v>
      </c>
      <c r="F203" s="226">
        <v>60</v>
      </c>
      <c r="G203" s="225">
        <v>1.7</v>
      </c>
      <c r="H203" s="225">
        <v>2.58</v>
      </c>
      <c r="I203" s="233">
        <v>1.3</v>
      </c>
      <c r="J203" s="226">
        <v>10</v>
      </c>
      <c r="K203" s="226">
        <v>18</v>
      </c>
      <c r="L203" s="225">
        <v>0.27</v>
      </c>
    </row>
    <row r="204" spans="1:12" ht="17.25" x14ac:dyDescent="0.2">
      <c r="A204" s="203">
        <v>586</v>
      </c>
      <c r="B204" s="214">
        <v>530</v>
      </c>
      <c r="C204" s="223">
        <v>230</v>
      </c>
      <c r="D204" s="223">
        <v>154.5</v>
      </c>
      <c r="E204" s="229">
        <v>121.9</v>
      </c>
      <c r="F204" s="225">
        <v>62.8</v>
      </c>
      <c r="G204" s="225">
        <v>1.77</v>
      </c>
      <c r="H204" s="225">
        <v>2.7</v>
      </c>
      <c r="I204" s="232">
        <v>1.298</v>
      </c>
      <c r="J204" s="225">
        <v>10.5</v>
      </c>
      <c r="K204" s="226">
        <v>18</v>
      </c>
      <c r="L204" s="225">
        <v>0.28000000000000003</v>
      </c>
    </row>
    <row r="205" spans="1:12" ht="17.25" x14ac:dyDescent="0.2">
      <c r="A205" s="200">
        <v>600</v>
      </c>
      <c r="B205" s="215">
        <v>544</v>
      </c>
      <c r="C205" s="223">
        <v>230</v>
      </c>
      <c r="D205" s="223">
        <v>157.6</v>
      </c>
      <c r="E205" s="229">
        <v>124.5</v>
      </c>
      <c r="F205" s="225">
        <v>64.2</v>
      </c>
      <c r="G205" s="225">
        <v>1.8</v>
      </c>
      <c r="H205" s="225">
        <v>2.76</v>
      </c>
      <c r="I205" s="232">
        <v>1.296</v>
      </c>
      <c r="J205" s="225">
        <v>10.7</v>
      </c>
      <c r="K205" s="226">
        <v>18</v>
      </c>
      <c r="L205" s="225">
        <v>0.28999999999999998</v>
      </c>
    </row>
    <row r="206" spans="1:12" ht="17.25" x14ac:dyDescent="0.2">
      <c r="A206" s="203">
        <v>626</v>
      </c>
      <c r="B206" s="214">
        <v>570</v>
      </c>
      <c r="C206" s="223">
        <v>230</v>
      </c>
      <c r="D206" s="223">
        <v>163.5</v>
      </c>
      <c r="E206" s="229">
        <v>129.1</v>
      </c>
      <c r="F206" s="225">
        <v>66.7</v>
      </c>
      <c r="G206" s="225">
        <v>1.85</v>
      </c>
      <c r="H206" s="225">
        <v>2.87</v>
      </c>
      <c r="I206" s="232">
        <v>1.294</v>
      </c>
      <c r="J206" s="225">
        <v>11.1</v>
      </c>
      <c r="K206" s="226">
        <v>18</v>
      </c>
      <c r="L206" s="225">
        <v>0.3</v>
      </c>
    </row>
    <row r="207" spans="1:12" ht="17.25" x14ac:dyDescent="0.2">
      <c r="A207" s="202">
        <v>656</v>
      </c>
      <c r="B207" s="213">
        <v>600</v>
      </c>
      <c r="C207" s="223">
        <v>230</v>
      </c>
      <c r="D207" s="223">
        <v>170.2</v>
      </c>
      <c r="E207" s="229">
        <v>134.5</v>
      </c>
      <c r="F207" s="225">
        <v>69.5</v>
      </c>
      <c r="G207" s="225">
        <v>1.9</v>
      </c>
      <c r="H207" s="226">
        <v>3</v>
      </c>
      <c r="I207" s="232">
        <v>1.292</v>
      </c>
      <c r="J207" s="225">
        <v>11.6</v>
      </c>
      <c r="K207" s="226">
        <v>18</v>
      </c>
      <c r="L207" s="225">
        <v>0.31</v>
      </c>
    </row>
    <row r="208" spans="1:12" ht="17.25" x14ac:dyDescent="0.2">
      <c r="A208" s="204">
        <v>676</v>
      </c>
      <c r="B208" s="216">
        <v>620</v>
      </c>
      <c r="C208" s="223">
        <v>230</v>
      </c>
      <c r="D208" s="223">
        <v>174.6</v>
      </c>
      <c r="E208" s="228">
        <v>138</v>
      </c>
      <c r="F208" s="225">
        <v>71.400000000000006</v>
      </c>
      <c r="G208" s="226">
        <v>2</v>
      </c>
      <c r="H208" s="225">
        <v>3.09</v>
      </c>
      <c r="I208" s="233">
        <v>1.29</v>
      </c>
      <c r="J208" s="225">
        <v>11.9</v>
      </c>
      <c r="K208" s="226">
        <v>18</v>
      </c>
      <c r="L208" s="225">
        <v>0.32</v>
      </c>
    </row>
    <row r="209" spans="1:12" ht="17.25" x14ac:dyDescent="0.2">
      <c r="A209" s="200">
        <v>750</v>
      </c>
      <c r="B209" s="215">
        <v>694</v>
      </c>
      <c r="C209" s="223">
        <v>230</v>
      </c>
      <c r="D209" s="223">
        <v>190.7</v>
      </c>
      <c r="E209" s="229">
        <v>150.9</v>
      </c>
      <c r="F209" s="225">
        <v>78.3</v>
      </c>
      <c r="G209" s="225">
        <v>2.2000000000000002</v>
      </c>
      <c r="H209" s="225">
        <v>3.4</v>
      </c>
      <c r="I209" s="232">
        <v>1.284</v>
      </c>
      <c r="J209" s="226">
        <v>13</v>
      </c>
      <c r="K209" s="226">
        <v>17</v>
      </c>
      <c r="L209" s="225">
        <v>0.35</v>
      </c>
    </row>
    <row r="210" spans="1:12" ht="17.25" x14ac:dyDescent="0.2">
      <c r="A210" s="202">
        <v>756</v>
      </c>
      <c r="B210" s="213">
        <v>700</v>
      </c>
      <c r="C210" s="223">
        <v>230</v>
      </c>
      <c r="D210" s="224">
        <v>192</v>
      </c>
      <c r="E210" s="228">
        <v>152</v>
      </c>
      <c r="F210" s="225">
        <v>78.900000000000006</v>
      </c>
      <c r="G210" s="225">
        <v>2.2000000000000002</v>
      </c>
      <c r="H210" s="225">
        <v>3.42</v>
      </c>
      <c r="I210" s="232">
        <v>1.2829999999999999</v>
      </c>
      <c r="J210" s="225">
        <v>13.1</v>
      </c>
      <c r="K210" s="226">
        <v>17</v>
      </c>
      <c r="L210" s="225">
        <v>0.36</v>
      </c>
    </row>
    <row r="211" spans="1:12" ht="17.25" x14ac:dyDescent="0.2">
      <c r="A211" s="205">
        <v>786</v>
      </c>
      <c r="B211" s="217">
        <v>730</v>
      </c>
      <c r="C211" s="223">
        <v>230</v>
      </c>
      <c r="D211" s="223">
        <v>198.4</v>
      </c>
      <c r="E211" s="229">
        <v>157.1</v>
      </c>
      <c r="F211" s="225">
        <v>81.7</v>
      </c>
      <c r="G211" s="225">
        <v>2.25</v>
      </c>
      <c r="H211" s="225">
        <v>3.56</v>
      </c>
      <c r="I211" s="232">
        <v>1.2809999999999999</v>
      </c>
      <c r="J211" s="225">
        <v>13.5</v>
      </c>
      <c r="K211" s="226">
        <v>17</v>
      </c>
      <c r="L211" s="225">
        <v>0.37</v>
      </c>
    </row>
    <row r="212" spans="1:12" ht="17.25" x14ac:dyDescent="0.2">
      <c r="A212" s="202">
        <v>856</v>
      </c>
      <c r="B212" s="213">
        <v>800</v>
      </c>
      <c r="C212" s="223">
        <v>230</v>
      </c>
      <c r="D212" s="223">
        <v>213.2</v>
      </c>
      <c r="E212" s="228">
        <v>169</v>
      </c>
      <c r="F212" s="225">
        <v>88.1</v>
      </c>
      <c r="G212" s="225">
        <v>2.4</v>
      </c>
      <c r="H212" s="225">
        <v>3.85</v>
      </c>
      <c r="I212" s="232">
        <v>1.2749999999999999</v>
      </c>
      <c r="J212" s="225">
        <v>14.5</v>
      </c>
      <c r="K212" s="226">
        <v>17</v>
      </c>
      <c r="L212" s="225">
        <v>0.4</v>
      </c>
    </row>
    <row r="213" spans="1:12" ht="17.25" x14ac:dyDescent="0.2">
      <c r="A213" s="206">
        <v>876</v>
      </c>
      <c r="B213" s="218">
        <v>820</v>
      </c>
      <c r="C213" s="223">
        <v>230</v>
      </c>
      <c r="D213" s="223">
        <v>217.4</v>
      </c>
      <c r="E213" s="229">
        <v>172.4</v>
      </c>
      <c r="F213" s="226">
        <v>90</v>
      </c>
      <c r="G213" s="225">
        <v>2.5</v>
      </c>
      <c r="H213" s="225">
        <v>3.93</v>
      </c>
      <c r="I213" s="232">
        <v>1.2729999999999999</v>
      </c>
      <c r="J213" s="225">
        <v>14.8</v>
      </c>
      <c r="K213" s="226">
        <v>17</v>
      </c>
      <c r="L213" s="225">
        <v>0.41</v>
      </c>
    </row>
    <row r="214" spans="1:12" ht="17.25" x14ac:dyDescent="0.2">
      <c r="A214" s="207">
        <v>900</v>
      </c>
      <c r="B214" s="219">
        <v>844</v>
      </c>
      <c r="C214" s="223">
        <v>230</v>
      </c>
      <c r="D214" s="256">
        <v>222.4</v>
      </c>
      <c r="E214" s="258">
        <v>176.4</v>
      </c>
      <c r="F214" s="260">
        <v>90</v>
      </c>
      <c r="G214" s="260">
        <v>2.5</v>
      </c>
      <c r="H214" s="260">
        <v>4.03</v>
      </c>
      <c r="I214" s="263">
        <v>1.2709999999999999</v>
      </c>
      <c r="J214" s="260">
        <v>15.2</v>
      </c>
      <c r="K214" s="261">
        <v>17</v>
      </c>
      <c r="L214" s="260">
        <v>0.42</v>
      </c>
    </row>
    <row r="215" spans="1:12" ht="17.25" x14ac:dyDescent="0.2">
      <c r="A215" s="203">
        <v>926</v>
      </c>
      <c r="B215" s="214">
        <v>870</v>
      </c>
      <c r="C215" s="223">
        <v>230</v>
      </c>
      <c r="D215" s="223">
        <v>228.1</v>
      </c>
      <c r="E215" s="229">
        <v>180.7</v>
      </c>
      <c r="F215" s="225">
        <v>94.1</v>
      </c>
      <c r="G215" s="225">
        <v>2.56</v>
      </c>
      <c r="H215" s="225">
        <v>3.92</v>
      </c>
      <c r="I215" s="232">
        <v>1.2769999999999999</v>
      </c>
      <c r="J215" s="225">
        <v>15.5</v>
      </c>
      <c r="K215" s="226">
        <v>17</v>
      </c>
      <c r="L215" s="225">
        <v>0.43</v>
      </c>
    </row>
    <row r="216" spans="1:12" ht="17.25" x14ac:dyDescent="0.2">
      <c r="A216" s="207">
        <v>1000</v>
      </c>
      <c r="B216" s="219">
        <v>944</v>
      </c>
      <c r="C216" s="223">
        <v>230</v>
      </c>
      <c r="D216" s="223">
        <v>244.2</v>
      </c>
      <c r="E216" s="229">
        <v>192.9</v>
      </c>
      <c r="F216" s="225">
        <v>99.5</v>
      </c>
      <c r="G216" s="225">
        <v>2.8</v>
      </c>
      <c r="H216" s="225">
        <v>4.46</v>
      </c>
      <c r="I216" s="232">
        <v>1.296</v>
      </c>
      <c r="J216" s="225">
        <v>16.600000000000001</v>
      </c>
      <c r="K216" s="226">
        <v>17</v>
      </c>
      <c r="L216" s="225">
        <v>0.47</v>
      </c>
    </row>
    <row r="217" spans="1:12" ht="17.25" x14ac:dyDescent="0.2">
      <c r="A217" s="208">
        <v>1200</v>
      </c>
      <c r="B217" s="220">
        <v>1144</v>
      </c>
      <c r="C217" s="223">
        <v>230</v>
      </c>
      <c r="D217" s="223">
        <v>287.10000000000002</v>
      </c>
      <c r="E217" s="229">
        <v>224.7</v>
      </c>
      <c r="F217" s="225">
        <v>113.1</v>
      </c>
      <c r="G217" s="225">
        <v>3.2</v>
      </c>
      <c r="H217" s="225">
        <v>5.3</v>
      </c>
      <c r="I217" s="232">
        <v>1.345</v>
      </c>
      <c r="J217" s="225">
        <v>19.3</v>
      </c>
      <c r="K217" s="226">
        <v>16</v>
      </c>
      <c r="L217" s="225">
        <v>0.56000000000000005</v>
      </c>
    </row>
    <row r="218" spans="1:12" ht="17.25" x14ac:dyDescent="0.2">
      <c r="A218" s="208">
        <v>1500</v>
      </c>
      <c r="B218" s="220">
        <v>1444</v>
      </c>
      <c r="C218" s="223">
        <v>230</v>
      </c>
      <c r="D218" s="223">
        <v>349.7</v>
      </c>
      <c r="E218" s="228">
        <v>270</v>
      </c>
      <c r="F218" s="225">
        <v>130.80000000000001</v>
      </c>
      <c r="G218" s="226">
        <v>4</v>
      </c>
      <c r="H218" s="225">
        <v>6.57</v>
      </c>
      <c r="I218" s="232">
        <v>1.4179999999999999</v>
      </c>
      <c r="J218" s="225">
        <v>23.2</v>
      </c>
      <c r="K218" s="226">
        <v>15</v>
      </c>
      <c r="L218" s="225">
        <v>0.69</v>
      </c>
    </row>
    <row r="219" spans="1:12" ht="17.25" x14ac:dyDescent="0.2">
      <c r="A219" s="209">
        <v>1656</v>
      </c>
      <c r="B219" s="221">
        <v>1600</v>
      </c>
      <c r="C219" s="223">
        <v>230</v>
      </c>
      <c r="D219" s="224">
        <v>378</v>
      </c>
      <c r="E219" s="229">
        <v>292.5</v>
      </c>
      <c r="F219" s="225">
        <v>142.6</v>
      </c>
      <c r="G219" s="225">
        <v>4.3600000000000003</v>
      </c>
      <c r="H219" s="225">
        <v>7.23</v>
      </c>
      <c r="I219" s="232">
        <v>1.407</v>
      </c>
      <c r="J219" s="225">
        <v>25.2</v>
      </c>
      <c r="K219" s="226">
        <v>15</v>
      </c>
      <c r="L219" s="225">
        <v>0.76</v>
      </c>
    </row>
    <row r="220" spans="1:12" ht="17.25" x14ac:dyDescent="0.2">
      <c r="A220" s="207">
        <v>1800</v>
      </c>
      <c r="B220" s="219">
        <v>1744</v>
      </c>
      <c r="C220" s="223">
        <v>230</v>
      </c>
      <c r="D220" s="223">
        <v>403.4</v>
      </c>
      <c r="E220" s="229">
        <v>312.7</v>
      </c>
      <c r="F220" s="225">
        <v>153.19999999999999</v>
      </c>
      <c r="G220" s="225">
        <v>4.7</v>
      </c>
      <c r="H220" s="225">
        <v>7.84</v>
      </c>
      <c r="I220" s="232">
        <v>1.3959999999999999</v>
      </c>
      <c r="J220" s="225">
        <v>26.9</v>
      </c>
      <c r="K220" s="226">
        <v>14</v>
      </c>
      <c r="L220" s="225">
        <v>0.83</v>
      </c>
    </row>
    <row r="221" spans="1:12" ht="17.25" x14ac:dyDescent="0.2">
      <c r="A221" s="209">
        <v>1856</v>
      </c>
      <c r="B221" s="221">
        <v>1800</v>
      </c>
      <c r="C221" s="223">
        <v>230</v>
      </c>
      <c r="D221" s="224">
        <v>413</v>
      </c>
      <c r="E221" s="229">
        <v>320.39999999999998</v>
      </c>
      <c r="F221" s="225">
        <v>157.30000000000001</v>
      </c>
      <c r="G221" s="225">
        <v>4.84</v>
      </c>
      <c r="H221" s="225">
        <v>8.11</v>
      </c>
      <c r="I221" s="232">
        <v>1.3919999999999999</v>
      </c>
      <c r="J221" s="225">
        <v>27.6</v>
      </c>
      <c r="K221" s="226">
        <v>14</v>
      </c>
      <c r="L221" s="225">
        <v>0.85</v>
      </c>
    </row>
    <row r="222" spans="1:12" ht="17.25" x14ac:dyDescent="0.2">
      <c r="A222" s="207">
        <v>2000</v>
      </c>
      <c r="B222" s="219">
        <v>1944</v>
      </c>
      <c r="C222" s="223">
        <v>230</v>
      </c>
      <c r="D222" s="223">
        <v>437.2</v>
      </c>
      <c r="E222" s="229">
        <v>339.8</v>
      </c>
      <c r="F222" s="225">
        <v>167.8</v>
      </c>
      <c r="G222" s="225">
        <v>5.2</v>
      </c>
      <c r="H222" s="225">
        <v>8.69</v>
      </c>
      <c r="I222" s="232">
        <v>1.3819999999999999</v>
      </c>
      <c r="J222" s="225">
        <v>29.2</v>
      </c>
      <c r="K222" s="226">
        <v>14</v>
      </c>
      <c r="L222" s="225">
        <v>0.92</v>
      </c>
    </row>
    <row r="223" spans="1:12" ht="17.25" x14ac:dyDescent="0.2">
      <c r="A223" s="209">
        <v>2056</v>
      </c>
      <c r="B223" s="221">
        <v>2000</v>
      </c>
      <c r="C223" s="223">
        <v>230</v>
      </c>
      <c r="D223" s="223">
        <v>446.4</v>
      </c>
      <c r="E223" s="229">
        <v>347.2</v>
      </c>
      <c r="F223" s="225">
        <v>171.8</v>
      </c>
      <c r="G223" s="225">
        <v>5.29</v>
      </c>
      <c r="H223" s="225">
        <v>8.9499999999999993</v>
      </c>
      <c r="I223" s="232">
        <v>1.3779999999999999</v>
      </c>
      <c r="J223" s="225">
        <v>29.9</v>
      </c>
      <c r="K223" s="226">
        <v>13</v>
      </c>
      <c r="L223" s="225">
        <v>0.94</v>
      </c>
    </row>
    <row r="224" spans="1:12" ht="17.25" x14ac:dyDescent="0.2">
      <c r="A224" s="207">
        <v>2200</v>
      </c>
      <c r="B224" s="219">
        <v>2144</v>
      </c>
      <c r="C224" s="223">
        <v>230</v>
      </c>
      <c r="D224" s="223">
        <v>469.6</v>
      </c>
      <c r="E224" s="228">
        <v>366</v>
      </c>
      <c r="F224" s="226">
        <v>182</v>
      </c>
      <c r="G224" s="225">
        <v>5.6</v>
      </c>
      <c r="H224" s="225">
        <v>9.5299999999999994</v>
      </c>
      <c r="I224" s="232">
        <v>1.367</v>
      </c>
      <c r="J224" s="225">
        <v>31.5</v>
      </c>
      <c r="K224" s="226">
        <v>13</v>
      </c>
      <c r="L224" s="225">
        <v>1.01</v>
      </c>
    </row>
    <row r="225" spans="1:12" ht="17.25" x14ac:dyDescent="0.2">
      <c r="A225" s="208">
        <v>2500</v>
      </c>
      <c r="B225" s="220">
        <v>2444</v>
      </c>
      <c r="C225" s="223">
        <v>230</v>
      </c>
      <c r="D225" s="223">
        <v>515.6</v>
      </c>
      <c r="E225" s="229">
        <v>403.4</v>
      </c>
      <c r="F225" s="225">
        <v>202.9</v>
      </c>
      <c r="G225" s="225">
        <v>6.4</v>
      </c>
      <c r="H225" s="225">
        <v>10.8</v>
      </c>
      <c r="I225" s="232">
        <v>1.345</v>
      </c>
      <c r="J225" s="225">
        <v>34.700000000000003</v>
      </c>
      <c r="K225" s="226">
        <v>12</v>
      </c>
      <c r="L225" s="225">
        <v>1.1399999999999999</v>
      </c>
    </row>
  </sheetData>
  <mergeCells count="6">
    <mergeCell ref="A68:AB68"/>
    <mergeCell ref="D15:E15"/>
    <mergeCell ref="H15:P15"/>
    <mergeCell ref="A20:AB20"/>
    <mergeCell ref="A36:AB36"/>
    <mergeCell ref="A52:AB52"/>
  </mergeCells>
  <pageMargins left="0.7" right="0.7" top="0.78740157499999996" bottom="0.78740157499999996"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ED19B-1D0C-4292-81D4-A1F290118301}">
  <dimension ref="A1:AP199"/>
  <sheetViews>
    <sheetView topLeftCell="C3" zoomScale="85" zoomScaleNormal="85" workbookViewId="0">
      <selection activeCell="W7" sqref="W7"/>
    </sheetView>
  </sheetViews>
  <sheetFormatPr baseColWidth="10" defaultRowHeight="12.75" x14ac:dyDescent="0.2"/>
  <cols>
    <col min="1" max="1" width="13.85546875" style="2" customWidth="1"/>
    <col min="2" max="17" width="10.85546875" style="2"/>
  </cols>
  <sheetData>
    <row r="1" spans="1:42" ht="13.5" x14ac:dyDescent="0.25">
      <c r="A1" s="1" t="s">
        <v>4</v>
      </c>
      <c r="B1" s="1"/>
      <c r="C1" s="4" t="s">
        <v>2</v>
      </c>
    </row>
    <row r="2" spans="1:42" x14ac:dyDescent="0.2">
      <c r="A2" s="1" t="s">
        <v>149</v>
      </c>
      <c r="C2" s="5">
        <v>155</v>
      </c>
      <c r="D2" s="5">
        <v>300</v>
      </c>
      <c r="E2" s="5">
        <v>350</v>
      </c>
      <c r="F2" s="5">
        <v>365</v>
      </c>
      <c r="G2" s="5">
        <v>400</v>
      </c>
      <c r="H2" s="5">
        <v>415</v>
      </c>
      <c r="I2" s="5">
        <v>450</v>
      </c>
      <c r="J2" s="5">
        <v>500</v>
      </c>
      <c r="K2" s="5">
        <v>550</v>
      </c>
      <c r="L2" s="5">
        <v>565</v>
      </c>
      <c r="M2" s="5">
        <v>600</v>
      </c>
      <c r="N2" s="5">
        <v>665</v>
      </c>
      <c r="O2" s="5">
        <v>750</v>
      </c>
      <c r="P2" s="5">
        <v>865</v>
      </c>
      <c r="Q2" s="5">
        <v>900</v>
      </c>
      <c r="R2" s="5">
        <v>965</v>
      </c>
      <c r="S2" s="5">
        <v>1000</v>
      </c>
      <c r="T2" s="5">
        <v>1065</v>
      </c>
      <c r="U2" s="5">
        <v>1100</v>
      </c>
      <c r="V2" s="5">
        <v>1200</v>
      </c>
      <c r="W2" s="5">
        <v>1500</v>
      </c>
      <c r="X2" s="5">
        <v>1800</v>
      </c>
      <c r="Y2" s="5">
        <v>2000</v>
      </c>
      <c r="Z2" s="5">
        <v>2200</v>
      </c>
      <c r="AA2" s="5">
        <v>2500</v>
      </c>
      <c r="AB2" s="5">
        <v>2800</v>
      </c>
      <c r="AC2" s="5">
        <v>3000</v>
      </c>
      <c r="AD2" s="5"/>
      <c r="AE2" s="5"/>
      <c r="AF2" s="5"/>
      <c r="AG2" s="5"/>
      <c r="AH2" s="5"/>
      <c r="AI2" s="5"/>
      <c r="AJ2" s="5"/>
      <c r="AK2" s="5"/>
      <c r="AL2" s="5"/>
      <c r="AM2" s="5"/>
      <c r="AN2" s="5"/>
      <c r="AO2" s="5"/>
      <c r="AP2" s="5"/>
    </row>
    <row r="3" spans="1:42" ht="13.5" x14ac:dyDescent="0.25">
      <c r="A3" s="4" t="s">
        <v>3</v>
      </c>
      <c r="B3" s="2">
        <v>63</v>
      </c>
      <c r="C3" s="2">
        <v>12.66</v>
      </c>
      <c r="D3" s="2">
        <v>25.24</v>
      </c>
      <c r="E3" s="2">
        <v>28.96</v>
      </c>
      <c r="G3" s="2">
        <v>32.630000000000003</v>
      </c>
      <c r="I3" s="2">
        <v>36.26</v>
      </c>
      <c r="J3" s="2">
        <v>39.869999999999997</v>
      </c>
      <c r="K3" s="2">
        <v>43.46</v>
      </c>
      <c r="L3" s="2">
        <v>44.53</v>
      </c>
      <c r="M3" s="2">
        <v>47.02</v>
      </c>
      <c r="N3" s="2">
        <v>51.64</v>
      </c>
      <c r="O3" s="2">
        <v>57.65</v>
      </c>
      <c r="P3" s="2">
        <v>65.8</v>
      </c>
      <c r="Q3" s="2">
        <v>68.22</v>
      </c>
      <c r="R3" s="2">
        <v>72.8</v>
      </c>
      <c r="S3" s="2">
        <v>75.260000000000005</v>
      </c>
      <c r="T3" s="2"/>
      <c r="U3" s="2">
        <v>83.2</v>
      </c>
      <c r="V3" s="2">
        <v>89.35</v>
      </c>
      <c r="W3" s="2">
        <v>110.64</v>
      </c>
      <c r="X3" s="2">
        <v>132.22999999999999</v>
      </c>
      <c r="Y3" s="2">
        <v>146.83000000000001</v>
      </c>
      <c r="Z3" s="2">
        <v>161.63</v>
      </c>
      <c r="AA3" s="2">
        <v>184.23</v>
      </c>
      <c r="AB3" s="2">
        <v>207.56</v>
      </c>
      <c r="AC3" s="2">
        <v>223.1</v>
      </c>
      <c r="AD3" s="2" t="s">
        <v>636</v>
      </c>
    </row>
    <row r="4" spans="1:42" x14ac:dyDescent="0.2">
      <c r="B4" s="2">
        <v>101</v>
      </c>
      <c r="C4" s="2">
        <v>17.510000000000002</v>
      </c>
      <c r="D4" s="2">
        <v>35.4</v>
      </c>
      <c r="E4" s="2">
        <v>40.5</v>
      </c>
      <c r="F4" s="2">
        <v>42.01</v>
      </c>
      <c r="G4" s="2">
        <v>45.52</v>
      </c>
      <c r="H4" s="2">
        <v>47.01</v>
      </c>
      <c r="I4" s="2">
        <v>50.47</v>
      </c>
      <c r="J4" s="2">
        <v>55.38</v>
      </c>
      <c r="K4" s="2">
        <v>60.25</v>
      </c>
      <c r="L4" s="2">
        <v>61.7</v>
      </c>
      <c r="M4" s="2">
        <v>65.069999999999993</v>
      </c>
      <c r="N4" s="2">
        <v>71.31</v>
      </c>
      <c r="O4" s="2">
        <v>79.400000000000006</v>
      </c>
      <c r="P4" s="2">
        <v>90.3</v>
      </c>
      <c r="Q4" s="2">
        <v>93.57</v>
      </c>
      <c r="R4" s="2">
        <v>99.69</v>
      </c>
      <c r="S4" s="2">
        <v>102.97</v>
      </c>
      <c r="T4" s="2">
        <v>109.07</v>
      </c>
      <c r="U4" s="2">
        <v>112.34</v>
      </c>
      <c r="V4" s="2">
        <v>121.7</v>
      </c>
      <c r="W4" s="2">
        <v>149.80000000000001</v>
      </c>
      <c r="X4" s="2">
        <v>178.08</v>
      </c>
      <c r="Y4" s="2">
        <v>197.1</v>
      </c>
      <c r="Z4" s="2">
        <v>216.28</v>
      </c>
      <c r="AA4" s="2">
        <v>245.44</v>
      </c>
      <c r="AB4" s="2">
        <v>275.08999999999997</v>
      </c>
      <c r="AC4" s="2">
        <v>295.18</v>
      </c>
      <c r="AD4" s="2" t="s">
        <v>637</v>
      </c>
    </row>
    <row r="5" spans="1:42" ht="12.75" customHeight="1" x14ac:dyDescent="0.2">
      <c r="B5" s="2">
        <v>139</v>
      </c>
      <c r="C5" s="2">
        <v>22.83</v>
      </c>
      <c r="D5" s="2">
        <v>45.56</v>
      </c>
      <c r="E5" s="2">
        <v>52.04</v>
      </c>
      <c r="F5" s="2">
        <v>53.96</v>
      </c>
      <c r="G5" s="2">
        <v>58.4</v>
      </c>
      <c r="H5" s="2">
        <v>60.29</v>
      </c>
      <c r="I5" s="2">
        <v>64.680000000000007</v>
      </c>
      <c r="J5" s="2">
        <v>70.88</v>
      </c>
      <c r="K5" s="2">
        <v>77.03</v>
      </c>
      <c r="L5" s="2">
        <v>78.86</v>
      </c>
      <c r="M5" s="2">
        <v>83.12</v>
      </c>
      <c r="N5" s="2">
        <v>90.97</v>
      </c>
      <c r="O5" s="2">
        <v>101.15</v>
      </c>
      <c r="P5" s="2">
        <v>114.8</v>
      </c>
      <c r="Q5" s="2">
        <v>118.92</v>
      </c>
      <c r="R5" s="2">
        <v>126.57</v>
      </c>
      <c r="S5" s="2">
        <v>130.66999999999999</v>
      </c>
      <c r="T5" s="2">
        <v>138.29</v>
      </c>
      <c r="U5" s="2">
        <v>142.38</v>
      </c>
      <c r="V5" s="2">
        <v>154.04</v>
      </c>
      <c r="W5" s="2">
        <v>188.95</v>
      </c>
      <c r="X5" s="2">
        <v>223.92</v>
      </c>
      <c r="Y5" s="2">
        <v>247.36</v>
      </c>
      <c r="Z5" s="2">
        <v>270.93</v>
      </c>
      <c r="AA5" s="2">
        <v>306.3</v>
      </c>
      <c r="AB5" s="2">
        <v>342.82</v>
      </c>
      <c r="AC5" s="2">
        <v>367.25</v>
      </c>
      <c r="AD5" s="2" t="s">
        <v>638</v>
      </c>
    </row>
    <row r="6" spans="1:42" ht="12.75" customHeight="1" x14ac:dyDescent="0.2">
      <c r="B6" s="2">
        <v>177</v>
      </c>
      <c r="C6" s="2">
        <v>28.71</v>
      </c>
      <c r="D6" s="2">
        <v>55.98</v>
      </c>
      <c r="E6" s="2">
        <v>63.99</v>
      </c>
      <c r="F6" s="2">
        <v>66.36</v>
      </c>
      <c r="G6" s="2">
        <v>71.87</v>
      </c>
      <c r="I6" s="2">
        <v>79.64</v>
      </c>
      <c r="J6" s="2">
        <v>87.32</v>
      </c>
      <c r="K6" s="2">
        <v>94.93</v>
      </c>
      <c r="L6" s="2">
        <v>97.2</v>
      </c>
      <c r="M6" s="2">
        <v>102.48</v>
      </c>
      <c r="N6" s="2">
        <v>112.2</v>
      </c>
      <c r="O6" s="2">
        <v>124.8</v>
      </c>
      <c r="P6" s="2">
        <v>141.69999999999999</v>
      </c>
      <c r="Q6" s="2">
        <v>146.79</v>
      </c>
      <c r="R6" s="2"/>
      <c r="S6" s="2">
        <v>161.31</v>
      </c>
      <c r="T6" s="2">
        <v>170.72</v>
      </c>
      <c r="U6" s="2">
        <v>175.77</v>
      </c>
      <c r="V6" s="2">
        <v>190.17</v>
      </c>
      <c r="W6" s="2">
        <v>233.18</v>
      </c>
      <c r="X6" s="2">
        <v>276.14</v>
      </c>
      <c r="Y6" s="2">
        <v>304.85000000000002</v>
      </c>
      <c r="Z6" s="2">
        <v>333.68</v>
      </c>
      <c r="AA6" s="2">
        <v>377.21</v>
      </c>
      <c r="AB6" s="2">
        <v>421.18</v>
      </c>
      <c r="AC6" s="2">
        <v>450.78</v>
      </c>
      <c r="AD6" s="2" t="s">
        <v>639</v>
      </c>
    </row>
    <row r="7" spans="1:42" x14ac:dyDescent="0.2">
      <c r="B7" s="2">
        <v>215</v>
      </c>
      <c r="C7" s="2">
        <v>34.799999999999997</v>
      </c>
      <c r="D7" s="2">
        <v>66.39</v>
      </c>
      <c r="E7" s="2">
        <v>75.930000000000007</v>
      </c>
      <c r="F7" s="2">
        <v>78.760000000000005</v>
      </c>
      <c r="G7" s="2">
        <v>85.33</v>
      </c>
      <c r="H7" s="2">
        <v>88.12</v>
      </c>
      <c r="I7" s="2">
        <v>94.6</v>
      </c>
      <c r="J7" s="2">
        <v>103.76</v>
      </c>
      <c r="K7" s="2">
        <v>112.83</v>
      </c>
      <c r="L7" s="2">
        <v>115.54</v>
      </c>
      <c r="M7" s="2">
        <v>121.83</v>
      </c>
      <c r="N7" s="2">
        <v>133.41999999999999</v>
      </c>
      <c r="O7" s="2">
        <v>148.44999999999999</v>
      </c>
      <c r="P7" s="2">
        <v>168.5</v>
      </c>
      <c r="Q7" s="2">
        <v>174.65</v>
      </c>
      <c r="R7" s="2">
        <v>185.91</v>
      </c>
      <c r="S7" s="2">
        <v>191.95</v>
      </c>
      <c r="T7" s="2">
        <v>203.15</v>
      </c>
      <c r="U7" s="2">
        <v>209.16</v>
      </c>
      <c r="V7" s="2">
        <v>226.29</v>
      </c>
      <c r="W7" s="2">
        <v>277.41000000000003</v>
      </c>
      <c r="X7" s="2">
        <v>328.35</v>
      </c>
      <c r="Y7" s="2">
        <v>362.34</v>
      </c>
      <c r="Z7" s="2">
        <v>396.42</v>
      </c>
      <c r="AA7" s="2">
        <v>447.78</v>
      </c>
      <c r="AB7" s="2">
        <v>499.53</v>
      </c>
      <c r="AC7" s="2">
        <v>534.29999999999995</v>
      </c>
      <c r="AD7" s="2" t="s">
        <v>640</v>
      </c>
    </row>
    <row r="8" spans="1:42" x14ac:dyDescent="0.2">
      <c r="M8"/>
      <c r="N8"/>
      <c r="O8"/>
      <c r="P8"/>
      <c r="Q8"/>
    </row>
    <row r="9" spans="1:42" ht="13.5" x14ac:dyDescent="0.25">
      <c r="A9" s="1" t="s">
        <v>150</v>
      </c>
      <c r="C9" s="4" t="s">
        <v>2</v>
      </c>
      <c r="M9"/>
      <c r="N9"/>
      <c r="O9"/>
      <c r="P9"/>
      <c r="Q9"/>
    </row>
    <row r="10" spans="1:42" x14ac:dyDescent="0.2">
      <c r="A10" s="1" t="s">
        <v>0</v>
      </c>
      <c r="C10" s="5">
        <f t="shared" ref="C10:AC10" si="0">C$2</f>
        <v>155</v>
      </c>
      <c r="D10" s="5">
        <f t="shared" si="0"/>
        <v>300</v>
      </c>
      <c r="E10" s="5">
        <f t="shared" si="0"/>
        <v>350</v>
      </c>
      <c r="F10" s="5">
        <f t="shared" si="0"/>
        <v>365</v>
      </c>
      <c r="G10" s="5">
        <f t="shared" si="0"/>
        <v>400</v>
      </c>
      <c r="H10" s="5">
        <f t="shared" si="0"/>
        <v>415</v>
      </c>
      <c r="I10" s="5">
        <f t="shared" si="0"/>
        <v>450</v>
      </c>
      <c r="J10" s="5">
        <f t="shared" si="0"/>
        <v>500</v>
      </c>
      <c r="K10" s="5">
        <f t="shared" si="0"/>
        <v>550</v>
      </c>
      <c r="L10" s="5">
        <f t="shared" si="0"/>
        <v>565</v>
      </c>
      <c r="M10" s="5">
        <f t="shared" si="0"/>
        <v>600</v>
      </c>
      <c r="N10" s="5">
        <f t="shared" si="0"/>
        <v>665</v>
      </c>
      <c r="O10" s="5">
        <f t="shared" si="0"/>
        <v>750</v>
      </c>
      <c r="P10" s="5">
        <f t="shared" si="0"/>
        <v>865</v>
      </c>
      <c r="Q10" s="5">
        <f t="shared" si="0"/>
        <v>900</v>
      </c>
      <c r="R10" s="5">
        <f t="shared" si="0"/>
        <v>965</v>
      </c>
      <c r="S10" s="5">
        <f t="shared" si="0"/>
        <v>1000</v>
      </c>
      <c r="T10" s="5">
        <f t="shared" si="0"/>
        <v>1065</v>
      </c>
      <c r="U10" s="5">
        <f t="shared" si="0"/>
        <v>1100</v>
      </c>
      <c r="V10" s="5">
        <f t="shared" si="0"/>
        <v>1200</v>
      </c>
      <c r="W10" s="5">
        <f t="shared" si="0"/>
        <v>1500</v>
      </c>
      <c r="X10" s="5">
        <f t="shared" si="0"/>
        <v>1800</v>
      </c>
      <c r="Y10" s="5">
        <f t="shared" si="0"/>
        <v>2000</v>
      </c>
      <c r="Z10" s="5">
        <f t="shared" si="0"/>
        <v>2200</v>
      </c>
      <c r="AA10" s="5">
        <f t="shared" si="0"/>
        <v>2500</v>
      </c>
      <c r="AB10" s="5">
        <f t="shared" si="0"/>
        <v>2800</v>
      </c>
      <c r="AC10" s="5">
        <f t="shared" si="0"/>
        <v>3000</v>
      </c>
      <c r="AD10" s="5"/>
      <c r="AE10" s="5"/>
      <c r="AF10" s="5"/>
      <c r="AG10" s="5"/>
      <c r="AH10" s="5"/>
    </row>
    <row r="11" spans="1:42" ht="13.5" x14ac:dyDescent="0.25">
      <c r="A11" s="4" t="s">
        <v>3</v>
      </c>
      <c r="B11" s="2">
        <f>B3</f>
        <v>63</v>
      </c>
      <c r="C11" s="2">
        <v>1.21</v>
      </c>
      <c r="D11" s="2">
        <v>1.22</v>
      </c>
      <c r="E11" s="2">
        <v>1.23</v>
      </c>
      <c r="G11" s="2">
        <v>1.23</v>
      </c>
      <c r="I11" s="2">
        <v>1.23</v>
      </c>
      <c r="J11" s="2">
        <v>1.24</v>
      </c>
      <c r="K11" s="2">
        <v>1.24</v>
      </c>
      <c r="L11" s="2">
        <v>1.24</v>
      </c>
      <c r="M11" s="2">
        <v>1.24</v>
      </c>
      <c r="N11" s="2">
        <v>1.25</v>
      </c>
      <c r="O11" s="2">
        <v>1.25</v>
      </c>
      <c r="P11" s="2">
        <v>1.26</v>
      </c>
      <c r="Q11" s="2">
        <v>1.26</v>
      </c>
      <c r="R11" s="2">
        <v>1.27</v>
      </c>
      <c r="S11" s="2">
        <v>1.27</v>
      </c>
      <c r="T11" s="2"/>
      <c r="U11" s="2">
        <v>1.28</v>
      </c>
      <c r="V11" s="2">
        <v>1.28</v>
      </c>
      <c r="W11" s="2">
        <v>1.3</v>
      </c>
      <c r="X11" s="2">
        <v>1.32</v>
      </c>
      <c r="Y11" s="2">
        <v>1.33</v>
      </c>
      <c r="Z11" s="2">
        <v>1.34</v>
      </c>
      <c r="AA11" s="2">
        <v>1.34</v>
      </c>
      <c r="AB11" s="2">
        <v>1.34</v>
      </c>
      <c r="AC11" s="2">
        <v>1.3</v>
      </c>
      <c r="AD11" s="2"/>
      <c r="AE11" s="2"/>
      <c r="AF11" s="2"/>
      <c r="AG11" s="2"/>
      <c r="AH11" s="2"/>
    </row>
    <row r="12" spans="1:42" x14ac:dyDescent="0.2">
      <c r="B12" s="2">
        <f>B4</f>
        <v>101</v>
      </c>
      <c r="C12" s="2">
        <v>1.22</v>
      </c>
      <c r="D12" s="2">
        <v>1.23</v>
      </c>
      <c r="E12" s="2">
        <v>1.23</v>
      </c>
      <c r="F12" s="2">
        <v>1.23</v>
      </c>
      <c r="G12" s="2">
        <v>1.24</v>
      </c>
      <c r="H12" s="2">
        <v>1.24</v>
      </c>
      <c r="I12" s="2">
        <v>1.24</v>
      </c>
      <c r="J12" s="2">
        <v>1.25</v>
      </c>
      <c r="K12" s="2">
        <v>1.26</v>
      </c>
      <c r="L12" s="2">
        <v>1.26</v>
      </c>
      <c r="M12" s="2">
        <v>1.26</v>
      </c>
      <c r="N12" s="2">
        <v>1.27</v>
      </c>
      <c r="O12" s="2">
        <v>1.28</v>
      </c>
      <c r="P12" s="2">
        <v>1.29</v>
      </c>
      <c r="Q12" s="2">
        <v>1.29</v>
      </c>
      <c r="R12" s="2">
        <v>1.29</v>
      </c>
      <c r="S12" s="2">
        <v>1.3</v>
      </c>
      <c r="T12" s="2">
        <v>1.3</v>
      </c>
      <c r="U12" s="2">
        <v>1.3</v>
      </c>
      <c r="V12" s="2">
        <v>1.31</v>
      </c>
      <c r="W12" s="2">
        <v>1.33</v>
      </c>
      <c r="X12" s="2">
        <v>1.34</v>
      </c>
      <c r="Y12" s="2">
        <v>1.34</v>
      </c>
      <c r="Z12" s="2">
        <v>1.34</v>
      </c>
      <c r="AA12" s="2">
        <v>1.34</v>
      </c>
      <c r="AB12" s="2">
        <v>1.33</v>
      </c>
      <c r="AC12" s="2">
        <v>1.32</v>
      </c>
      <c r="AD12" s="2"/>
      <c r="AE12" s="2"/>
      <c r="AF12" s="2"/>
      <c r="AG12" s="2"/>
      <c r="AH12" s="2"/>
    </row>
    <row r="13" spans="1:42" x14ac:dyDescent="0.2">
      <c r="B13" s="2">
        <f>B5</f>
        <v>139</v>
      </c>
      <c r="C13" s="2">
        <v>1.22</v>
      </c>
      <c r="D13" s="2">
        <v>1.23</v>
      </c>
      <c r="E13" s="2">
        <v>1.24</v>
      </c>
      <c r="F13" s="2">
        <v>1.24</v>
      </c>
      <c r="G13" s="2">
        <v>1.25</v>
      </c>
      <c r="H13" s="2">
        <v>1.25</v>
      </c>
      <c r="I13" s="2">
        <v>1.26</v>
      </c>
      <c r="J13" s="2">
        <v>1.26</v>
      </c>
      <c r="K13" s="2">
        <v>1.27</v>
      </c>
      <c r="L13" s="2">
        <v>1.27</v>
      </c>
      <c r="M13" s="2">
        <v>1.28</v>
      </c>
      <c r="N13" s="2">
        <v>1.29</v>
      </c>
      <c r="O13" s="2">
        <v>1.28</v>
      </c>
      <c r="P13" s="2">
        <v>1.31</v>
      </c>
      <c r="Q13" s="2">
        <v>1.31</v>
      </c>
      <c r="R13" s="2">
        <v>1.32</v>
      </c>
      <c r="S13" s="2">
        <v>1.32</v>
      </c>
      <c r="T13" s="2">
        <v>1.33</v>
      </c>
      <c r="U13" s="2">
        <v>1.33</v>
      </c>
      <c r="V13" s="2">
        <v>1.34</v>
      </c>
      <c r="W13" s="2">
        <v>1.35</v>
      </c>
      <c r="X13" s="2">
        <v>1.35</v>
      </c>
      <c r="Y13" s="2">
        <v>1.35</v>
      </c>
      <c r="Z13" s="2">
        <v>1.35</v>
      </c>
      <c r="AA13" s="2">
        <v>1.34</v>
      </c>
      <c r="AB13" s="2">
        <v>1.3</v>
      </c>
      <c r="AC13" s="2">
        <v>1.32</v>
      </c>
      <c r="AD13" s="2"/>
      <c r="AE13" s="2"/>
      <c r="AF13" s="2"/>
      <c r="AG13" s="2"/>
      <c r="AH13" s="2"/>
    </row>
    <row r="14" spans="1:42" x14ac:dyDescent="0.2">
      <c r="B14" s="2">
        <f>B6</f>
        <v>177</v>
      </c>
      <c r="C14" s="2">
        <v>1.24</v>
      </c>
      <c r="D14" s="2">
        <v>1.24</v>
      </c>
      <c r="E14" s="2">
        <v>1.25</v>
      </c>
      <c r="F14" s="2">
        <v>1.25</v>
      </c>
      <c r="G14" s="2">
        <v>1.26</v>
      </c>
      <c r="I14" s="2">
        <v>1.26</v>
      </c>
      <c r="J14" s="2">
        <v>1.27</v>
      </c>
      <c r="K14" s="2">
        <v>1.28</v>
      </c>
      <c r="L14" s="2">
        <v>1.28</v>
      </c>
      <c r="M14" s="2">
        <v>1.28</v>
      </c>
      <c r="N14" s="2">
        <v>1.29</v>
      </c>
      <c r="O14" s="2">
        <v>1.28</v>
      </c>
      <c r="P14" s="2">
        <v>1.31</v>
      </c>
      <c r="Q14" s="2">
        <v>1.31</v>
      </c>
      <c r="R14" s="2"/>
      <c r="S14" s="2">
        <v>1.32</v>
      </c>
      <c r="T14" s="2">
        <v>1.33</v>
      </c>
      <c r="U14" s="2">
        <v>1.33</v>
      </c>
      <c r="V14" s="2">
        <v>1.34</v>
      </c>
      <c r="W14" s="2">
        <v>1.35</v>
      </c>
      <c r="X14" s="2">
        <v>1.35</v>
      </c>
      <c r="Y14" s="2">
        <v>1.35</v>
      </c>
      <c r="Z14" s="2">
        <v>1.34</v>
      </c>
      <c r="AA14" s="2">
        <v>1.33</v>
      </c>
      <c r="AB14" s="2">
        <v>1.31</v>
      </c>
      <c r="AC14" s="2">
        <v>1.3</v>
      </c>
      <c r="AD14" s="2"/>
      <c r="AE14" s="2"/>
      <c r="AF14" s="2"/>
      <c r="AG14" s="2"/>
      <c r="AH14" s="2"/>
    </row>
    <row r="15" spans="1:42" x14ac:dyDescent="0.2">
      <c r="B15" s="2">
        <f>B7</f>
        <v>215</v>
      </c>
      <c r="C15" s="2">
        <v>1.24</v>
      </c>
      <c r="D15" s="2">
        <v>1.25</v>
      </c>
      <c r="E15" s="2">
        <v>1.26</v>
      </c>
      <c r="F15" s="2">
        <v>1.26</v>
      </c>
      <c r="G15" s="2">
        <v>1.26</v>
      </c>
      <c r="H15" s="2">
        <v>1.27</v>
      </c>
      <c r="I15" s="2">
        <v>1.27</v>
      </c>
      <c r="J15" s="2">
        <v>1.28</v>
      </c>
      <c r="K15" s="2">
        <v>1.28</v>
      </c>
      <c r="L15" s="2">
        <v>1.28</v>
      </c>
      <c r="M15" s="2">
        <v>1.29</v>
      </c>
      <c r="N15" s="2">
        <v>1.29</v>
      </c>
      <c r="O15" s="2">
        <v>1.3</v>
      </c>
      <c r="P15" s="2">
        <v>1.31</v>
      </c>
      <c r="Q15" s="2">
        <v>1.31</v>
      </c>
      <c r="R15" s="2">
        <v>1.32</v>
      </c>
      <c r="S15" s="2">
        <v>1.32</v>
      </c>
      <c r="T15" s="2">
        <v>1.32</v>
      </c>
      <c r="U15" s="2">
        <v>1.33</v>
      </c>
      <c r="V15" s="2">
        <v>1.33</v>
      </c>
      <c r="W15" s="2">
        <v>1.34</v>
      </c>
      <c r="X15" s="2">
        <v>1.35</v>
      </c>
      <c r="Y15" s="2">
        <v>1.34</v>
      </c>
      <c r="Z15" s="2">
        <v>1.34</v>
      </c>
      <c r="AA15" s="2">
        <v>1.32</v>
      </c>
      <c r="AB15" s="2">
        <v>1.3</v>
      </c>
      <c r="AC15" s="2">
        <v>1.28</v>
      </c>
      <c r="AD15" s="2"/>
      <c r="AE15" s="2"/>
      <c r="AF15" s="2"/>
      <c r="AG15" s="2"/>
      <c r="AH15" s="2"/>
    </row>
    <row r="16" spans="1:42" x14ac:dyDescent="0.2">
      <c r="M16"/>
      <c r="N16"/>
      <c r="O16"/>
      <c r="P16"/>
      <c r="Q16"/>
    </row>
    <row r="17" spans="1:34" ht="26.25" x14ac:dyDescent="0.25">
      <c r="A17" s="57" t="s">
        <v>151</v>
      </c>
      <c r="C17" s="4" t="s">
        <v>2</v>
      </c>
      <c r="M17"/>
      <c r="N17"/>
      <c r="O17"/>
      <c r="P17"/>
      <c r="Q17"/>
    </row>
    <row r="18" spans="1:34" ht="12.75" customHeight="1" x14ac:dyDescent="0.2">
      <c r="A18" s="1" t="s">
        <v>152</v>
      </c>
      <c r="C18" s="5">
        <f t="shared" ref="C18:AC18" si="1">C$2</f>
        <v>155</v>
      </c>
      <c r="D18" s="5">
        <f t="shared" si="1"/>
        <v>300</v>
      </c>
      <c r="E18" s="5">
        <f t="shared" si="1"/>
        <v>350</v>
      </c>
      <c r="F18" s="5">
        <f t="shared" si="1"/>
        <v>365</v>
      </c>
      <c r="G18" s="5">
        <f t="shared" si="1"/>
        <v>400</v>
      </c>
      <c r="H18" s="5">
        <f t="shared" si="1"/>
        <v>415</v>
      </c>
      <c r="I18" s="5">
        <f t="shared" si="1"/>
        <v>450</v>
      </c>
      <c r="J18" s="5">
        <f t="shared" si="1"/>
        <v>500</v>
      </c>
      <c r="K18" s="5">
        <f t="shared" si="1"/>
        <v>550</v>
      </c>
      <c r="L18" s="5">
        <f t="shared" si="1"/>
        <v>565</v>
      </c>
      <c r="M18" s="5">
        <f t="shared" si="1"/>
        <v>600</v>
      </c>
      <c r="N18" s="5">
        <f t="shared" si="1"/>
        <v>665</v>
      </c>
      <c r="O18" s="5">
        <f t="shared" si="1"/>
        <v>750</v>
      </c>
      <c r="P18" s="5">
        <f t="shared" si="1"/>
        <v>865</v>
      </c>
      <c r="Q18" s="5">
        <f t="shared" si="1"/>
        <v>900</v>
      </c>
      <c r="R18" s="5">
        <f t="shared" si="1"/>
        <v>965</v>
      </c>
      <c r="S18" s="5">
        <f t="shared" si="1"/>
        <v>1000</v>
      </c>
      <c r="T18" s="5">
        <f t="shared" si="1"/>
        <v>1065</v>
      </c>
      <c r="U18" s="5">
        <f t="shared" si="1"/>
        <v>1100</v>
      </c>
      <c r="V18" s="5">
        <f t="shared" si="1"/>
        <v>1200</v>
      </c>
      <c r="W18" s="5">
        <f t="shared" si="1"/>
        <v>1500</v>
      </c>
      <c r="X18" s="5">
        <f t="shared" si="1"/>
        <v>1800</v>
      </c>
      <c r="Y18" s="5">
        <f t="shared" si="1"/>
        <v>2000</v>
      </c>
      <c r="Z18" s="5">
        <f t="shared" si="1"/>
        <v>2200</v>
      </c>
      <c r="AA18" s="5">
        <f t="shared" si="1"/>
        <v>2500</v>
      </c>
      <c r="AB18" s="5">
        <f t="shared" si="1"/>
        <v>2800</v>
      </c>
      <c r="AC18" s="5">
        <f t="shared" si="1"/>
        <v>3000</v>
      </c>
      <c r="AD18" s="5"/>
      <c r="AE18" s="5"/>
      <c r="AF18" s="5"/>
      <c r="AG18" s="5"/>
      <c r="AH18" s="5"/>
    </row>
    <row r="19" spans="1:34" ht="13.5" customHeight="1" x14ac:dyDescent="0.25">
      <c r="A19" s="4" t="s">
        <v>3</v>
      </c>
      <c r="B19" s="2">
        <f>B3</f>
        <v>63</v>
      </c>
      <c r="C19" s="2">
        <v>0.3</v>
      </c>
      <c r="D19" s="2">
        <v>0.52</v>
      </c>
      <c r="E19" s="2">
        <v>0.6</v>
      </c>
      <c r="G19" s="2">
        <v>0.68</v>
      </c>
      <c r="I19" s="2">
        <v>0.75</v>
      </c>
      <c r="J19" s="2">
        <v>0.83</v>
      </c>
      <c r="K19" s="2">
        <v>0.91</v>
      </c>
      <c r="L19" s="2">
        <v>0.93</v>
      </c>
      <c r="M19" s="2">
        <v>0.98</v>
      </c>
      <c r="N19" s="2">
        <v>1.08</v>
      </c>
      <c r="O19" s="2">
        <v>1.21</v>
      </c>
      <c r="P19" s="2">
        <v>1.39</v>
      </c>
      <c r="Q19" s="2">
        <v>1.44</v>
      </c>
      <c r="R19" s="2">
        <v>1.54</v>
      </c>
      <c r="S19" s="2">
        <v>1.59</v>
      </c>
      <c r="T19" s="2"/>
      <c r="U19" s="2">
        <v>1.75</v>
      </c>
      <c r="V19" s="2">
        <v>1.9</v>
      </c>
      <c r="W19" s="2">
        <v>2.36</v>
      </c>
      <c r="X19" s="2">
        <v>2.82</v>
      </c>
      <c r="Y19" s="2">
        <v>3.12</v>
      </c>
      <c r="Z19" s="2">
        <v>3.43</v>
      </c>
      <c r="AA19" s="2">
        <v>3.89</v>
      </c>
      <c r="AB19" s="2">
        <v>4.34</v>
      </c>
      <c r="AC19" s="2">
        <v>4.6500000000000004</v>
      </c>
      <c r="AD19" s="2"/>
      <c r="AE19" s="2"/>
      <c r="AF19" s="2"/>
      <c r="AG19" s="2"/>
      <c r="AH19" s="2"/>
    </row>
    <row r="20" spans="1:34" ht="12.75" customHeight="1" x14ac:dyDescent="0.2">
      <c r="B20" s="2">
        <f>B4</f>
        <v>101</v>
      </c>
      <c r="C20" s="2">
        <v>0.45</v>
      </c>
      <c r="D20" s="2">
        <v>0.78</v>
      </c>
      <c r="E20" s="2">
        <v>0.89</v>
      </c>
      <c r="F20" s="2">
        <v>0.91</v>
      </c>
      <c r="G20" s="2">
        <v>1</v>
      </c>
      <c r="H20" s="2">
        <v>1.03</v>
      </c>
      <c r="I20" s="2">
        <v>1.1200000000000001</v>
      </c>
      <c r="J20" s="2">
        <v>1.23</v>
      </c>
      <c r="K20" s="2">
        <v>1.34</v>
      </c>
      <c r="L20" s="2">
        <v>1.38</v>
      </c>
      <c r="M20" s="2">
        <v>1.46</v>
      </c>
      <c r="N20" s="2">
        <v>1.6</v>
      </c>
      <c r="O20" s="2">
        <v>1.79</v>
      </c>
      <c r="P20" s="2">
        <v>2.0499999999999998</v>
      </c>
      <c r="Q20" s="2">
        <v>2.13</v>
      </c>
      <c r="R20" s="2">
        <v>2.2799999999999998</v>
      </c>
      <c r="S20" s="2">
        <v>2.36</v>
      </c>
      <c r="T20" s="2">
        <v>2.46</v>
      </c>
      <c r="U20" s="2">
        <v>2.59</v>
      </c>
      <c r="V20" s="2">
        <v>2.81</v>
      </c>
      <c r="W20" s="2">
        <v>3.49</v>
      </c>
      <c r="X20" s="2">
        <v>4.17</v>
      </c>
      <c r="Y20" s="2">
        <v>4.62</v>
      </c>
      <c r="Z20" s="2">
        <v>5.07</v>
      </c>
      <c r="AA20" s="2">
        <v>5.75</v>
      </c>
      <c r="AB20" s="2">
        <v>6.43</v>
      </c>
      <c r="AC20" s="2">
        <v>6.88</v>
      </c>
      <c r="AD20" s="2"/>
      <c r="AE20" s="2"/>
      <c r="AF20" s="2"/>
      <c r="AG20" s="2"/>
      <c r="AH20" s="2"/>
    </row>
    <row r="21" spans="1:34" ht="12.75" customHeight="1" x14ac:dyDescent="0.2">
      <c r="B21" s="2">
        <f>B5</f>
        <v>139</v>
      </c>
      <c r="C21" s="2">
        <v>0.61</v>
      </c>
      <c r="D21" s="2">
        <v>1.05</v>
      </c>
      <c r="E21" s="2">
        <v>1.2</v>
      </c>
      <c r="F21" s="2">
        <v>1.22</v>
      </c>
      <c r="G21" s="2">
        <v>1.35</v>
      </c>
      <c r="H21" s="2">
        <v>1.37</v>
      </c>
      <c r="I21" s="2">
        <v>1.49</v>
      </c>
      <c r="J21" s="2">
        <v>1.64</v>
      </c>
      <c r="K21" s="2">
        <v>1.79</v>
      </c>
      <c r="L21" s="2">
        <v>1.84</v>
      </c>
      <c r="M21" s="2">
        <v>1.94</v>
      </c>
      <c r="N21" s="2">
        <v>2.14</v>
      </c>
      <c r="O21" s="2">
        <v>2.39</v>
      </c>
      <c r="P21" s="2">
        <v>2.73</v>
      </c>
      <c r="Q21" s="2">
        <v>2.84</v>
      </c>
      <c r="R21" s="2">
        <v>3.04</v>
      </c>
      <c r="S21" s="2">
        <v>3.14</v>
      </c>
      <c r="T21" s="2">
        <v>3.24</v>
      </c>
      <c r="U21" s="2">
        <v>3.44</v>
      </c>
      <c r="V21" s="2">
        <v>3.74</v>
      </c>
      <c r="W21" s="2">
        <v>4.6399999999999997</v>
      </c>
      <c r="X21" s="2">
        <v>5.53</v>
      </c>
      <c r="Y21" s="2">
        <v>6.13</v>
      </c>
      <c r="Z21" s="2">
        <v>6.73</v>
      </c>
      <c r="AA21" s="2">
        <v>7.63</v>
      </c>
      <c r="AB21" s="2">
        <v>8.5299999999999994</v>
      </c>
      <c r="AC21" s="2">
        <v>9.1199999999999992</v>
      </c>
      <c r="AD21" s="2"/>
      <c r="AE21" s="2"/>
      <c r="AF21" s="2"/>
      <c r="AG21" s="2"/>
      <c r="AH21" s="2"/>
    </row>
    <row r="22" spans="1:34" ht="12.75" customHeight="1" x14ac:dyDescent="0.2">
      <c r="B22" s="2">
        <f>B6</f>
        <v>177</v>
      </c>
      <c r="C22" s="2">
        <v>0.76</v>
      </c>
      <c r="D22" s="2">
        <v>1.3</v>
      </c>
      <c r="E22" s="2">
        <v>1.49</v>
      </c>
      <c r="F22" s="2">
        <v>1.54</v>
      </c>
      <c r="G22" s="2">
        <v>1.67</v>
      </c>
      <c r="I22" s="2">
        <v>1.86</v>
      </c>
      <c r="J22" s="2">
        <v>2.04</v>
      </c>
      <c r="K22" s="2">
        <v>2.23</v>
      </c>
      <c r="L22" s="2">
        <v>2.29</v>
      </c>
      <c r="M22" s="2">
        <v>2.42</v>
      </c>
      <c r="N22" s="2">
        <v>2.66</v>
      </c>
      <c r="O22" s="2">
        <v>2.97</v>
      </c>
      <c r="P22" s="2">
        <v>3.22</v>
      </c>
      <c r="Q22" s="2">
        <v>3.53</v>
      </c>
      <c r="R22" s="2"/>
      <c r="S22" s="2">
        <v>3.91</v>
      </c>
      <c r="T22" s="2">
        <v>4.1500000000000004</v>
      </c>
      <c r="U22" s="2">
        <v>4.28</v>
      </c>
      <c r="V22" s="2">
        <v>4.6500000000000004</v>
      </c>
      <c r="W22" s="2">
        <v>5.77</v>
      </c>
      <c r="X22" s="2">
        <v>6.88</v>
      </c>
      <c r="Y22" s="2">
        <v>7.63</v>
      </c>
      <c r="Z22" s="2">
        <v>8.3800000000000008</v>
      </c>
      <c r="AA22" s="2">
        <v>9.49</v>
      </c>
      <c r="AB22" s="2">
        <v>10.61</v>
      </c>
      <c r="AC22" s="2">
        <v>11.35</v>
      </c>
      <c r="AD22" s="2"/>
      <c r="AE22" s="2"/>
      <c r="AF22" s="2"/>
      <c r="AG22" s="2"/>
      <c r="AH22" s="2"/>
    </row>
    <row r="23" spans="1:34" x14ac:dyDescent="0.2">
      <c r="B23" s="2">
        <f>B7</f>
        <v>215</v>
      </c>
      <c r="C23" s="2">
        <v>0.93</v>
      </c>
      <c r="D23" s="2">
        <v>1.57</v>
      </c>
      <c r="E23" s="2">
        <v>1.86</v>
      </c>
      <c r="F23" s="2">
        <v>1.86</v>
      </c>
      <c r="G23" s="2">
        <v>2.02</v>
      </c>
      <c r="H23" s="2">
        <v>2.08</v>
      </c>
      <c r="I23" s="2">
        <v>2.2400000000000002</v>
      </c>
      <c r="J23" s="2">
        <v>2.46</v>
      </c>
      <c r="K23" s="2">
        <v>2.68</v>
      </c>
      <c r="L23" s="2">
        <v>2.75</v>
      </c>
      <c r="M23" s="2">
        <v>2.91</v>
      </c>
      <c r="N23" s="2">
        <v>3.2</v>
      </c>
      <c r="O23" s="2">
        <v>3.58</v>
      </c>
      <c r="P23" s="2">
        <v>4.09</v>
      </c>
      <c r="Q23" s="2">
        <v>4.24</v>
      </c>
      <c r="R23" s="2">
        <v>4.3</v>
      </c>
      <c r="S23" s="2">
        <v>4.6900000000000004</v>
      </c>
      <c r="T23" s="2">
        <v>4.9800000000000004</v>
      </c>
      <c r="U23" s="2">
        <v>5.14</v>
      </c>
      <c r="V23" s="2">
        <v>5.58</v>
      </c>
      <c r="W23" s="2">
        <v>6.92</v>
      </c>
      <c r="X23" s="2">
        <v>8.25</v>
      </c>
      <c r="Y23" s="2">
        <v>9.15</v>
      </c>
      <c r="Z23" s="2">
        <v>10.039999999999999</v>
      </c>
      <c r="AA23" s="2">
        <v>11.37</v>
      </c>
      <c r="AB23" s="2">
        <v>12.71</v>
      </c>
      <c r="AC23" s="2">
        <v>13.6</v>
      </c>
      <c r="AD23" s="2"/>
      <c r="AE23" s="2"/>
      <c r="AF23" s="2"/>
      <c r="AG23" s="2"/>
      <c r="AH23" s="2"/>
    </row>
    <row r="24" spans="1:34" x14ac:dyDescent="0.2">
      <c r="C24" s="8"/>
      <c r="D24" s="8"/>
      <c r="E24" s="8"/>
      <c r="F24" s="8"/>
      <c r="G24" s="8"/>
      <c r="H24" s="8"/>
      <c r="I24" s="8"/>
      <c r="J24" s="8"/>
      <c r="K24" s="8"/>
      <c r="L24" s="8"/>
      <c r="M24"/>
      <c r="N24"/>
      <c r="O24"/>
      <c r="P24"/>
      <c r="Q24"/>
    </row>
    <row r="25" spans="1:34" ht="40.5" x14ac:dyDescent="0.25">
      <c r="A25" s="57" t="s">
        <v>153</v>
      </c>
      <c r="C25" s="4" t="s">
        <v>2</v>
      </c>
      <c r="M25"/>
      <c r="N25"/>
      <c r="O25"/>
      <c r="P25"/>
      <c r="Q25"/>
    </row>
    <row r="26" spans="1:34" x14ac:dyDescent="0.2">
      <c r="A26" s="1" t="s">
        <v>154</v>
      </c>
      <c r="C26" s="5">
        <f t="shared" ref="C26:AC26" si="2">C$2</f>
        <v>155</v>
      </c>
      <c r="D26" s="5">
        <f t="shared" si="2"/>
        <v>300</v>
      </c>
      <c r="E26" s="5">
        <f t="shared" si="2"/>
        <v>350</v>
      </c>
      <c r="F26" s="5">
        <f t="shared" si="2"/>
        <v>365</v>
      </c>
      <c r="G26" s="5">
        <f t="shared" si="2"/>
        <v>400</v>
      </c>
      <c r="H26" s="5">
        <f t="shared" si="2"/>
        <v>415</v>
      </c>
      <c r="I26" s="5">
        <f t="shared" si="2"/>
        <v>450</v>
      </c>
      <c r="J26" s="5">
        <f t="shared" si="2"/>
        <v>500</v>
      </c>
      <c r="K26" s="5">
        <f t="shared" si="2"/>
        <v>550</v>
      </c>
      <c r="L26" s="5">
        <f t="shared" si="2"/>
        <v>565</v>
      </c>
      <c r="M26" s="5">
        <f t="shared" si="2"/>
        <v>600</v>
      </c>
      <c r="N26" s="5">
        <f t="shared" si="2"/>
        <v>665</v>
      </c>
      <c r="O26" s="5">
        <f t="shared" si="2"/>
        <v>750</v>
      </c>
      <c r="P26" s="5">
        <f t="shared" si="2"/>
        <v>865</v>
      </c>
      <c r="Q26" s="5">
        <f t="shared" si="2"/>
        <v>900</v>
      </c>
      <c r="R26" s="5">
        <f t="shared" si="2"/>
        <v>965</v>
      </c>
      <c r="S26" s="5">
        <f t="shared" si="2"/>
        <v>1000</v>
      </c>
      <c r="T26" s="5">
        <f t="shared" si="2"/>
        <v>1065</v>
      </c>
      <c r="U26" s="5">
        <f t="shared" si="2"/>
        <v>1100</v>
      </c>
      <c r="V26" s="5">
        <f t="shared" si="2"/>
        <v>1200</v>
      </c>
      <c r="W26" s="5">
        <f t="shared" si="2"/>
        <v>1500</v>
      </c>
      <c r="X26" s="5">
        <f t="shared" si="2"/>
        <v>1800</v>
      </c>
      <c r="Y26" s="5">
        <f t="shared" si="2"/>
        <v>2000</v>
      </c>
      <c r="Z26" s="5">
        <f t="shared" si="2"/>
        <v>2200</v>
      </c>
      <c r="AA26" s="5">
        <f t="shared" si="2"/>
        <v>2500</v>
      </c>
      <c r="AB26" s="5">
        <f t="shared" si="2"/>
        <v>2800</v>
      </c>
      <c r="AC26" s="5">
        <f t="shared" si="2"/>
        <v>3000</v>
      </c>
      <c r="AD26" s="5"/>
      <c r="AE26" s="5"/>
      <c r="AF26" s="5"/>
      <c r="AG26" s="5"/>
      <c r="AH26" s="5"/>
    </row>
    <row r="27" spans="1:34" ht="13.5" x14ac:dyDescent="0.25">
      <c r="A27" s="4" t="s">
        <v>3</v>
      </c>
      <c r="B27" s="2">
        <f>B3</f>
        <v>63</v>
      </c>
      <c r="R27" s="2"/>
      <c r="S27" s="2"/>
      <c r="T27" s="2"/>
      <c r="U27" s="2"/>
      <c r="V27" s="2"/>
      <c r="W27" s="2"/>
      <c r="X27" s="2"/>
      <c r="Y27" s="2"/>
      <c r="Z27" s="2"/>
      <c r="AA27" s="2"/>
      <c r="AB27" s="2"/>
      <c r="AC27" s="2"/>
      <c r="AD27" s="2"/>
      <c r="AE27" s="2"/>
      <c r="AF27" s="2"/>
      <c r="AG27" s="2"/>
      <c r="AH27" s="2"/>
    </row>
    <row r="28" spans="1:34" x14ac:dyDescent="0.2">
      <c r="B28" s="2">
        <f>B4</f>
        <v>101</v>
      </c>
      <c r="R28" s="2"/>
      <c r="S28" s="2"/>
      <c r="T28" s="2"/>
      <c r="U28" s="2"/>
      <c r="V28" s="2"/>
      <c r="W28" s="2"/>
      <c r="X28" s="2"/>
      <c r="Y28" s="2"/>
      <c r="Z28" s="2"/>
      <c r="AA28" s="2"/>
      <c r="AB28" s="2"/>
      <c r="AC28" s="2"/>
      <c r="AD28" s="2"/>
      <c r="AE28" s="2"/>
      <c r="AF28" s="2"/>
      <c r="AG28" s="2"/>
      <c r="AH28" s="2"/>
    </row>
    <row r="29" spans="1:34" x14ac:dyDescent="0.2">
      <c r="B29" s="2">
        <f>B5</f>
        <v>139</v>
      </c>
      <c r="R29" s="2"/>
      <c r="S29" s="2"/>
      <c r="T29" s="2"/>
      <c r="U29" s="2"/>
      <c r="V29" s="2"/>
      <c r="W29" s="2"/>
      <c r="X29" s="2"/>
      <c r="Y29" s="2"/>
      <c r="Z29" s="2"/>
      <c r="AA29" s="2"/>
      <c r="AB29" s="2"/>
      <c r="AC29" s="2"/>
      <c r="AD29" s="2"/>
      <c r="AE29" s="2"/>
      <c r="AF29" s="2"/>
      <c r="AG29" s="2"/>
      <c r="AH29" s="2"/>
    </row>
    <row r="30" spans="1:34" x14ac:dyDescent="0.2">
      <c r="B30" s="2">
        <f>B6</f>
        <v>177</v>
      </c>
      <c r="R30" s="2"/>
      <c r="S30" s="2"/>
      <c r="T30" s="2"/>
      <c r="U30" s="2"/>
      <c r="V30" s="2"/>
      <c r="W30" s="2"/>
      <c r="X30" s="2"/>
      <c r="Y30" s="2"/>
      <c r="Z30" s="2"/>
      <c r="AA30" s="2"/>
      <c r="AB30" s="2"/>
      <c r="AC30" s="2"/>
      <c r="AD30" s="2"/>
      <c r="AE30" s="2"/>
      <c r="AF30" s="2"/>
      <c r="AG30" s="2"/>
      <c r="AH30" s="2"/>
    </row>
    <row r="31" spans="1:34" x14ac:dyDescent="0.2">
      <c r="B31" s="2">
        <f>B7</f>
        <v>215</v>
      </c>
      <c r="R31" s="2"/>
      <c r="S31" s="2"/>
      <c r="T31" s="2"/>
      <c r="U31" s="2"/>
      <c r="V31" s="2"/>
      <c r="W31" s="2"/>
      <c r="X31" s="2"/>
      <c r="Y31" s="2"/>
      <c r="Z31" s="2"/>
      <c r="AA31" s="2"/>
      <c r="AB31" s="2"/>
      <c r="AC31" s="2"/>
      <c r="AD31" s="2"/>
      <c r="AE31" s="2"/>
      <c r="AF31" s="2"/>
      <c r="AG31" s="2"/>
      <c r="AH31" s="2"/>
    </row>
    <row r="32" spans="1:34" x14ac:dyDescent="0.2">
      <c r="C32" s="8"/>
      <c r="D32" s="8"/>
      <c r="E32" s="8"/>
      <c r="F32" s="8"/>
      <c r="G32" s="8"/>
      <c r="H32" s="8"/>
      <c r="I32" s="8"/>
      <c r="J32" s="8"/>
      <c r="K32" s="8"/>
      <c r="L32" s="8"/>
      <c r="M32"/>
      <c r="N32"/>
      <c r="O32"/>
      <c r="P32"/>
      <c r="Q32"/>
    </row>
    <row r="33" spans="1:35" ht="39" x14ac:dyDescent="0.25">
      <c r="A33" s="57" t="s">
        <v>155</v>
      </c>
      <c r="C33" s="4" t="s">
        <v>2</v>
      </c>
      <c r="M33"/>
      <c r="N33"/>
      <c r="O33"/>
      <c r="P33"/>
      <c r="Q33"/>
    </row>
    <row r="34" spans="1:35" x14ac:dyDescent="0.2">
      <c r="A34" s="57" t="s">
        <v>156</v>
      </c>
      <c r="C34" s="5">
        <f t="shared" ref="C34:AC34" si="3">C$2</f>
        <v>155</v>
      </c>
      <c r="D34" s="5">
        <f t="shared" si="3"/>
        <v>300</v>
      </c>
      <c r="E34" s="5">
        <f t="shared" si="3"/>
        <v>350</v>
      </c>
      <c r="F34" s="5">
        <f t="shared" si="3"/>
        <v>365</v>
      </c>
      <c r="G34" s="5">
        <f t="shared" si="3"/>
        <v>400</v>
      </c>
      <c r="H34" s="5">
        <f t="shared" si="3"/>
        <v>415</v>
      </c>
      <c r="I34" s="5">
        <f t="shared" si="3"/>
        <v>450</v>
      </c>
      <c r="J34" s="5">
        <f t="shared" si="3"/>
        <v>500</v>
      </c>
      <c r="K34" s="5">
        <f t="shared" si="3"/>
        <v>550</v>
      </c>
      <c r="L34" s="5">
        <f t="shared" si="3"/>
        <v>565</v>
      </c>
      <c r="M34" s="5">
        <f t="shared" si="3"/>
        <v>600</v>
      </c>
      <c r="N34" s="5">
        <f t="shared" si="3"/>
        <v>665</v>
      </c>
      <c r="O34" s="5">
        <f t="shared" si="3"/>
        <v>750</v>
      </c>
      <c r="P34" s="5">
        <f t="shared" si="3"/>
        <v>865</v>
      </c>
      <c r="Q34" s="5">
        <f t="shared" si="3"/>
        <v>900</v>
      </c>
      <c r="R34" s="5">
        <f t="shared" si="3"/>
        <v>965</v>
      </c>
      <c r="S34" s="5">
        <f t="shared" si="3"/>
        <v>1000</v>
      </c>
      <c r="T34" s="5">
        <f t="shared" si="3"/>
        <v>1065</v>
      </c>
      <c r="U34" s="5">
        <f t="shared" si="3"/>
        <v>1100</v>
      </c>
      <c r="V34" s="5">
        <f t="shared" si="3"/>
        <v>1200</v>
      </c>
      <c r="W34" s="5">
        <f t="shared" si="3"/>
        <v>1500</v>
      </c>
      <c r="X34" s="5">
        <f t="shared" si="3"/>
        <v>1800</v>
      </c>
      <c r="Y34" s="5">
        <f t="shared" si="3"/>
        <v>2000</v>
      </c>
      <c r="Z34" s="5">
        <f t="shared" si="3"/>
        <v>2200</v>
      </c>
      <c r="AA34" s="5">
        <f t="shared" si="3"/>
        <v>2500</v>
      </c>
      <c r="AB34" s="5">
        <f t="shared" si="3"/>
        <v>2800</v>
      </c>
      <c r="AC34" s="5">
        <f t="shared" si="3"/>
        <v>3000</v>
      </c>
      <c r="AD34" s="5"/>
      <c r="AE34" s="5"/>
      <c r="AF34" s="5"/>
      <c r="AG34" s="5"/>
      <c r="AH34" s="5"/>
      <c r="AI34" s="5"/>
    </row>
    <row r="35" spans="1:35" ht="13.5" x14ac:dyDescent="0.25">
      <c r="A35" s="4" t="s">
        <v>3</v>
      </c>
      <c r="B35" s="2">
        <f>B3</f>
        <v>63</v>
      </c>
      <c r="C35" s="2">
        <v>0.27</v>
      </c>
      <c r="D35" s="2">
        <v>0.4</v>
      </c>
      <c r="E35" s="2">
        <v>0.44</v>
      </c>
      <c r="G35" s="2">
        <v>0.49</v>
      </c>
      <c r="I35" s="2">
        <v>0.53</v>
      </c>
      <c r="J35" s="2">
        <v>0.56999999999999995</v>
      </c>
      <c r="K35" s="2">
        <v>0.62</v>
      </c>
      <c r="L35" s="2">
        <v>0.63</v>
      </c>
      <c r="M35" s="2">
        <v>0.66</v>
      </c>
      <c r="N35" s="2">
        <v>0.72</v>
      </c>
      <c r="O35" s="2">
        <v>0.8</v>
      </c>
      <c r="P35" s="2">
        <v>0.9</v>
      </c>
      <c r="Q35" s="2">
        <v>0.93</v>
      </c>
      <c r="R35" s="2">
        <v>0.99</v>
      </c>
      <c r="S35" s="2">
        <v>1.02</v>
      </c>
      <c r="T35" s="2"/>
      <c r="U35" s="2">
        <v>1.1100000000000001</v>
      </c>
      <c r="V35" s="2">
        <v>1.19</v>
      </c>
      <c r="W35" s="2">
        <v>1.46</v>
      </c>
      <c r="X35" s="2">
        <v>1.72</v>
      </c>
      <c r="Y35" s="2">
        <v>1.9</v>
      </c>
      <c r="Z35" s="2">
        <v>2.08</v>
      </c>
      <c r="AA35" s="2">
        <v>2.34</v>
      </c>
      <c r="AB35" s="2">
        <v>2.61</v>
      </c>
      <c r="AC35" s="2">
        <v>2.79</v>
      </c>
      <c r="AD35" s="2"/>
      <c r="AE35" s="2"/>
      <c r="AF35" s="2"/>
      <c r="AG35" s="2"/>
      <c r="AH35" s="2"/>
    </row>
    <row r="36" spans="1:35" x14ac:dyDescent="0.2">
      <c r="B36" s="2">
        <f>B4</f>
        <v>101</v>
      </c>
      <c r="C36" s="2">
        <v>0.39</v>
      </c>
      <c r="D36" s="2">
        <v>0.56999999999999995</v>
      </c>
      <c r="E36" s="2">
        <v>0.64</v>
      </c>
      <c r="F36" s="2">
        <v>0.66</v>
      </c>
      <c r="G36" s="2">
        <v>0.7</v>
      </c>
      <c r="H36" s="2">
        <v>0.72</v>
      </c>
      <c r="I36" s="2">
        <v>0.76</v>
      </c>
      <c r="J36" s="2">
        <v>0.83</v>
      </c>
      <c r="K36" s="2">
        <v>0.89</v>
      </c>
      <c r="L36" s="2">
        <v>0.91</v>
      </c>
      <c r="M36" s="2">
        <v>0.96</v>
      </c>
      <c r="N36" s="2">
        <v>1.04</v>
      </c>
      <c r="O36" s="2">
        <v>1.1499999999999999</v>
      </c>
      <c r="P36" s="2">
        <v>1.3</v>
      </c>
      <c r="Q36" s="2">
        <v>1.34</v>
      </c>
      <c r="R36" s="2">
        <v>1.42</v>
      </c>
      <c r="S36" s="2">
        <v>1.47</v>
      </c>
      <c r="T36" s="2">
        <v>1.55</v>
      </c>
      <c r="U36" s="2">
        <v>1.6</v>
      </c>
      <c r="V36" s="2">
        <v>1.73</v>
      </c>
      <c r="W36" s="2">
        <v>2.11</v>
      </c>
      <c r="X36" s="2">
        <v>2.4900000000000002</v>
      </c>
      <c r="Y36" s="2">
        <v>2.75</v>
      </c>
      <c r="Z36" s="2">
        <v>3.01</v>
      </c>
      <c r="AA36" s="2">
        <v>3.39</v>
      </c>
      <c r="AB36" s="2">
        <v>3.78</v>
      </c>
      <c r="AC36" s="2">
        <v>4.03</v>
      </c>
      <c r="AD36" s="2"/>
      <c r="AE36" s="2"/>
      <c r="AF36" s="2"/>
      <c r="AG36" s="2"/>
      <c r="AH36" s="2"/>
    </row>
    <row r="37" spans="1:35" x14ac:dyDescent="0.2">
      <c r="B37" s="2">
        <f>B5</f>
        <v>139</v>
      </c>
      <c r="C37" s="2">
        <v>0.51</v>
      </c>
      <c r="D37" s="2">
        <v>0.75</v>
      </c>
      <c r="E37" s="2">
        <v>0.84</v>
      </c>
      <c r="F37" s="2">
        <v>0.86</v>
      </c>
      <c r="G37" s="2">
        <v>0.92</v>
      </c>
      <c r="H37" s="2">
        <v>0.95</v>
      </c>
      <c r="I37" s="2">
        <v>1.01</v>
      </c>
      <c r="J37" s="2">
        <v>1.0900000000000001</v>
      </c>
      <c r="K37" s="2">
        <v>1.17</v>
      </c>
      <c r="L37" s="2">
        <v>1.2</v>
      </c>
      <c r="M37" s="2">
        <v>1.26</v>
      </c>
      <c r="N37" s="2">
        <v>1.37</v>
      </c>
      <c r="O37" s="2">
        <v>1.51</v>
      </c>
      <c r="P37" s="2">
        <v>1.7</v>
      </c>
      <c r="Q37" s="2">
        <v>1.76</v>
      </c>
      <c r="R37" s="2">
        <v>1.87</v>
      </c>
      <c r="S37" s="2">
        <v>1.93</v>
      </c>
      <c r="T37" s="2">
        <v>2.04</v>
      </c>
      <c r="U37" s="2">
        <v>2.1</v>
      </c>
      <c r="V37" s="2">
        <v>2.27</v>
      </c>
      <c r="W37" s="2">
        <v>2.77</v>
      </c>
      <c r="X37" s="2">
        <v>3.27</v>
      </c>
      <c r="Y37" s="2">
        <v>3.61</v>
      </c>
      <c r="Z37" s="2">
        <v>3.94</v>
      </c>
      <c r="AA37" s="2">
        <v>4.45</v>
      </c>
      <c r="AB37" s="2">
        <v>4.95</v>
      </c>
      <c r="AC37" s="2">
        <v>5.29</v>
      </c>
      <c r="AD37" s="2"/>
      <c r="AE37" s="2"/>
      <c r="AF37" s="2"/>
      <c r="AG37" s="2"/>
      <c r="AH37" s="2"/>
    </row>
    <row r="38" spans="1:35" x14ac:dyDescent="0.2">
      <c r="B38" s="2">
        <f>B6</f>
        <v>177</v>
      </c>
      <c r="C38" s="2">
        <v>0.63</v>
      </c>
      <c r="D38" s="2">
        <v>0.93</v>
      </c>
      <c r="E38" s="2">
        <v>1.03</v>
      </c>
      <c r="F38" s="2">
        <v>1.06</v>
      </c>
      <c r="G38" s="2">
        <v>1.1399999999999999</v>
      </c>
      <c r="I38" s="2">
        <v>1.24</v>
      </c>
      <c r="J38" s="2">
        <v>1.34</v>
      </c>
      <c r="K38" s="2">
        <v>1.45</v>
      </c>
      <c r="L38" s="2">
        <v>1.48</v>
      </c>
      <c r="M38" s="2">
        <v>1.55</v>
      </c>
      <c r="N38" s="2">
        <v>1.69</v>
      </c>
      <c r="O38" s="2">
        <v>1.86</v>
      </c>
      <c r="P38" s="2">
        <v>2.1</v>
      </c>
      <c r="Q38" s="2">
        <v>2.17</v>
      </c>
      <c r="R38" s="2"/>
      <c r="S38" s="2">
        <v>2.38</v>
      </c>
      <c r="T38" s="2">
        <v>2.52</v>
      </c>
      <c r="U38" s="2">
        <v>2.59</v>
      </c>
      <c r="V38" s="2">
        <v>2.8</v>
      </c>
      <c r="W38" s="2">
        <v>3.42</v>
      </c>
      <c r="X38" s="2">
        <v>4.04</v>
      </c>
      <c r="Y38" s="2">
        <v>4.46</v>
      </c>
      <c r="Z38" s="2">
        <v>4.87</v>
      </c>
      <c r="AA38" s="2">
        <v>5.5</v>
      </c>
      <c r="AB38" s="2">
        <v>6.12</v>
      </c>
      <c r="AC38" s="2">
        <v>6.53</v>
      </c>
      <c r="AD38" s="2"/>
      <c r="AE38" s="2"/>
      <c r="AF38" s="2"/>
      <c r="AG38" s="2"/>
      <c r="AH38" s="2"/>
    </row>
    <row r="39" spans="1:35" x14ac:dyDescent="0.2">
      <c r="B39" s="2">
        <f>B7</f>
        <v>215</v>
      </c>
      <c r="C39" s="2">
        <v>0.75</v>
      </c>
      <c r="D39" s="2">
        <v>1.1100000000000001</v>
      </c>
      <c r="E39" s="2">
        <v>1.23</v>
      </c>
      <c r="F39" s="2">
        <v>1.27</v>
      </c>
      <c r="G39" s="2">
        <v>1.35</v>
      </c>
      <c r="H39" s="2">
        <v>1.39</v>
      </c>
      <c r="I39" s="2">
        <v>1.48</v>
      </c>
      <c r="J39" s="2">
        <v>1.6</v>
      </c>
      <c r="K39" s="2">
        <v>1.73</v>
      </c>
      <c r="L39" s="2">
        <v>1.76</v>
      </c>
      <c r="M39" s="2">
        <v>1.85</v>
      </c>
      <c r="N39" s="2">
        <v>2.0099999999999998</v>
      </c>
      <c r="O39" s="2">
        <v>2.2200000000000002</v>
      </c>
      <c r="P39" s="2">
        <v>2.5</v>
      </c>
      <c r="Q39" s="2">
        <v>2.59</v>
      </c>
      <c r="R39" s="2">
        <v>2.75</v>
      </c>
      <c r="S39" s="2">
        <v>2.84</v>
      </c>
      <c r="T39" s="2">
        <v>3</v>
      </c>
      <c r="U39" s="2">
        <v>3.1</v>
      </c>
      <c r="V39" s="2">
        <v>3.33</v>
      </c>
      <c r="W39" s="2">
        <v>4.08</v>
      </c>
      <c r="X39" s="2">
        <v>4.82</v>
      </c>
      <c r="Y39" s="2">
        <v>5.31</v>
      </c>
      <c r="Z39" s="2">
        <v>5.81</v>
      </c>
      <c r="AA39" s="2">
        <v>6.55</v>
      </c>
      <c r="AB39" s="2">
        <v>7.29</v>
      </c>
      <c r="AC39" s="2">
        <v>7.79</v>
      </c>
      <c r="AD39" s="2"/>
      <c r="AE39" s="2"/>
      <c r="AF39" s="2"/>
      <c r="AG39" s="2"/>
      <c r="AH39" s="2"/>
    </row>
    <row r="40" spans="1:35" x14ac:dyDescent="0.2">
      <c r="M40"/>
      <c r="N40"/>
      <c r="O40"/>
      <c r="P40"/>
      <c r="Q40"/>
    </row>
    <row r="41" spans="1:35" ht="51.75" x14ac:dyDescent="0.25">
      <c r="A41" s="57" t="s">
        <v>157</v>
      </c>
      <c r="C41" s="4" t="s">
        <v>2</v>
      </c>
      <c r="M41"/>
      <c r="N41"/>
      <c r="O41"/>
      <c r="P41"/>
      <c r="Q41"/>
    </row>
    <row r="42" spans="1:35" x14ac:dyDescent="0.2">
      <c r="A42" s="57" t="s">
        <v>158</v>
      </c>
      <c r="C42" s="5">
        <f t="shared" ref="C42:AC42" si="4">C$2</f>
        <v>155</v>
      </c>
      <c r="D42" s="5">
        <f t="shared" si="4"/>
        <v>300</v>
      </c>
      <c r="E42" s="5">
        <f t="shared" si="4"/>
        <v>350</v>
      </c>
      <c r="F42" s="5">
        <f t="shared" si="4"/>
        <v>365</v>
      </c>
      <c r="G42" s="5">
        <f t="shared" si="4"/>
        <v>400</v>
      </c>
      <c r="H42" s="5">
        <f t="shared" si="4"/>
        <v>415</v>
      </c>
      <c r="I42" s="5">
        <f t="shared" si="4"/>
        <v>450</v>
      </c>
      <c r="J42" s="5">
        <f t="shared" si="4"/>
        <v>500</v>
      </c>
      <c r="K42" s="5">
        <f t="shared" si="4"/>
        <v>550</v>
      </c>
      <c r="L42" s="5">
        <f t="shared" si="4"/>
        <v>565</v>
      </c>
      <c r="M42" s="5">
        <f t="shared" si="4"/>
        <v>600</v>
      </c>
      <c r="N42" s="5">
        <f t="shared" si="4"/>
        <v>665</v>
      </c>
      <c r="O42" s="5">
        <f t="shared" si="4"/>
        <v>750</v>
      </c>
      <c r="P42" s="5">
        <f t="shared" si="4"/>
        <v>865</v>
      </c>
      <c r="Q42" s="5">
        <f t="shared" si="4"/>
        <v>900</v>
      </c>
      <c r="R42" s="5">
        <f t="shared" si="4"/>
        <v>965</v>
      </c>
      <c r="S42" s="5">
        <f t="shared" si="4"/>
        <v>1000</v>
      </c>
      <c r="T42" s="5">
        <f t="shared" si="4"/>
        <v>1065</v>
      </c>
      <c r="U42" s="5">
        <f t="shared" si="4"/>
        <v>1100</v>
      </c>
      <c r="V42" s="5">
        <f t="shared" si="4"/>
        <v>1200</v>
      </c>
      <c r="W42" s="5">
        <f t="shared" si="4"/>
        <v>1500</v>
      </c>
      <c r="X42" s="5">
        <f t="shared" si="4"/>
        <v>1800</v>
      </c>
      <c r="Y42" s="5">
        <f t="shared" si="4"/>
        <v>2000</v>
      </c>
      <c r="Z42" s="5">
        <f t="shared" si="4"/>
        <v>2200</v>
      </c>
      <c r="AA42" s="5">
        <f t="shared" si="4"/>
        <v>2500</v>
      </c>
      <c r="AB42" s="5">
        <f t="shared" si="4"/>
        <v>2800</v>
      </c>
      <c r="AC42" s="5">
        <f t="shared" si="4"/>
        <v>3000</v>
      </c>
      <c r="AD42" s="5"/>
      <c r="AE42" s="5"/>
      <c r="AF42" s="5"/>
      <c r="AG42" s="5"/>
      <c r="AH42" s="5"/>
    </row>
    <row r="43" spans="1:35" ht="13.5" x14ac:dyDescent="0.25">
      <c r="A43" s="4" t="s">
        <v>3</v>
      </c>
      <c r="B43" s="2">
        <f>B3</f>
        <v>63</v>
      </c>
      <c r="R43" s="2"/>
      <c r="S43" s="2"/>
      <c r="T43" s="2"/>
      <c r="U43" s="2"/>
      <c r="V43" s="2"/>
      <c r="W43" s="2"/>
      <c r="X43" s="2"/>
      <c r="Y43" s="2"/>
      <c r="Z43" s="2"/>
      <c r="AA43" s="2"/>
      <c r="AB43" s="2"/>
      <c r="AC43" s="2"/>
      <c r="AD43" s="2"/>
      <c r="AE43" s="2"/>
      <c r="AF43" s="2"/>
      <c r="AG43" s="2"/>
      <c r="AH43" s="2"/>
    </row>
    <row r="44" spans="1:35" ht="12.75" customHeight="1" x14ac:dyDescent="0.2">
      <c r="B44" s="2">
        <f>B4</f>
        <v>101</v>
      </c>
      <c r="R44" s="2"/>
      <c r="S44" s="2"/>
      <c r="T44" s="2"/>
      <c r="U44" s="2"/>
      <c r="V44" s="2"/>
      <c r="W44" s="2"/>
      <c r="X44" s="2"/>
      <c r="Y44" s="2"/>
      <c r="Z44" s="2"/>
      <c r="AA44" s="2"/>
      <c r="AB44" s="2"/>
      <c r="AC44" s="2"/>
      <c r="AD44" s="2"/>
      <c r="AE44" s="2"/>
      <c r="AF44" s="2"/>
      <c r="AG44" s="2"/>
      <c r="AH44" s="2"/>
    </row>
    <row r="45" spans="1:35" ht="12.75" customHeight="1" x14ac:dyDescent="0.2">
      <c r="B45" s="2">
        <f>B5</f>
        <v>139</v>
      </c>
      <c r="R45" s="2"/>
      <c r="S45" s="2"/>
      <c r="T45" s="2"/>
      <c r="U45" s="2"/>
      <c r="V45" s="2"/>
      <c r="W45" s="2"/>
      <c r="X45" s="2"/>
      <c r="Y45" s="2"/>
      <c r="Z45" s="2"/>
      <c r="AA45" s="2"/>
      <c r="AB45" s="2"/>
      <c r="AC45" s="2"/>
      <c r="AD45" s="2"/>
      <c r="AE45" s="2"/>
      <c r="AF45" s="2"/>
      <c r="AG45" s="2"/>
      <c r="AH45" s="2"/>
    </row>
    <row r="46" spans="1:35" x14ac:dyDescent="0.2">
      <c r="B46" s="2">
        <f>B6</f>
        <v>177</v>
      </c>
      <c r="R46" s="2"/>
      <c r="S46" s="2"/>
      <c r="T46" s="2"/>
      <c r="U46" s="2"/>
      <c r="V46" s="2"/>
      <c r="W46" s="2"/>
      <c r="X46" s="2"/>
      <c r="Y46" s="2"/>
      <c r="Z46" s="2"/>
      <c r="AA46" s="2"/>
      <c r="AB46" s="2"/>
      <c r="AC46" s="2"/>
      <c r="AD46" s="2"/>
      <c r="AE46" s="2"/>
      <c r="AF46" s="2"/>
      <c r="AG46" s="2"/>
      <c r="AH46" s="2"/>
    </row>
    <row r="47" spans="1:35" x14ac:dyDescent="0.2">
      <c r="B47" s="2">
        <f>B7</f>
        <v>215</v>
      </c>
      <c r="R47" s="2"/>
      <c r="S47" s="2"/>
      <c r="T47" s="2"/>
      <c r="U47" s="2"/>
      <c r="V47" s="2"/>
      <c r="W47" s="2"/>
      <c r="X47" s="2"/>
      <c r="Y47" s="2"/>
      <c r="Z47" s="2"/>
      <c r="AA47" s="2"/>
      <c r="AB47" s="2"/>
      <c r="AC47" s="2"/>
      <c r="AD47" s="2"/>
      <c r="AE47" s="2"/>
      <c r="AF47" s="2"/>
      <c r="AG47" s="2"/>
      <c r="AH47" s="2"/>
    </row>
    <row r="48" spans="1:35" x14ac:dyDescent="0.2">
      <c r="C48" s="8"/>
      <c r="D48" s="8"/>
      <c r="E48" s="8"/>
      <c r="F48" s="8"/>
      <c r="G48" s="8"/>
      <c r="H48" s="8"/>
      <c r="I48" s="8"/>
      <c r="J48" s="8"/>
      <c r="K48" s="8"/>
      <c r="L48" s="8"/>
      <c r="M48"/>
      <c r="N48"/>
      <c r="O48"/>
      <c r="P48"/>
      <c r="Q48"/>
    </row>
    <row r="49" spans="1:34" ht="26.25" x14ac:dyDescent="0.25">
      <c r="A49" s="57" t="s">
        <v>159</v>
      </c>
      <c r="C49" s="4" t="s">
        <v>2</v>
      </c>
      <c r="M49"/>
      <c r="N49"/>
      <c r="O49"/>
      <c r="P49"/>
      <c r="Q49"/>
    </row>
    <row r="50" spans="1:34" x14ac:dyDescent="0.2">
      <c r="A50" s="57" t="s">
        <v>160</v>
      </c>
      <c r="C50" s="5">
        <f t="shared" ref="C50:AC50" si="5">C$2</f>
        <v>155</v>
      </c>
      <c r="D50" s="5">
        <f t="shared" si="5"/>
        <v>300</v>
      </c>
      <c r="E50" s="5">
        <f t="shared" si="5"/>
        <v>350</v>
      </c>
      <c r="F50" s="5">
        <f t="shared" si="5"/>
        <v>365</v>
      </c>
      <c r="G50" s="5">
        <f t="shared" si="5"/>
        <v>400</v>
      </c>
      <c r="H50" s="5">
        <f t="shared" si="5"/>
        <v>415</v>
      </c>
      <c r="I50" s="5">
        <f t="shared" si="5"/>
        <v>450</v>
      </c>
      <c r="J50" s="5">
        <f t="shared" si="5"/>
        <v>500</v>
      </c>
      <c r="K50" s="5">
        <f t="shared" si="5"/>
        <v>550</v>
      </c>
      <c r="L50" s="5">
        <f t="shared" si="5"/>
        <v>565</v>
      </c>
      <c r="M50" s="5">
        <f t="shared" si="5"/>
        <v>600</v>
      </c>
      <c r="N50" s="5">
        <f t="shared" si="5"/>
        <v>665</v>
      </c>
      <c r="O50" s="5">
        <f t="shared" si="5"/>
        <v>750</v>
      </c>
      <c r="P50" s="5">
        <f t="shared" si="5"/>
        <v>865</v>
      </c>
      <c r="Q50" s="5">
        <f t="shared" si="5"/>
        <v>900</v>
      </c>
      <c r="R50" s="5">
        <f t="shared" si="5"/>
        <v>965</v>
      </c>
      <c r="S50" s="5">
        <f t="shared" si="5"/>
        <v>1000</v>
      </c>
      <c r="T50" s="5">
        <f t="shared" si="5"/>
        <v>1065</v>
      </c>
      <c r="U50" s="5">
        <f t="shared" si="5"/>
        <v>1100</v>
      </c>
      <c r="V50" s="5">
        <f t="shared" si="5"/>
        <v>1200</v>
      </c>
      <c r="W50" s="5">
        <f t="shared" si="5"/>
        <v>1500</v>
      </c>
      <c r="X50" s="5">
        <f t="shared" si="5"/>
        <v>1800</v>
      </c>
      <c r="Y50" s="5">
        <f t="shared" si="5"/>
        <v>2000</v>
      </c>
      <c r="Z50" s="5">
        <f t="shared" si="5"/>
        <v>2200</v>
      </c>
      <c r="AA50" s="5">
        <f t="shared" si="5"/>
        <v>2500</v>
      </c>
      <c r="AB50" s="5">
        <f t="shared" si="5"/>
        <v>2800</v>
      </c>
      <c r="AC50" s="5">
        <f t="shared" si="5"/>
        <v>3000</v>
      </c>
      <c r="AD50" s="5"/>
      <c r="AE50" s="5"/>
      <c r="AF50" s="5"/>
      <c r="AG50" s="5"/>
      <c r="AH50" s="5"/>
    </row>
    <row r="51" spans="1:34" ht="13.5" x14ac:dyDescent="0.25">
      <c r="A51" s="4" t="s">
        <v>3</v>
      </c>
      <c r="B51" s="2">
        <f>B3</f>
        <v>63</v>
      </c>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row>
    <row r="52" spans="1:34" x14ac:dyDescent="0.2">
      <c r="B52" s="2">
        <f>B4</f>
        <v>101</v>
      </c>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row>
    <row r="53" spans="1:34" x14ac:dyDescent="0.2">
      <c r="B53" s="2">
        <f>B5</f>
        <v>139</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row>
    <row r="54" spans="1:34" x14ac:dyDescent="0.2">
      <c r="B54" s="2">
        <f>B6</f>
        <v>177</v>
      </c>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row>
    <row r="55" spans="1:34" x14ac:dyDescent="0.2">
      <c r="B55" s="2">
        <f>B7</f>
        <v>215</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row>
    <row r="56" spans="1:34" x14ac:dyDescent="0.2">
      <c r="M56"/>
      <c r="N56"/>
      <c r="O56"/>
      <c r="P56"/>
      <c r="Q56"/>
    </row>
    <row r="57" spans="1:34" ht="39" x14ac:dyDescent="0.25">
      <c r="A57" s="57" t="s">
        <v>161</v>
      </c>
      <c r="C57" s="4" t="s">
        <v>2</v>
      </c>
      <c r="M57"/>
      <c r="N57"/>
      <c r="O57"/>
      <c r="P57"/>
      <c r="Q57"/>
    </row>
    <row r="58" spans="1:34" x14ac:dyDescent="0.2">
      <c r="A58" s="57" t="s">
        <v>158</v>
      </c>
      <c r="C58" s="5">
        <f t="shared" ref="C58:AC58" si="6">C$2</f>
        <v>155</v>
      </c>
      <c r="D58" s="5">
        <f t="shared" si="6"/>
        <v>300</v>
      </c>
      <c r="E58" s="5">
        <f t="shared" si="6"/>
        <v>350</v>
      </c>
      <c r="F58" s="5">
        <f t="shared" si="6"/>
        <v>365</v>
      </c>
      <c r="G58" s="5">
        <f t="shared" si="6"/>
        <v>400</v>
      </c>
      <c r="H58" s="5">
        <f t="shared" si="6"/>
        <v>415</v>
      </c>
      <c r="I58" s="5">
        <f t="shared" si="6"/>
        <v>450</v>
      </c>
      <c r="J58" s="5">
        <f t="shared" si="6"/>
        <v>500</v>
      </c>
      <c r="K58" s="5">
        <f t="shared" si="6"/>
        <v>550</v>
      </c>
      <c r="L58" s="5">
        <f t="shared" si="6"/>
        <v>565</v>
      </c>
      <c r="M58" s="5">
        <f t="shared" si="6"/>
        <v>600</v>
      </c>
      <c r="N58" s="5">
        <f t="shared" si="6"/>
        <v>665</v>
      </c>
      <c r="O58" s="5">
        <f t="shared" si="6"/>
        <v>750</v>
      </c>
      <c r="P58" s="5">
        <f t="shared" si="6"/>
        <v>865</v>
      </c>
      <c r="Q58" s="5">
        <f t="shared" si="6"/>
        <v>900</v>
      </c>
      <c r="R58" s="5">
        <f t="shared" si="6"/>
        <v>965</v>
      </c>
      <c r="S58" s="5">
        <f t="shared" si="6"/>
        <v>1000</v>
      </c>
      <c r="T58" s="5">
        <f t="shared" si="6"/>
        <v>1065</v>
      </c>
      <c r="U58" s="5">
        <f t="shared" si="6"/>
        <v>1100</v>
      </c>
      <c r="V58" s="5">
        <f t="shared" si="6"/>
        <v>1200</v>
      </c>
      <c r="W58" s="5">
        <f t="shared" si="6"/>
        <v>1500</v>
      </c>
      <c r="X58" s="5">
        <f t="shared" si="6"/>
        <v>1800</v>
      </c>
      <c r="Y58" s="5">
        <f t="shared" si="6"/>
        <v>2000</v>
      </c>
      <c r="Z58" s="5">
        <f t="shared" si="6"/>
        <v>2200</v>
      </c>
      <c r="AA58" s="5">
        <f t="shared" si="6"/>
        <v>2500</v>
      </c>
      <c r="AB58" s="5">
        <f t="shared" si="6"/>
        <v>2800</v>
      </c>
      <c r="AC58" s="5">
        <f t="shared" si="6"/>
        <v>3000</v>
      </c>
      <c r="AD58" s="5"/>
      <c r="AE58" s="5"/>
      <c r="AF58" s="5"/>
      <c r="AG58" s="5"/>
      <c r="AH58" s="5"/>
    </row>
    <row r="59" spans="1:34" ht="13.5" x14ac:dyDescent="0.25">
      <c r="A59" s="4" t="s">
        <v>3</v>
      </c>
      <c r="B59" s="2">
        <f>B3</f>
        <v>63</v>
      </c>
      <c r="C59" s="2">
        <v>31.76</v>
      </c>
      <c r="D59" s="2">
        <v>13.53</v>
      </c>
      <c r="E59" s="2">
        <v>13.69</v>
      </c>
      <c r="G59" s="2">
        <v>13.99</v>
      </c>
      <c r="I59" s="2">
        <v>14.18</v>
      </c>
      <c r="J59" s="2">
        <v>14.54</v>
      </c>
      <c r="K59" s="2">
        <v>14.7</v>
      </c>
      <c r="L59" s="2">
        <v>14.79</v>
      </c>
      <c r="M59" s="2">
        <v>14.9</v>
      </c>
      <c r="N59" s="2">
        <v>15.19</v>
      </c>
      <c r="O59" s="2">
        <v>15.77</v>
      </c>
      <c r="P59" s="2">
        <v>17</v>
      </c>
      <c r="Q59" s="2">
        <v>17.850000000000001</v>
      </c>
      <c r="R59" s="2">
        <v>18.239999999999998</v>
      </c>
      <c r="S59" s="2">
        <v>24.52</v>
      </c>
      <c r="T59" s="2"/>
      <c r="U59" s="2">
        <v>32.24</v>
      </c>
      <c r="V59" s="2">
        <v>36.799999999999997</v>
      </c>
      <c r="W59" s="2">
        <v>44.65</v>
      </c>
      <c r="X59" s="2">
        <v>47.66</v>
      </c>
      <c r="Y59" s="2">
        <v>49.46</v>
      </c>
      <c r="Z59" s="2">
        <v>73.05</v>
      </c>
      <c r="AA59" s="2">
        <v>79.599999999999994</v>
      </c>
      <c r="AB59" s="2">
        <v>85.53</v>
      </c>
      <c r="AC59" s="2">
        <v>88.97</v>
      </c>
      <c r="AD59" s="2"/>
      <c r="AE59" s="2"/>
      <c r="AF59" s="2"/>
      <c r="AG59" s="2"/>
      <c r="AH59" s="2"/>
    </row>
    <row r="60" spans="1:34" x14ac:dyDescent="0.2">
      <c r="B60" s="2">
        <f>B4</f>
        <v>101</v>
      </c>
      <c r="C60" s="2">
        <v>32.53</v>
      </c>
      <c r="D60" s="2">
        <v>14.5</v>
      </c>
      <c r="E60" s="2">
        <v>14.73</v>
      </c>
      <c r="F60" s="2">
        <v>14.83</v>
      </c>
      <c r="G60" s="2">
        <v>14.95</v>
      </c>
      <c r="H60" s="2">
        <v>15.13</v>
      </c>
      <c r="I60" s="2">
        <v>15.15</v>
      </c>
      <c r="J60" s="2">
        <v>15.25</v>
      </c>
      <c r="K60" s="2">
        <v>15.83</v>
      </c>
      <c r="L60" s="2">
        <v>16.03</v>
      </c>
      <c r="M60" s="2">
        <v>16.329999999999998</v>
      </c>
      <c r="N60" s="2">
        <v>16.84</v>
      </c>
      <c r="O60" s="2">
        <v>17.649999999999999</v>
      </c>
      <c r="P60" s="2">
        <v>18.78</v>
      </c>
      <c r="Q60" s="2">
        <v>20.45</v>
      </c>
      <c r="R60" s="2">
        <v>20.99</v>
      </c>
      <c r="S60" s="2">
        <v>28.28</v>
      </c>
      <c r="T60" s="2">
        <v>32.72</v>
      </c>
      <c r="U60" s="2">
        <v>36.71</v>
      </c>
      <c r="V60" s="2">
        <v>42.47</v>
      </c>
      <c r="W60" s="2">
        <v>51.59</v>
      </c>
      <c r="X60" s="2">
        <v>55.49</v>
      </c>
      <c r="Y60" s="2">
        <v>59.29</v>
      </c>
      <c r="Z60" s="2">
        <v>83.07</v>
      </c>
      <c r="AA60" s="2">
        <v>91.07</v>
      </c>
      <c r="AB60" s="2">
        <v>98.99</v>
      </c>
      <c r="AC60" s="2">
        <v>105.78</v>
      </c>
      <c r="AD60" s="2"/>
      <c r="AE60" s="2"/>
      <c r="AF60" s="2"/>
      <c r="AG60" s="2"/>
      <c r="AH60" s="2"/>
    </row>
    <row r="61" spans="1:34" x14ac:dyDescent="0.2">
      <c r="B61" s="2">
        <f>B5</f>
        <v>139</v>
      </c>
      <c r="C61" s="2">
        <v>36.549999999999997</v>
      </c>
      <c r="D61" s="2">
        <v>17.28</v>
      </c>
      <c r="E61" s="2">
        <v>17.79</v>
      </c>
      <c r="F61" s="2">
        <v>17.96</v>
      </c>
      <c r="G61" s="2">
        <v>18.25</v>
      </c>
      <c r="H61" s="2">
        <v>18.57</v>
      </c>
      <c r="I61" s="2">
        <v>18.75</v>
      </c>
      <c r="J61" s="2">
        <v>19.28</v>
      </c>
      <c r="K61" s="2">
        <v>19.77</v>
      </c>
      <c r="L61" s="2">
        <v>19.940000000000001</v>
      </c>
      <c r="M61" s="2">
        <v>20.3</v>
      </c>
      <c r="N61" s="2">
        <v>20.98</v>
      </c>
      <c r="O61" s="2">
        <v>21.85</v>
      </c>
      <c r="P61" s="2">
        <v>23.05</v>
      </c>
      <c r="Q61" s="2">
        <v>25.03</v>
      </c>
      <c r="R61" s="2">
        <v>25.15</v>
      </c>
      <c r="S61" s="2">
        <v>34.14</v>
      </c>
      <c r="T61" s="2">
        <v>40.61</v>
      </c>
      <c r="U61" s="2">
        <v>43.88</v>
      </c>
      <c r="V61" s="2">
        <v>51.24</v>
      </c>
      <c r="W61" s="2">
        <v>62.14</v>
      </c>
      <c r="X61" s="2">
        <v>67.84</v>
      </c>
      <c r="Y61" s="2">
        <v>72.47</v>
      </c>
      <c r="Z61" s="2">
        <v>95.18</v>
      </c>
      <c r="AA61" s="2">
        <v>103.07</v>
      </c>
      <c r="AB61" s="2">
        <v>116.01</v>
      </c>
      <c r="AC61" s="2">
        <v>125.02</v>
      </c>
      <c r="AD61" s="2"/>
      <c r="AE61" s="2"/>
      <c r="AF61" s="2"/>
      <c r="AG61" s="2"/>
      <c r="AH61" s="2"/>
    </row>
    <row r="62" spans="1:34" x14ac:dyDescent="0.2">
      <c r="B62" s="2">
        <f>B6</f>
        <v>177</v>
      </c>
      <c r="C62" s="2">
        <v>41.97</v>
      </c>
      <c r="D62" s="2">
        <v>30.99</v>
      </c>
      <c r="E62" s="2">
        <v>31.65</v>
      </c>
      <c r="F62" s="2">
        <v>31.85</v>
      </c>
      <c r="G62" s="2">
        <v>32.369999999999997</v>
      </c>
      <c r="I62" s="2">
        <v>33.04</v>
      </c>
      <c r="J62" s="2">
        <v>33.72</v>
      </c>
      <c r="K62" s="2">
        <v>34.4</v>
      </c>
      <c r="L62" s="2">
        <v>34.61</v>
      </c>
      <c r="M62" s="2">
        <v>35.08</v>
      </c>
      <c r="N62" s="2">
        <v>35.96</v>
      </c>
      <c r="O62" s="2">
        <v>37.119999999999997</v>
      </c>
      <c r="P62" s="2">
        <v>38.07</v>
      </c>
      <c r="Q62" s="2">
        <v>41.41</v>
      </c>
      <c r="R62" s="2"/>
      <c r="S62" s="2">
        <v>57.81</v>
      </c>
      <c r="T62" s="2">
        <v>65.19</v>
      </c>
      <c r="U62" s="2">
        <v>70.98</v>
      </c>
      <c r="V62" s="2">
        <v>79.23</v>
      </c>
      <c r="W62" s="2">
        <v>89.21</v>
      </c>
      <c r="X62" s="2">
        <v>97.28</v>
      </c>
      <c r="Y62" s="2">
        <v>102.1</v>
      </c>
      <c r="Z62" s="2">
        <v>141.99</v>
      </c>
      <c r="AA62" s="2">
        <v>155.65</v>
      </c>
      <c r="AB62" s="2">
        <v>174.25</v>
      </c>
      <c r="AC62" s="2">
        <v>189.09</v>
      </c>
      <c r="AD62" s="2"/>
      <c r="AE62" s="2"/>
      <c r="AF62" s="2"/>
      <c r="AG62" s="2"/>
      <c r="AH62" s="2"/>
    </row>
    <row r="63" spans="1:34" x14ac:dyDescent="0.2">
      <c r="B63" s="2">
        <f>B7</f>
        <v>215</v>
      </c>
      <c r="C63" s="2">
        <v>45.08</v>
      </c>
      <c r="D63" s="2">
        <v>35.24</v>
      </c>
      <c r="E63" s="2">
        <v>35.67</v>
      </c>
      <c r="F63" s="2">
        <v>35.92</v>
      </c>
      <c r="G63" s="2">
        <v>36.619999999999997</v>
      </c>
      <c r="H63" s="2">
        <v>37.01</v>
      </c>
      <c r="I63" s="2">
        <v>37.49</v>
      </c>
      <c r="J63" s="2">
        <v>38.31</v>
      </c>
      <c r="K63" s="2">
        <v>39.15</v>
      </c>
      <c r="L63" s="2">
        <v>39.450000000000003</v>
      </c>
      <c r="M63" s="2">
        <v>40.04</v>
      </c>
      <c r="N63" s="2">
        <v>40.369999999999997</v>
      </c>
      <c r="O63" s="2">
        <v>41.8</v>
      </c>
      <c r="P63" s="2">
        <v>43.26</v>
      </c>
      <c r="Q63" s="2">
        <v>47.26</v>
      </c>
      <c r="R63" s="2">
        <v>48.46</v>
      </c>
      <c r="S63" s="2">
        <v>66.680000000000007</v>
      </c>
      <c r="T63" s="2">
        <v>73.61</v>
      </c>
      <c r="U63" s="2">
        <v>81.91</v>
      </c>
      <c r="V63" s="2">
        <v>87.5</v>
      </c>
      <c r="W63" s="2">
        <v>101.94</v>
      </c>
      <c r="X63" s="2">
        <v>110.82</v>
      </c>
      <c r="Y63" s="2">
        <v>116.74</v>
      </c>
      <c r="Z63" s="2">
        <v>159.84</v>
      </c>
      <c r="AA63" s="2">
        <v>176</v>
      </c>
      <c r="AB63" s="2">
        <v>202.53</v>
      </c>
      <c r="AC63" s="2">
        <v>218.03</v>
      </c>
      <c r="AD63" s="2"/>
      <c r="AE63" s="2"/>
      <c r="AF63" s="2"/>
      <c r="AG63" s="2"/>
      <c r="AH63" s="2"/>
    </row>
    <row r="64" spans="1:34" x14ac:dyDescent="0.2">
      <c r="C64" s="8"/>
      <c r="D64" s="8"/>
      <c r="E64" s="8"/>
      <c r="F64" s="8"/>
      <c r="G64" s="8"/>
      <c r="H64" s="8"/>
      <c r="I64" s="8"/>
      <c r="J64" s="8"/>
      <c r="K64" s="8"/>
      <c r="L64" s="8"/>
      <c r="M64"/>
      <c r="N64"/>
      <c r="O64"/>
      <c r="P64"/>
      <c r="Q64"/>
    </row>
    <row r="65" spans="1:34" ht="13.5" x14ac:dyDescent="0.25">
      <c r="A65" s="57" t="s">
        <v>162</v>
      </c>
      <c r="C65" s="4" t="s">
        <v>2</v>
      </c>
      <c r="M65"/>
      <c r="N65"/>
      <c r="O65"/>
      <c r="P65"/>
      <c r="Q65"/>
    </row>
    <row r="66" spans="1:34" x14ac:dyDescent="0.2">
      <c r="A66" s="57"/>
      <c r="C66" s="5">
        <f t="shared" ref="C66:AC66" si="7">C$2</f>
        <v>155</v>
      </c>
      <c r="D66" s="5">
        <f t="shared" si="7"/>
        <v>300</v>
      </c>
      <c r="E66" s="5">
        <f t="shared" si="7"/>
        <v>350</v>
      </c>
      <c r="F66" s="5">
        <f t="shared" si="7"/>
        <v>365</v>
      </c>
      <c r="G66" s="5">
        <f t="shared" si="7"/>
        <v>400</v>
      </c>
      <c r="H66" s="5">
        <f t="shared" si="7"/>
        <v>415</v>
      </c>
      <c r="I66" s="5">
        <f t="shared" si="7"/>
        <v>450</v>
      </c>
      <c r="J66" s="5">
        <f t="shared" si="7"/>
        <v>500</v>
      </c>
      <c r="K66" s="5">
        <f t="shared" si="7"/>
        <v>550</v>
      </c>
      <c r="L66" s="5">
        <f t="shared" si="7"/>
        <v>565</v>
      </c>
      <c r="M66" s="5">
        <f t="shared" si="7"/>
        <v>600</v>
      </c>
      <c r="N66" s="5">
        <f t="shared" si="7"/>
        <v>665</v>
      </c>
      <c r="O66" s="5">
        <f t="shared" si="7"/>
        <v>750</v>
      </c>
      <c r="P66" s="5">
        <f t="shared" si="7"/>
        <v>865</v>
      </c>
      <c r="Q66" s="5">
        <f t="shared" si="7"/>
        <v>900</v>
      </c>
      <c r="R66" s="5">
        <f t="shared" si="7"/>
        <v>965</v>
      </c>
      <c r="S66" s="5">
        <f t="shared" si="7"/>
        <v>1000</v>
      </c>
      <c r="T66" s="5">
        <f t="shared" si="7"/>
        <v>1065</v>
      </c>
      <c r="U66" s="5">
        <f t="shared" si="7"/>
        <v>1100</v>
      </c>
      <c r="V66" s="5">
        <f t="shared" si="7"/>
        <v>1200</v>
      </c>
      <c r="W66" s="5">
        <f t="shared" si="7"/>
        <v>1500</v>
      </c>
      <c r="X66" s="5">
        <f t="shared" si="7"/>
        <v>1800</v>
      </c>
      <c r="Y66" s="5">
        <f t="shared" si="7"/>
        <v>2000</v>
      </c>
      <c r="Z66" s="5">
        <f t="shared" si="7"/>
        <v>2200</v>
      </c>
      <c r="AA66" s="5">
        <f t="shared" si="7"/>
        <v>2500</v>
      </c>
      <c r="AB66" s="5">
        <f t="shared" si="7"/>
        <v>2800</v>
      </c>
      <c r="AC66" s="5">
        <f t="shared" si="7"/>
        <v>3000</v>
      </c>
      <c r="AD66" s="5"/>
      <c r="AE66" s="5"/>
      <c r="AF66" s="5"/>
      <c r="AG66" s="5"/>
      <c r="AH66" s="5"/>
    </row>
    <row r="67" spans="1:34" ht="13.5" x14ac:dyDescent="0.25">
      <c r="A67" s="4" t="s">
        <v>3</v>
      </c>
      <c r="B67" s="2">
        <f>B3</f>
        <v>63</v>
      </c>
      <c r="C67" s="2">
        <v>2016</v>
      </c>
      <c r="D67" s="2">
        <v>2030</v>
      </c>
      <c r="E67" s="2">
        <v>2035</v>
      </c>
      <c r="G67" s="2">
        <v>2040</v>
      </c>
      <c r="I67" s="2">
        <v>2045</v>
      </c>
      <c r="J67" s="2">
        <v>2050</v>
      </c>
      <c r="K67" s="2">
        <v>2055</v>
      </c>
      <c r="L67" s="2">
        <v>2057</v>
      </c>
      <c r="M67" s="2">
        <v>2060</v>
      </c>
      <c r="N67" s="2">
        <v>2067</v>
      </c>
      <c r="O67" s="2">
        <v>2075</v>
      </c>
      <c r="P67" s="2">
        <v>20865</v>
      </c>
      <c r="Q67" s="2">
        <v>2090</v>
      </c>
      <c r="R67" s="2">
        <v>2097</v>
      </c>
      <c r="S67" s="2">
        <v>2100</v>
      </c>
      <c r="T67" s="2"/>
      <c r="U67" s="2">
        <v>2110</v>
      </c>
      <c r="V67" s="2">
        <v>2120</v>
      </c>
      <c r="W67" s="2">
        <v>2150</v>
      </c>
      <c r="X67" s="2">
        <v>2180</v>
      </c>
      <c r="Y67" s="2">
        <v>2200</v>
      </c>
      <c r="Z67" s="2">
        <v>2220</v>
      </c>
      <c r="AA67" s="2">
        <v>2250</v>
      </c>
      <c r="AB67" s="2">
        <v>2280</v>
      </c>
      <c r="AC67" s="2">
        <v>2300</v>
      </c>
      <c r="AD67" s="2"/>
      <c r="AE67" s="2"/>
      <c r="AF67" s="2"/>
      <c r="AG67" s="2"/>
      <c r="AH67" s="2"/>
    </row>
    <row r="68" spans="1:34" x14ac:dyDescent="0.2">
      <c r="B68" s="2">
        <f>B4</f>
        <v>101</v>
      </c>
      <c r="C68" s="2">
        <f>C67+1000</f>
        <v>3016</v>
      </c>
      <c r="D68" s="2">
        <f t="shared" ref="D68:AC71" si="8">D67+1000</f>
        <v>3030</v>
      </c>
      <c r="E68" s="2">
        <f t="shared" si="8"/>
        <v>3035</v>
      </c>
      <c r="F68" s="2">
        <f>3037</f>
        <v>3037</v>
      </c>
      <c r="G68" s="2">
        <f t="shared" si="8"/>
        <v>3040</v>
      </c>
      <c r="H68" s="2">
        <v>3042</v>
      </c>
      <c r="I68" s="2">
        <f t="shared" si="8"/>
        <v>3045</v>
      </c>
      <c r="J68" s="2">
        <f t="shared" si="8"/>
        <v>3050</v>
      </c>
      <c r="K68" s="2">
        <f t="shared" si="8"/>
        <v>3055</v>
      </c>
      <c r="L68" s="2">
        <f t="shared" si="8"/>
        <v>3057</v>
      </c>
      <c r="M68" s="2">
        <f t="shared" si="8"/>
        <v>3060</v>
      </c>
      <c r="N68" s="2">
        <f t="shared" si="8"/>
        <v>3067</v>
      </c>
      <c r="O68" s="2">
        <f t="shared" si="8"/>
        <v>3075</v>
      </c>
      <c r="P68" s="2">
        <f t="shared" si="8"/>
        <v>21865</v>
      </c>
      <c r="Q68" s="2">
        <f t="shared" si="8"/>
        <v>3090</v>
      </c>
      <c r="R68" s="2">
        <f t="shared" si="8"/>
        <v>3097</v>
      </c>
      <c r="S68" s="2">
        <f t="shared" si="8"/>
        <v>3100</v>
      </c>
      <c r="T68" s="2">
        <v>3107</v>
      </c>
      <c r="U68" s="2">
        <f t="shared" si="8"/>
        <v>3110</v>
      </c>
      <c r="V68" s="2">
        <f t="shared" si="8"/>
        <v>3120</v>
      </c>
      <c r="W68" s="2">
        <f t="shared" si="8"/>
        <v>3150</v>
      </c>
      <c r="X68" s="2">
        <f t="shared" si="8"/>
        <v>3180</v>
      </c>
      <c r="Y68" s="2">
        <f t="shared" si="8"/>
        <v>3200</v>
      </c>
      <c r="Z68" s="2">
        <f t="shared" si="8"/>
        <v>3220</v>
      </c>
      <c r="AA68" s="2">
        <f t="shared" si="8"/>
        <v>3250</v>
      </c>
      <c r="AB68" s="2">
        <f t="shared" si="8"/>
        <v>3280</v>
      </c>
      <c r="AC68" s="2">
        <f t="shared" si="8"/>
        <v>3300</v>
      </c>
      <c r="AD68" s="2"/>
      <c r="AE68" s="2"/>
      <c r="AF68" s="2"/>
      <c r="AG68" s="2"/>
      <c r="AH68" s="2"/>
    </row>
    <row r="69" spans="1:34" x14ac:dyDescent="0.2">
      <c r="B69" s="2">
        <f>B5</f>
        <v>139</v>
      </c>
      <c r="C69" s="2">
        <f t="shared" ref="C69:C71" si="9">C68+1000</f>
        <v>4016</v>
      </c>
      <c r="D69" s="2">
        <f t="shared" si="8"/>
        <v>4030</v>
      </c>
      <c r="E69" s="2">
        <f t="shared" si="8"/>
        <v>4035</v>
      </c>
      <c r="F69" s="2">
        <f t="shared" si="8"/>
        <v>4037</v>
      </c>
      <c r="G69" s="2">
        <f t="shared" si="8"/>
        <v>4040</v>
      </c>
      <c r="H69" s="2">
        <f t="shared" si="8"/>
        <v>4042</v>
      </c>
      <c r="I69" s="2">
        <f t="shared" si="8"/>
        <v>4045</v>
      </c>
      <c r="J69" s="2">
        <f t="shared" si="8"/>
        <v>4050</v>
      </c>
      <c r="K69" s="2">
        <f t="shared" si="8"/>
        <v>4055</v>
      </c>
      <c r="L69" s="2">
        <f t="shared" si="8"/>
        <v>4057</v>
      </c>
      <c r="M69" s="2">
        <f t="shared" si="8"/>
        <v>4060</v>
      </c>
      <c r="N69" s="2">
        <f t="shared" si="8"/>
        <v>4067</v>
      </c>
      <c r="O69" s="2">
        <f t="shared" si="8"/>
        <v>4075</v>
      </c>
      <c r="P69" s="2">
        <f t="shared" si="8"/>
        <v>22865</v>
      </c>
      <c r="Q69" s="2">
        <f t="shared" si="8"/>
        <v>4090</v>
      </c>
      <c r="R69" s="2">
        <f t="shared" si="8"/>
        <v>4097</v>
      </c>
      <c r="S69" s="2">
        <f t="shared" si="8"/>
        <v>4100</v>
      </c>
      <c r="T69" s="2">
        <f t="shared" si="8"/>
        <v>4107</v>
      </c>
      <c r="U69" s="2">
        <f t="shared" si="8"/>
        <v>4110</v>
      </c>
      <c r="V69" s="2">
        <f t="shared" si="8"/>
        <v>4120</v>
      </c>
      <c r="W69" s="2">
        <f t="shared" si="8"/>
        <v>4150</v>
      </c>
      <c r="X69" s="2">
        <f t="shared" si="8"/>
        <v>4180</v>
      </c>
      <c r="Y69" s="2">
        <f t="shared" si="8"/>
        <v>4200</v>
      </c>
      <c r="Z69" s="2">
        <f t="shared" si="8"/>
        <v>4220</v>
      </c>
      <c r="AA69" s="2">
        <f t="shared" si="8"/>
        <v>4250</v>
      </c>
      <c r="AB69" s="2">
        <f t="shared" si="8"/>
        <v>4280</v>
      </c>
      <c r="AC69" s="2">
        <f t="shared" si="8"/>
        <v>4300</v>
      </c>
      <c r="AD69" s="2"/>
      <c r="AE69" s="2"/>
      <c r="AF69" s="2"/>
      <c r="AG69" s="2"/>
      <c r="AH69" s="2"/>
    </row>
    <row r="70" spans="1:34" x14ac:dyDescent="0.2">
      <c r="B70" s="2">
        <f>B6</f>
        <v>177</v>
      </c>
      <c r="C70" s="2">
        <f t="shared" si="9"/>
        <v>5016</v>
      </c>
      <c r="D70" s="2">
        <f t="shared" si="8"/>
        <v>5030</v>
      </c>
      <c r="E70" s="2">
        <f t="shared" si="8"/>
        <v>5035</v>
      </c>
      <c r="F70" s="2">
        <f t="shared" si="8"/>
        <v>5037</v>
      </c>
      <c r="G70" s="2">
        <f t="shared" si="8"/>
        <v>5040</v>
      </c>
      <c r="I70" s="2">
        <f t="shared" si="8"/>
        <v>5045</v>
      </c>
      <c r="J70" s="2">
        <f t="shared" si="8"/>
        <v>5050</v>
      </c>
      <c r="K70" s="2">
        <f t="shared" si="8"/>
        <v>5055</v>
      </c>
      <c r="L70" s="2">
        <f t="shared" si="8"/>
        <v>5057</v>
      </c>
      <c r="M70" s="2">
        <f t="shared" si="8"/>
        <v>5060</v>
      </c>
      <c r="N70" s="2">
        <f t="shared" si="8"/>
        <v>5067</v>
      </c>
      <c r="O70" s="2">
        <f t="shared" si="8"/>
        <v>5075</v>
      </c>
      <c r="P70" s="2">
        <f t="shared" si="8"/>
        <v>23865</v>
      </c>
      <c r="Q70" s="2">
        <f t="shared" si="8"/>
        <v>5090</v>
      </c>
      <c r="R70" s="2"/>
      <c r="S70" s="2">
        <f t="shared" si="8"/>
        <v>5100</v>
      </c>
      <c r="T70" s="2">
        <f t="shared" si="8"/>
        <v>5107</v>
      </c>
      <c r="U70" s="2">
        <f t="shared" si="8"/>
        <v>5110</v>
      </c>
      <c r="V70" s="2">
        <f t="shared" si="8"/>
        <v>5120</v>
      </c>
      <c r="W70" s="2">
        <f t="shared" si="8"/>
        <v>5150</v>
      </c>
      <c r="X70" s="2">
        <f t="shared" si="8"/>
        <v>5180</v>
      </c>
      <c r="Y70" s="2">
        <f t="shared" si="8"/>
        <v>5200</v>
      </c>
      <c r="Z70" s="2">
        <f t="shared" si="8"/>
        <v>5220</v>
      </c>
      <c r="AA70" s="2">
        <f t="shared" si="8"/>
        <v>5250</v>
      </c>
      <c r="AB70" s="2">
        <f t="shared" si="8"/>
        <v>5280</v>
      </c>
      <c r="AC70" s="2">
        <f t="shared" si="8"/>
        <v>5300</v>
      </c>
      <c r="AD70" s="2"/>
      <c r="AE70" s="2"/>
      <c r="AF70" s="2"/>
      <c r="AG70" s="2"/>
      <c r="AH70" s="2"/>
    </row>
    <row r="71" spans="1:34" x14ac:dyDescent="0.2">
      <c r="B71" s="2">
        <f>B7</f>
        <v>215</v>
      </c>
      <c r="C71" s="2">
        <f t="shared" si="9"/>
        <v>6016</v>
      </c>
      <c r="D71" s="2">
        <f t="shared" si="8"/>
        <v>6030</v>
      </c>
      <c r="E71" s="2">
        <f t="shared" si="8"/>
        <v>6035</v>
      </c>
      <c r="F71" s="2">
        <f t="shared" si="8"/>
        <v>6037</v>
      </c>
      <c r="G71" s="2">
        <f t="shared" si="8"/>
        <v>6040</v>
      </c>
      <c r="H71" s="2">
        <f t="shared" si="8"/>
        <v>1000</v>
      </c>
      <c r="I71" s="2">
        <f t="shared" si="8"/>
        <v>6045</v>
      </c>
      <c r="J71" s="2">
        <f t="shared" si="8"/>
        <v>6050</v>
      </c>
      <c r="K71" s="2">
        <f t="shared" si="8"/>
        <v>6055</v>
      </c>
      <c r="L71" s="2">
        <f t="shared" si="8"/>
        <v>6057</v>
      </c>
      <c r="M71" s="2">
        <f t="shared" si="8"/>
        <v>6060</v>
      </c>
      <c r="N71" s="2">
        <f t="shared" si="8"/>
        <v>6067</v>
      </c>
      <c r="O71" s="2">
        <f t="shared" si="8"/>
        <v>6075</v>
      </c>
      <c r="P71" s="2">
        <f t="shared" si="8"/>
        <v>24865</v>
      </c>
      <c r="Q71" s="2">
        <f t="shared" si="8"/>
        <v>6090</v>
      </c>
      <c r="R71" s="2">
        <f t="shared" si="8"/>
        <v>1000</v>
      </c>
      <c r="S71" s="2">
        <f t="shared" si="8"/>
        <v>6100</v>
      </c>
      <c r="T71" s="2">
        <f t="shared" si="8"/>
        <v>6107</v>
      </c>
      <c r="U71" s="2">
        <f t="shared" si="8"/>
        <v>6110</v>
      </c>
      <c r="V71" s="2">
        <f t="shared" si="8"/>
        <v>6120</v>
      </c>
      <c r="W71" s="2">
        <f t="shared" si="8"/>
        <v>6150</v>
      </c>
      <c r="X71" s="2">
        <f t="shared" si="8"/>
        <v>6180</v>
      </c>
      <c r="Y71" s="2">
        <f t="shared" si="8"/>
        <v>6200</v>
      </c>
      <c r="Z71" s="2">
        <f t="shared" si="8"/>
        <v>6220</v>
      </c>
      <c r="AA71" s="2">
        <f t="shared" si="8"/>
        <v>6250</v>
      </c>
      <c r="AB71" s="2">
        <f t="shared" si="8"/>
        <v>6280</v>
      </c>
      <c r="AC71" s="2">
        <f t="shared" si="8"/>
        <v>6300</v>
      </c>
      <c r="AD71" s="2"/>
      <c r="AE71" s="2"/>
      <c r="AF71" s="2"/>
      <c r="AG71" s="2"/>
      <c r="AH71" s="2"/>
    </row>
    <row r="72" spans="1:34" x14ac:dyDescent="0.2">
      <c r="C72" s="8"/>
      <c r="D72" s="8"/>
      <c r="E72" s="8"/>
      <c r="F72" s="8"/>
      <c r="G72" s="8"/>
      <c r="H72" s="8"/>
      <c r="I72" s="8"/>
      <c r="J72" s="8"/>
      <c r="K72" s="8"/>
      <c r="L72" s="8"/>
      <c r="M72"/>
      <c r="N72"/>
      <c r="O72"/>
      <c r="P72"/>
      <c r="Q72"/>
    </row>
    <row r="73" spans="1:34" ht="13.5" x14ac:dyDescent="0.25">
      <c r="A73" s="1" t="s">
        <v>190</v>
      </c>
      <c r="C73" s="4" t="s">
        <v>2</v>
      </c>
      <c r="M73"/>
      <c r="N73"/>
      <c r="O73"/>
      <c r="P73"/>
      <c r="Q73"/>
    </row>
    <row r="74" spans="1:34" x14ac:dyDescent="0.2">
      <c r="C74" s="5">
        <f t="shared" ref="C74:AC74" si="10">C$2</f>
        <v>155</v>
      </c>
      <c r="D74" s="5">
        <f t="shared" si="10"/>
        <v>300</v>
      </c>
      <c r="E74" s="5">
        <f t="shared" si="10"/>
        <v>350</v>
      </c>
      <c r="F74" s="5">
        <f t="shared" si="10"/>
        <v>365</v>
      </c>
      <c r="G74" s="5">
        <f t="shared" si="10"/>
        <v>400</v>
      </c>
      <c r="H74" s="5">
        <f t="shared" si="10"/>
        <v>415</v>
      </c>
      <c r="I74" s="5">
        <f t="shared" si="10"/>
        <v>450</v>
      </c>
      <c r="J74" s="5">
        <f t="shared" si="10"/>
        <v>500</v>
      </c>
      <c r="K74" s="5">
        <f t="shared" si="10"/>
        <v>550</v>
      </c>
      <c r="L74" s="5">
        <f t="shared" si="10"/>
        <v>565</v>
      </c>
      <c r="M74" s="5">
        <f t="shared" si="10"/>
        <v>600</v>
      </c>
      <c r="N74" s="5">
        <f t="shared" si="10"/>
        <v>665</v>
      </c>
      <c r="O74" s="5">
        <f t="shared" si="10"/>
        <v>750</v>
      </c>
      <c r="P74" s="5">
        <f t="shared" si="10"/>
        <v>865</v>
      </c>
      <c r="Q74" s="5">
        <f t="shared" si="10"/>
        <v>900</v>
      </c>
      <c r="R74" s="5">
        <f t="shared" si="10"/>
        <v>965</v>
      </c>
      <c r="S74" s="5">
        <f t="shared" si="10"/>
        <v>1000</v>
      </c>
      <c r="T74" s="5">
        <f t="shared" si="10"/>
        <v>1065</v>
      </c>
      <c r="U74" s="5">
        <f t="shared" si="10"/>
        <v>1100</v>
      </c>
      <c r="V74" s="5">
        <f t="shared" si="10"/>
        <v>1200</v>
      </c>
      <c r="W74" s="5">
        <f t="shared" si="10"/>
        <v>1500</v>
      </c>
      <c r="X74" s="5">
        <f t="shared" si="10"/>
        <v>1800</v>
      </c>
      <c r="Y74" s="5">
        <f t="shared" si="10"/>
        <v>2000</v>
      </c>
      <c r="Z74" s="5">
        <f t="shared" si="10"/>
        <v>2200</v>
      </c>
      <c r="AA74" s="5">
        <f t="shared" si="10"/>
        <v>2500</v>
      </c>
      <c r="AB74" s="5">
        <f t="shared" si="10"/>
        <v>2800</v>
      </c>
      <c r="AC74" s="5">
        <f t="shared" si="10"/>
        <v>3000</v>
      </c>
      <c r="AD74" s="5"/>
      <c r="AE74" s="5"/>
      <c r="AF74" s="5"/>
      <c r="AG74" s="5"/>
      <c r="AH74" s="5"/>
    </row>
    <row r="75" spans="1:34" x14ac:dyDescent="0.2">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row>
    <row r="76" spans="1:34" ht="13.5" x14ac:dyDescent="0.25">
      <c r="A76" s="4" t="s">
        <v>3</v>
      </c>
      <c r="B76" s="2">
        <f>B3</f>
        <v>63</v>
      </c>
      <c r="C76" s="9" t="str">
        <f t="shared" ref="C76:V76" si="11">IF(C27="","",(C19-C27*$C$99/1000)*$B$98+C27*$B$99)</f>
        <v/>
      </c>
      <c r="D76" s="9" t="str">
        <f t="shared" si="11"/>
        <v/>
      </c>
      <c r="E76" s="9" t="str">
        <f t="shared" si="11"/>
        <v/>
      </c>
      <c r="F76" s="9" t="str">
        <f t="shared" si="11"/>
        <v/>
      </c>
      <c r="G76" s="9" t="str">
        <f t="shared" si="11"/>
        <v/>
      </c>
      <c r="H76" s="9" t="str">
        <f t="shared" si="11"/>
        <v/>
      </c>
      <c r="I76" s="9" t="str">
        <f t="shared" si="11"/>
        <v/>
      </c>
      <c r="J76" s="9" t="str">
        <f t="shared" si="11"/>
        <v/>
      </c>
      <c r="K76" s="9" t="str">
        <f t="shared" si="11"/>
        <v/>
      </c>
      <c r="L76" s="9" t="str">
        <f t="shared" si="11"/>
        <v/>
      </c>
      <c r="M76" s="9" t="str">
        <f t="shared" si="11"/>
        <v/>
      </c>
      <c r="N76" s="9" t="str">
        <f t="shared" si="11"/>
        <v/>
      </c>
      <c r="O76" s="9" t="str">
        <f t="shared" si="11"/>
        <v/>
      </c>
      <c r="P76" s="9" t="str">
        <f t="shared" si="11"/>
        <v/>
      </c>
      <c r="Q76" s="9" t="str">
        <f t="shared" si="11"/>
        <v/>
      </c>
      <c r="R76" s="9" t="str">
        <f t="shared" si="11"/>
        <v/>
      </c>
      <c r="S76" s="9" t="str">
        <f t="shared" si="11"/>
        <v/>
      </c>
      <c r="T76" s="9" t="str">
        <f t="shared" si="11"/>
        <v/>
      </c>
      <c r="U76" s="9" t="str">
        <f t="shared" si="11"/>
        <v/>
      </c>
      <c r="V76" s="9" t="str">
        <f t="shared" si="11"/>
        <v/>
      </c>
      <c r="W76" s="9" t="str">
        <f t="shared" ref="W76:AA79" si="12">IF(W27="","",(W19-W27*$C$99/1000)*$B$98+W27*$B$99)</f>
        <v/>
      </c>
      <c r="X76" s="9" t="str">
        <f t="shared" si="12"/>
        <v/>
      </c>
      <c r="Y76" s="9" t="str">
        <f t="shared" si="12"/>
        <v/>
      </c>
      <c r="Z76" s="9" t="str">
        <f t="shared" si="12"/>
        <v/>
      </c>
      <c r="AA76" s="9" t="str">
        <f t="shared" si="12"/>
        <v/>
      </c>
      <c r="AB76" s="9" t="str">
        <f t="shared" ref="AB76:AC76" si="13">IF(AB27="","",(AB19-AB27*$C$99/1000)*$B$98+AB27*$B$99)</f>
        <v/>
      </c>
      <c r="AC76" s="9" t="str">
        <f t="shared" si="13"/>
        <v/>
      </c>
      <c r="AD76" s="9"/>
      <c r="AE76" s="9"/>
      <c r="AF76" s="9"/>
      <c r="AG76" s="9"/>
      <c r="AH76" s="9"/>
    </row>
    <row r="77" spans="1:34" x14ac:dyDescent="0.2">
      <c r="B77" s="2">
        <f>B4</f>
        <v>101</v>
      </c>
      <c r="C77" s="9" t="str">
        <f t="shared" ref="C77:V77" si="14">IF(C28="","",(C20-C28*$C$99/1000)*$B$98+C28*$B$99)</f>
        <v/>
      </c>
      <c r="D77" s="9" t="str">
        <f t="shared" si="14"/>
        <v/>
      </c>
      <c r="E77" s="9" t="str">
        <f t="shared" si="14"/>
        <v/>
      </c>
      <c r="F77" s="9" t="str">
        <f t="shared" si="14"/>
        <v/>
      </c>
      <c r="G77" s="9" t="str">
        <f t="shared" si="14"/>
        <v/>
      </c>
      <c r="H77" s="9" t="str">
        <f t="shared" si="14"/>
        <v/>
      </c>
      <c r="I77" s="9" t="str">
        <f t="shared" si="14"/>
        <v/>
      </c>
      <c r="J77" s="9" t="str">
        <f t="shared" si="14"/>
        <v/>
      </c>
      <c r="K77" s="9" t="str">
        <f t="shared" si="14"/>
        <v/>
      </c>
      <c r="L77" s="9" t="str">
        <f t="shared" si="14"/>
        <v/>
      </c>
      <c r="M77" s="9" t="str">
        <f t="shared" si="14"/>
        <v/>
      </c>
      <c r="N77" s="9" t="str">
        <f t="shared" si="14"/>
        <v/>
      </c>
      <c r="O77" s="9" t="str">
        <f t="shared" si="14"/>
        <v/>
      </c>
      <c r="P77" s="9" t="str">
        <f t="shared" si="14"/>
        <v/>
      </c>
      <c r="Q77" s="9" t="str">
        <f t="shared" si="14"/>
        <v/>
      </c>
      <c r="R77" s="9" t="str">
        <f t="shared" si="14"/>
        <v/>
      </c>
      <c r="S77" s="9" t="str">
        <f t="shared" si="14"/>
        <v/>
      </c>
      <c r="T77" s="9" t="str">
        <f t="shared" si="14"/>
        <v/>
      </c>
      <c r="U77" s="9" t="str">
        <f t="shared" si="14"/>
        <v/>
      </c>
      <c r="V77" s="9" t="str">
        <f t="shared" si="14"/>
        <v/>
      </c>
      <c r="W77" s="9" t="str">
        <f t="shared" si="12"/>
        <v/>
      </c>
      <c r="X77" s="9" t="str">
        <f t="shared" si="12"/>
        <v/>
      </c>
      <c r="Y77" s="9" t="str">
        <f t="shared" si="12"/>
        <v/>
      </c>
      <c r="Z77" s="9" t="str">
        <f t="shared" si="12"/>
        <v/>
      </c>
      <c r="AA77" s="9" t="str">
        <f t="shared" si="12"/>
        <v/>
      </c>
      <c r="AB77" s="9" t="str">
        <f t="shared" ref="AB77:AC77" si="15">IF(AB28="","",(AB20-AB28*$C$99/1000)*$B$98+AB28*$B$99)</f>
        <v/>
      </c>
      <c r="AC77" s="9" t="str">
        <f t="shared" si="15"/>
        <v/>
      </c>
      <c r="AD77" s="9"/>
      <c r="AE77" s="9"/>
      <c r="AF77" s="9"/>
      <c r="AG77" s="9"/>
      <c r="AH77" s="9"/>
    </row>
    <row r="78" spans="1:34" x14ac:dyDescent="0.2">
      <c r="B78" s="2">
        <f>B5</f>
        <v>139</v>
      </c>
      <c r="C78" s="9" t="str">
        <f t="shared" ref="C78:V78" si="16">IF(C29="","",(C21-C29*$C$99/1000)*$B$98+C29*$B$99)</f>
        <v/>
      </c>
      <c r="D78" s="9" t="str">
        <f t="shared" si="16"/>
        <v/>
      </c>
      <c r="E78" s="9" t="str">
        <f t="shared" si="16"/>
        <v/>
      </c>
      <c r="F78" s="9" t="str">
        <f t="shared" si="16"/>
        <v/>
      </c>
      <c r="G78" s="9" t="str">
        <f t="shared" si="16"/>
        <v/>
      </c>
      <c r="H78" s="9" t="str">
        <f t="shared" si="16"/>
        <v/>
      </c>
      <c r="I78" s="9" t="str">
        <f t="shared" si="16"/>
        <v/>
      </c>
      <c r="J78" s="9" t="str">
        <f t="shared" si="16"/>
        <v/>
      </c>
      <c r="K78" s="9" t="str">
        <f t="shared" si="16"/>
        <v/>
      </c>
      <c r="L78" s="9" t="str">
        <f t="shared" si="16"/>
        <v/>
      </c>
      <c r="M78" s="9" t="str">
        <f t="shared" si="16"/>
        <v/>
      </c>
      <c r="N78" s="9" t="str">
        <f t="shared" si="16"/>
        <v/>
      </c>
      <c r="O78" s="9" t="str">
        <f t="shared" si="16"/>
        <v/>
      </c>
      <c r="P78" s="9" t="str">
        <f t="shared" si="16"/>
        <v/>
      </c>
      <c r="Q78" s="9" t="str">
        <f t="shared" si="16"/>
        <v/>
      </c>
      <c r="R78" s="9" t="str">
        <f t="shared" si="16"/>
        <v/>
      </c>
      <c r="S78" s="9" t="str">
        <f t="shared" si="16"/>
        <v/>
      </c>
      <c r="T78" s="9" t="str">
        <f t="shared" si="16"/>
        <v/>
      </c>
      <c r="U78" s="9" t="str">
        <f t="shared" si="16"/>
        <v/>
      </c>
      <c r="V78" s="9" t="str">
        <f t="shared" si="16"/>
        <v/>
      </c>
      <c r="W78" s="9" t="str">
        <f t="shared" si="12"/>
        <v/>
      </c>
      <c r="X78" s="9" t="str">
        <f t="shared" si="12"/>
        <v/>
      </c>
      <c r="Y78" s="9" t="str">
        <f t="shared" si="12"/>
        <v/>
      </c>
      <c r="Z78" s="9" t="str">
        <f t="shared" si="12"/>
        <v/>
      </c>
      <c r="AA78" s="9" t="str">
        <f t="shared" si="12"/>
        <v/>
      </c>
      <c r="AB78" s="9" t="str">
        <f t="shared" ref="AB78:AC78" si="17">IF(AB29="","",(AB21-AB29*$C$99/1000)*$B$98+AB29*$B$99)</f>
        <v/>
      </c>
      <c r="AC78" s="9" t="str">
        <f t="shared" si="17"/>
        <v/>
      </c>
      <c r="AD78" s="9"/>
      <c r="AE78" s="9"/>
      <c r="AF78" s="9"/>
      <c r="AG78" s="9"/>
      <c r="AH78" s="9"/>
    </row>
    <row r="79" spans="1:34" x14ac:dyDescent="0.2">
      <c r="B79" s="2">
        <f>B6</f>
        <v>177</v>
      </c>
      <c r="C79" s="9" t="str">
        <f t="shared" ref="C79:V79" si="18">IF(C30="","",(C22-C30*$C$99/1000)*$B$98+C30*$B$99)</f>
        <v/>
      </c>
      <c r="D79" s="9" t="str">
        <f t="shared" si="18"/>
        <v/>
      </c>
      <c r="E79" s="9" t="str">
        <f t="shared" si="18"/>
        <v/>
      </c>
      <c r="F79" s="9" t="str">
        <f t="shared" si="18"/>
        <v/>
      </c>
      <c r="G79" s="9" t="str">
        <f t="shared" si="18"/>
        <v/>
      </c>
      <c r="H79" s="9" t="str">
        <f t="shared" si="18"/>
        <v/>
      </c>
      <c r="I79" s="9" t="str">
        <f t="shared" si="18"/>
        <v/>
      </c>
      <c r="J79" s="9" t="str">
        <f t="shared" si="18"/>
        <v/>
      </c>
      <c r="K79" s="9" t="str">
        <f t="shared" si="18"/>
        <v/>
      </c>
      <c r="L79" s="9" t="str">
        <f t="shared" si="18"/>
        <v/>
      </c>
      <c r="M79" s="9" t="str">
        <f t="shared" si="18"/>
        <v/>
      </c>
      <c r="N79" s="9" t="str">
        <f t="shared" si="18"/>
        <v/>
      </c>
      <c r="O79" s="9" t="str">
        <f t="shared" si="18"/>
        <v/>
      </c>
      <c r="P79" s="9" t="str">
        <f t="shared" si="18"/>
        <v/>
      </c>
      <c r="Q79" s="9" t="str">
        <f t="shared" si="18"/>
        <v/>
      </c>
      <c r="R79" s="9" t="str">
        <f t="shared" si="18"/>
        <v/>
      </c>
      <c r="S79" s="9" t="str">
        <f t="shared" si="18"/>
        <v/>
      </c>
      <c r="T79" s="9" t="str">
        <f t="shared" si="18"/>
        <v/>
      </c>
      <c r="U79" s="9" t="str">
        <f t="shared" si="18"/>
        <v/>
      </c>
      <c r="V79" s="9" t="str">
        <f t="shared" si="18"/>
        <v/>
      </c>
      <c r="W79" s="9" t="str">
        <f t="shared" si="12"/>
        <v/>
      </c>
      <c r="X79" s="9" t="str">
        <f t="shared" si="12"/>
        <v/>
      </c>
      <c r="Y79" s="9" t="str">
        <f t="shared" si="12"/>
        <v/>
      </c>
      <c r="Z79" s="9" t="str">
        <f t="shared" si="12"/>
        <v/>
      </c>
      <c r="AA79" s="9" t="str">
        <f t="shared" si="12"/>
        <v/>
      </c>
      <c r="AB79" s="9" t="str">
        <f t="shared" ref="AB79:AC79" si="19">IF(AB30="","",(AB22-AB30*$C$99/1000)*$B$98+AB30*$B$99)</f>
        <v/>
      </c>
      <c r="AC79" s="9" t="str">
        <f t="shared" si="19"/>
        <v/>
      </c>
      <c r="AD79" s="9"/>
      <c r="AE79" s="9"/>
      <c r="AF79" s="9"/>
      <c r="AG79" s="9"/>
      <c r="AH79" s="9"/>
    </row>
    <row r="80" spans="1:34" x14ac:dyDescent="0.2">
      <c r="B80" s="2">
        <f>B7</f>
        <v>215</v>
      </c>
      <c r="C80" s="9" t="str">
        <f t="shared" ref="C80:V80" si="20">IF(C31="","",(C23-C31*$C$99/1000)*$B$98+C31*$B$99)</f>
        <v/>
      </c>
      <c r="D80" s="9" t="str">
        <f t="shared" si="20"/>
        <v/>
      </c>
      <c r="E80" s="9" t="str">
        <f t="shared" si="20"/>
        <v/>
      </c>
      <c r="F80" s="9" t="str">
        <f t="shared" si="20"/>
        <v/>
      </c>
      <c r="G80" s="9" t="str">
        <f t="shared" si="20"/>
        <v/>
      </c>
      <c r="H80" s="9" t="str">
        <f t="shared" si="20"/>
        <v/>
      </c>
      <c r="I80" s="9" t="str">
        <f t="shared" si="20"/>
        <v/>
      </c>
      <c r="J80" s="9" t="str">
        <f t="shared" si="20"/>
        <v/>
      </c>
      <c r="K80" s="9" t="str">
        <f t="shared" si="20"/>
        <v/>
      </c>
      <c r="L80" s="9" t="str">
        <f t="shared" si="20"/>
        <v/>
      </c>
      <c r="M80" s="9" t="str">
        <f t="shared" si="20"/>
        <v/>
      </c>
      <c r="N80" s="9" t="str">
        <f t="shared" si="20"/>
        <v/>
      </c>
      <c r="O80" s="9" t="str">
        <f t="shared" si="20"/>
        <v/>
      </c>
      <c r="P80" s="9" t="str">
        <f t="shared" si="20"/>
        <v/>
      </c>
      <c r="Q80" s="9" t="str">
        <f t="shared" si="20"/>
        <v/>
      </c>
      <c r="R80" s="9" t="str">
        <f t="shared" si="20"/>
        <v/>
      </c>
      <c r="S80" s="9" t="str">
        <f t="shared" si="20"/>
        <v/>
      </c>
      <c r="T80" s="9" t="str">
        <f t="shared" si="20"/>
        <v/>
      </c>
      <c r="U80" s="9" t="str">
        <f t="shared" si="20"/>
        <v/>
      </c>
      <c r="V80" s="9" t="str">
        <f t="shared" si="20"/>
        <v/>
      </c>
    </row>
    <row r="81" spans="1:35" x14ac:dyDescent="0.2">
      <c r="C81" s="8"/>
      <c r="D81" s="8"/>
      <c r="E81" s="8"/>
      <c r="F81" s="8"/>
      <c r="G81" s="8"/>
      <c r="H81" s="8"/>
      <c r="I81" s="8"/>
      <c r="J81" s="8"/>
    </row>
    <row r="83" spans="1:35" x14ac:dyDescent="0.2">
      <c r="A83" s="2">
        <f>Gliederradiator!$B$2</f>
        <v>500</v>
      </c>
      <c r="B83" s="2" t="str">
        <f>IFERROR(ADDRESS(ROW(C2), COLUMN(C2)-1 + _xlfn.XMATCH(A83, C2:L2, 1), 4), "Kein grösserer Wert")</f>
        <v>J2</v>
      </c>
      <c r="C83" s="2" cm="1">
        <f t="array" aca="1" ref="C83" ca="1">INDEX(A:Q, ROW(INDIRECT(B83)), COLUMN(INDIRECT(B83))-1)</f>
        <v>450</v>
      </c>
      <c r="D83" s="2" cm="1">
        <f t="array" aca="1" ref="D83" ca="1">INDIRECT(B83)</f>
        <v>500</v>
      </c>
      <c r="F83" s="2" t="str">
        <f>IFERROR(ADDRESS(ROW(C10), COLUMN(C10)-1 + _xlfn.XMATCH(A83, C10:L10, 1), 4), "Kein grösserer Wert")</f>
        <v>J10</v>
      </c>
      <c r="G83" s="2" cm="1">
        <f t="array" aca="1" ref="G83" ca="1">INDEX(A:Q, ROW(INDIRECT(F83)), COLUMN(INDIRECT(F83))-1)</f>
        <v>450</v>
      </c>
      <c r="H83" s="2" cm="1">
        <f t="array" aca="1" ref="H83" ca="1">INDIRECT(F83)</f>
        <v>500</v>
      </c>
      <c r="I83" s="2" t="str">
        <f>IFERROR(ADDRESS(ROW(C74), COLUMN(C74)-1 + _xlfn.XMATCH(A83, C74:L74, 1), 4), "Kein grösserer Wert")</f>
        <v>J74</v>
      </c>
      <c r="J83" s="2" cm="1">
        <f t="array" aca="1" ref="J83" ca="1">INDEX(A:Q, ROW(INDIRECT(I83)), COLUMN(INDIRECT(I83))-1)</f>
        <v>450</v>
      </c>
      <c r="K83" s="2" cm="1">
        <f t="array" aca="1" ref="K83" ca="1">INDIRECT(I83)</f>
        <v>500</v>
      </c>
    </row>
    <row r="84" spans="1:35" x14ac:dyDescent="0.2">
      <c r="A84" s="2">
        <f>Gliederradiator!$B$3</f>
        <v>136</v>
      </c>
      <c r="B84" s="2" t="str">
        <f>IFERROR(ADDRESS(ROW(B3)-1 + _xlfn.XMATCH(A84,B3:B7,1),COLUMN(B3),4),"Kein grösserer Wert")</f>
        <v>B5</v>
      </c>
      <c r="C84" s="2" cm="1">
        <f t="array" aca="1" ref="C84" ca="1">INDEX(A:Q, ROW(INDIRECT(B84)), COLUMN(INDIRECT(B83)))</f>
        <v>70.88</v>
      </c>
      <c r="D84" s="2" cm="1">
        <f t="array" aca="1" ref="D84" ca="1">INDIRECT(B84)</f>
        <v>139</v>
      </c>
      <c r="F84" s="2" t="str">
        <f>IFERROR(ADDRESS(ROW(B11)-1 + _xlfn.XMATCH(A84,B11:B15,1),COLUMN(B11),4),"Kein grösserer Wert")</f>
        <v>B13</v>
      </c>
      <c r="G84" s="2" cm="1">
        <f t="array" aca="1" ref="G84" ca="1">INDEX(A:Q, ROW(INDIRECT(F84))-1, COLUMN(INDIRECT(F84)))</f>
        <v>101</v>
      </c>
      <c r="H84" s="2" cm="1">
        <f t="array" aca="1" ref="H84" ca="1">INDIRECT(F84)</f>
        <v>139</v>
      </c>
      <c r="I84" s="2" t="str">
        <f>IFERROR(ADDRESS(ROW(B76)-1 + _xlfn.XMATCH(A84,B76:B80,1),COLUMN(B76),4),"Kein grösserer Wert")</f>
        <v>B78</v>
      </c>
      <c r="J84" s="2" cm="1">
        <f t="array" aca="1" ref="J84" ca="1">INDEX(A:Q, ROW(INDIRECT(I84))-1, COLUMN(INDIRECT(I84)))</f>
        <v>101</v>
      </c>
      <c r="K84" s="2" cm="1">
        <f t="array" aca="1" ref="K84" ca="1">INDIRECT(I84)</f>
        <v>139</v>
      </c>
    </row>
    <row r="85" spans="1:35" x14ac:dyDescent="0.2">
      <c r="A85" s="3">
        <f ca="1">C85 + (A83-C83)/(D83-C83)*(D85-C85)*0.5 + (A84-C84)/(D84-C84)*(D85-C85)*0.5</f>
        <v>70.430572519083967</v>
      </c>
      <c r="C85" s="2" cm="1">
        <f t="array" aca="1" ref="C85" ca="1">INDEX(A:Q, ROW(INDIRECT(B84))-1, COLUMN(INDIRECT(B83))-1)</f>
        <v>50.47</v>
      </c>
      <c r="D85" s="2" cm="1">
        <f t="array" aca="1" ref="D85" ca="1">INDEX(A:Q, ROW(INDIRECT(B84)), COLUMN(INDIRECT(B83)))</f>
        <v>70.88</v>
      </c>
      <c r="G85" s="2" cm="1">
        <f t="array" aca="1" ref="G85" ca="1">INDEX(A:Q, ROW(INDIRECT(F84))-1, COLUMN(INDIRECT(F83))-1)</f>
        <v>1.24</v>
      </c>
      <c r="H85" s="2" cm="1">
        <f t="array" aca="1" ref="H85" ca="1">INDEX(A:Q, ROW(INDIRECT(F84)), COLUMN(INDIRECT(F83)))</f>
        <v>1.26</v>
      </c>
      <c r="J85" s="2" t="str" cm="1">
        <f t="array" aca="1" ref="J85" ca="1">INDEX(A:Q, ROW(INDIRECT(I84))-1, COLUMN(INDIRECT(I83))-1)</f>
        <v/>
      </c>
      <c r="K85" s="2" t="str" cm="1">
        <f t="array" aca="1" ref="K85" ca="1">INDEX(A:Q, ROW(INDIRECT(I84)), COLUMN(INDIRECT(I83)))</f>
        <v/>
      </c>
    </row>
    <row r="86" spans="1:35" x14ac:dyDescent="0.2">
      <c r="A86" s="3">
        <f ca="1">C86 + (A83-C83)/(D83-C83)*(D86-C86)*0.5 + (A84-C84)/(D84-C84)*(D86-C86)*0.5</f>
        <v>1.2595596007046388</v>
      </c>
      <c r="C86" s="2" cm="1">
        <f t="array" aca="1" ref="C86" ca="1">INDEX(A:Q, ROW(INDIRECT(F84))-1, COLUMN(INDIRECT(F83))-1)</f>
        <v>1.24</v>
      </c>
      <c r="D86" s="2" cm="1">
        <f t="array" aca="1" ref="D86" ca="1">INDEX(A:S, ROW(INDIRECT(F84)), COLUMN(INDIRECT(F83)))</f>
        <v>1.26</v>
      </c>
    </row>
    <row r="87" spans="1:35" x14ac:dyDescent="0.2">
      <c r="A87" s="10" t="e">
        <f ca="1">C87 + (A83-C83)/(D83-C83)*(D87-C87)*0.5 + (A84-C84)/(D84-C84)*(D87-C87)*0.5</f>
        <v>#VALUE!</v>
      </c>
      <c r="C87" s="9" t="str">
        <f ca="1">J85</f>
        <v/>
      </c>
      <c r="D87" s="9" t="str">
        <f ca="1">K85</f>
        <v/>
      </c>
    </row>
    <row r="88" spans="1:35" s="2" customFormat="1" x14ac:dyDescent="0.2">
      <c r="A88" s="3"/>
      <c r="R88"/>
      <c r="S88"/>
      <c r="T88"/>
      <c r="U88"/>
      <c r="V88"/>
      <c r="W88"/>
      <c r="X88"/>
      <c r="Y88"/>
      <c r="Z88"/>
      <c r="AA88"/>
      <c r="AB88"/>
      <c r="AC88"/>
      <c r="AD88"/>
      <c r="AE88"/>
      <c r="AF88"/>
      <c r="AG88"/>
      <c r="AH88"/>
      <c r="AI88"/>
    </row>
    <row r="90" spans="1:35" s="2" customFormat="1" ht="12.75" customHeight="1" x14ac:dyDescent="0.2">
      <c r="A90" s="1" t="s">
        <v>1</v>
      </c>
      <c r="R90"/>
      <c r="S90"/>
      <c r="T90"/>
      <c r="U90"/>
      <c r="V90"/>
      <c r="W90"/>
      <c r="X90"/>
      <c r="Y90"/>
      <c r="Z90"/>
      <c r="AA90"/>
      <c r="AB90"/>
      <c r="AC90"/>
      <c r="AD90"/>
      <c r="AE90"/>
      <c r="AF90"/>
      <c r="AG90"/>
      <c r="AH90"/>
      <c r="AI90"/>
    </row>
    <row r="91" spans="1:35" s="2" customFormat="1" ht="15.75" customHeight="1" x14ac:dyDescent="0.3">
      <c r="A91" s="1" t="s">
        <v>8</v>
      </c>
      <c r="G91" s="2">
        <f>'Basis Radiator'!F10*((Gliederradiator!B8-Gliederradiator!B9)/'Basis Radiator'!B62)^Gliederradiator!B15</f>
        <v>24.135841372146224</v>
      </c>
      <c r="R91"/>
      <c r="S91"/>
      <c r="T91"/>
      <c r="U91"/>
      <c r="V91"/>
      <c r="W91"/>
      <c r="X91"/>
      <c r="Y91"/>
      <c r="Z91"/>
      <c r="AA91"/>
      <c r="AB91"/>
      <c r="AC91"/>
      <c r="AD91"/>
      <c r="AE91"/>
      <c r="AF91"/>
      <c r="AG91"/>
      <c r="AH91"/>
      <c r="AI91"/>
    </row>
    <row r="92" spans="1:35" s="2" customFormat="1" x14ac:dyDescent="0.2">
      <c r="E92" s="2">
        <v>75</v>
      </c>
      <c r="F92" s="2">
        <v>90</v>
      </c>
      <c r="R92"/>
      <c r="S92"/>
      <c r="T92"/>
      <c r="U92"/>
      <c r="V92"/>
      <c r="W92"/>
      <c r="X92"/>
      <c r="Y92"/>
      <c r="Z92"/>
      <c r="AA92"/>
      <c r="AB92"/>
      <c r="AC92"/>
      <c r="AD92"/>
      <c r="AE92"/>
      <c r="AF92"/>
      <c r="AG92"/>
      <c r="AH92"/>
      <c r="AI92"/>
    </row>
    <row r="93" spans="1:35" s="2" customFormat="1" ht="15.75" x14ac:dyDescent="0.3">
      <c r="A93" s="1" t="s">
        <v>9</v>
      </c>
      <c r="E93" s="2">
        <v>65</v>
      </c>
      <c r="F93" s="2">
        <v>70</v>
      </c>
      <c r="R93"/>
      <c r="S93"/>
      <c r="T93"/>
      <c r="U93"/>
      <c r="V93"/>
      <c r="W93"/>
      <c r="X93"/>
      <c r="Y93"/>
      <c r="Z93"/>
      <c r="AA93"/>
      <c r="AB93"/>
      <c r="AC93"/>
      <c r="AD93"/>
      <c r="AE93"/>
      <c r="AF93"/>
      <c r="AG93"/>
      <c r="AH93"/>
      <c r="AI93"/>
    </row>
    <row r="94" spans="1:35" s="2" customFormat="1" x14ac:dyDescent="0.2">
      <c r="E94" s="2">
        <v>20</v>
      </c>
      <c r="F94" s="2">
        <v>20</v>
      </c>
      <c r="R94"/>
      <c r="S94"/>
      <c r="T94"/>
      <c r="U94"/>
      <c r="V94"/>
      <c r="W94"/>
      <c r="X94"/>
      <c r="Y94"/>
      <c r="Z94"/>
      <c r="AA94"/>
      <c r="AB94"/>
      <c r="AC94"/>
      <c r="AD94"/>
      <c r="AE94"/>
      <c r="AF94"/>
      <c r="AG94"/>
      <c r="AH94"/>
      <c r="AI94"/>
    </row>
    <row r="95" spans="1:35" s="2" customFormat="1" ht="15.75" x14ac:dyDescent="0.3">
      <c r="A95" s="1" t="s">
        <v>10</v>
      </c>
      <c r="B95" s="2">
        <f>(E92-E93)/(LN((E92-E94)/(E93-E94)))</f>
        <v>49.83288654563971</v>
      </c>
      <c r="E95" s="11">
        <f>(E92-E93)/(LN((E92-E94)/(E93-E94)))</f>
        <v>49.83288654563971</v>
      </c>
      <c r="F95" s="11">
        <f>(F92-F93)/(LN((F92-F94)/(F93-F94)))</f>
        <v>59.440268239769239</v>
      </c>
      <c r="R95"/>
      <c r="S95"/>
      <c r="T95"/>
      <c r="U95"/>
      <c r="V95"/>
      <c r="W95"/>
      <c r="X95"/>
      <c r="Y95"/>
      <c r="Z95"/>
      <c r="AA95"/>
      <c r="AB95"/>
      <c r="AC95"/>
      <c r="AD95"/>
      <c r="AE95"/>
      <c r="AF95"/>
      <c r="AG95"/>
      <c r="AH95"/>
      <c r="AI95"/>
    </row>
    <row r="97" spans="1:35" s="2" customFormat="1" x14ac:dyDescent="0.2">
      <c r="A97" s="2" t="s">
        <v>5</v>
      </c>
      <c r="R97"/>
      <c r="S97"/>
      <c r="T97"/>
      <c r="U97"/>
      <c r="V97"/>
      <c r="W97"/>
      <c r="X97"/>
      <c r="Y97"/>
      <c r="Z97"/>
      <c r="AA97"/>
      <c r="AB97"/>
      <c r="AC97"/>
      <c r="AD97"/>
      <c r="AE97"/>
      <c r="AF97"/>
      <c r="AG97"/>
      <c r="AH97"/>
      <c r="AI97"/>
    </row>
    <row r="98" spans="1:35" s="2" customFormat="1" x14ac:dyDescent="0.2">
      <c r="A98" s="2" t="s">
        <v>7</v>
      </c>
      <c r="B98" s="2">
        <v>0.73</v>
      </c>
      <c r="R98"/>
      <c r="S98"/>
      <c r="T98"/>
      <c r="U98"/>
      <c r="V98"/>
      <c r="W98"/>
      <c r="X98"/>
      <c r="Y98"/>
      <c r="Z98"/>
      <c r="AA98"/>
      <c r="AB98"/>
      <c r="AC98"/>
      <c r="AD98"/>
      <c r="AE98"/>
      <c r="AF98"/>
      <c r="AG98"/>
      <c r="AH98"/>
      <c r="AI98"/>
    </row>
    <row r="99" spans="1:35" s="2" customFormat="1" x14ac:dyDescent="0.2">
      <c r="A99" s="2" t="s">
        <v>6</v>
      </c>
      <c r="B99" s="2">
        <v>4.38</v>
      </c>
      <c r="C99" s="2">
        <v>120</v>
      </c>
      <c r="D99" s="2" t="s">
        <v>12</v>
      </c>
      <c r="R99"/>
      <c r="S99"/>
      <c r="T99"/>
      <c r="U99"/>
      <c r="V99"/>
      <c r="W99"/>
      <c r="X99"/>
      <c r="Y99"/>
      <c r="Z99"/>
      <c r="AA99"/>
      <c r="AB99"/>
      <c r="AC99"/>
      <c r="AD99"/>
      <c r="AE99"/>
      <c r="AF99"/>
      <c r="AG99"/>
      <c r="AH99"/>
      <c r="AI99"/>
    </row>
    <row r="120" spans="13:35" s="2" customFormat="1" x14ac:dyDescent="0.2">
      <c r="M120" s="2">
        <v>0.56000000000000005</v>
      </c>
      <c r="R120"/>
      <c r="S120"/>
      <c r="T120"/>
      <c r="U120"/>
      <c r="V120"/>
      <c r="W120"/>
      <c r="X120"/>
      <c r="Y120"/>
      <c r="Z120"/>
      <c r="AA120"/>
      <c r="AB120"/>
      <c r="AC120"/>
      <c r="AD120"/>
      <c r="AE120"/>
      <c r="AF120"/>
      <c r="AG120"/>
      <c r="AH120"/>
      <c r="AI120"/>
    </row>
    <row r="121" spans="13:35" s="2" customFormat="1" x14ac:dyDescent="0.2">
      <c r="M121" s="2">
        <v>0.63</v>
      </c>
      <c r="R121"/>
      <c r="S121"/>
      <c r="T121"/>
      <c r="U121"/>
      <c r="V121"/>
      <c r="W121"/>
      <c r="X121"/>
      <c r="Y121"/>
      <c r="Z121"/>
      <c r="AA121"/>
      <c r="AB121"/>
      <c r="AC121"/>
      <c r="AD121"/>
      <c r="AE121"/>
      <c r="AF121"/>
      <c r="AG121"/>
      <c r="AH121"/>
      <c r="AI121"/>
    </row>
    <row r="122" spans="13:35" s="2" customFormat="1" x14ac:dyDescent="0.2">
      <c r="M122" s="2">
        <v>0.73</v>
      </c>
      <c r="R122"/>
      <c r="S122"/>
      <c r="T122"/>
      <c r="U122"/>
      <c r="V122"/>
      <c r="W122"/>
      <c r="X122"/>
      <c r="Y122"/>
      <c r="Z122"/>
      <c r="AA122"/>
      <c r="AB122"/>
      <c r="AC122"/>
      <c r="AD122"/>
      <c r="AE122"/>
      <c r="AF122"/>
      <c r="AG122"/>
      <c r="AH122"/>
      <c r="AI122"/>
    </row>
    <row r="123" spans="13:35" s="2" customFormat="1" x14ac:dyDescent="0.2">
      <c r="M123" s="2">
        <v>0.83</v>
      </c>
      <c r="R123"/>
      <c r="S123"/>
      <c r="T123"/>
      <c r="U123"/>
      <c r="V123"/>
      <c r="W123"/>
      <c r="X123"/>
      <c r="Y123"/>
      <c r="Z123"/>
      <c r="AA123"/>
      <c r="AB123"/>
      <c r="AC123"/>
      <c r="AD123"/>
      <c r="AE123"/>
      <c r="AF123"/>
      <c r="AG123"/>
      <c r="AH123"/>
      <c r="AI123"/>
    </row>
    <row r="124" spans="13:35" s="2" customFormat="1" x14ac:dyDescent="0.2">
      <c r="M124" s="2">
        <v>0.93</v>
      </c>
      <c r="R124"/>
      <c r="S124"/>
      <c r="T124"/>
      <c r="U124"/>
      <c r="V124"/>
      <c r="W124"/>
      <c r="X124"/>
      <c r="Y124"/>
      <c r="Z124"/>
      <c r="AA124"/>
      <c r="AB124"/>
      <c r="AC124"/>
      <c r="AD124"/>
      <c r="AE124"/>
      <c r="AF124"/>
      <c r="AG124"/>
      <c r="AH124"/>
      <c r="AI124"/>
    </row>
    <row r="125" spans="13:35" s="2" customFormat="1" x14ac:dyDescent="0.2">
      <c r="M125" s="2">
        <v>1.03</v>
      </c>
      <c r="R125"/>
      <c r="S125"/>
      <c r="T125"/>
      <c r="U125"/>
      <c r="V125"/>
      <c r="W125"/>
      <c r="X125"/>
      <c r="Y125"/>
      <c r="Z125"/>
      <c r="AA125"/>
      <c r="AB125"/>
      <c r="AC125"/>
      <c r="AD125"/>
      <c r="AE125"/>
      <c r="AF125"/>
      <c r="AG125"/>
      <c r="AH125"/>
      <c r="AI125"/>
    </row>
    <row r="126" spans="13:35" s="2" customFormat="1" x14ac:dyDescent="0.2">
      <c r="M126" s="2">
        <v>1.1299999999999999</v>
      </c>
      <c r="R126"/>
      <c r="S126"/>
      <c r="T126"/>
      <c r="U126"/>
      <c r="V126"/>
      <c r="W126"/>
      <c r="X126"/>
      <c r="Y126"/>
      <c r="Z126"/>
      <c r="AA126"/>
      <c r="AB126"/>
      <c r="AC126"/>
      <c r="AD126"/>
      <c r="AE126"/>
      <c r="AF126"/>
      <c r="AG126"/>
      <c r="AH126"/>
      <c r="AI126"/>
    </row>
    <row r="127" spans="13:35" s="2" customFormat="1" x14ac:dyDescent="0.2">
      <c r="M127" s="2">
        <v>1.23</v>
      </c>
      <c r="R127"/>
      <c r="S127"/>
      <c r="T127"/>
      <c r="U127"/>
      <c r="V127"/>
      <c r="W127"/>
      <c r="X127"/>
      <c r="Y127"/>
      <c r="Z127"/>
      <c r="AA127"/>
      <c r="AB127"/>
      <c r="AC127"/>
      <c r="AD127"/>
      <c r="AE127"/>
      <c r="AF127"/>
      <c r="AG127"/>
      <c r="AH127"/>
      <c r="AI127"/>
    </row>
    <row r="128" spans="13:35" s="2" customFormat="1" x14ac:dyDescent="0.2">
      <c r="M128" s="2">
        <v>1.52</v>
      </c>
      <c r="R128"/>
      <c r="S128"/>
      <c r="T128"/>
      <c r="U128"/>
      <c r="V128"/>
      <c r="W128"/>
      <c r="X128"/>
      <c r="Y128"/>
      <c r="Z128"/>
      <c r="AA128"/>
      <c r="AB128"/>
      <c r="AC128"/>
      <c r="AD128"/>
      <c r="AE128"/>
      <c r="AF128"/>
      <c r="AG128"/>
      <c r="AH128"/>
      <c r="AI128"/>
    </row>
    <row r="129" spans="13:35" s="2" customFormat="1" x14ac:dyDescent="0.2">
      <c r="M129" s="2">
        <v>1.81</v>
      </c>
      <c r="R129"/>
      <c r="S129"/>
      <c r="T129"/>
      <c r="U129"/>
      <c r="V129"/>
      <c r="W129"/>
      <c r="X129"/>
      <c r="Y129"/>
      <c r="Z129"/>
      <c r="AA129"/>
      <c r="AB129"/>
      <c r="AC129"/>
      <c r="AD129"/>
      <c r="AE129"/>
      <c r="AF129"/>
      <c r="AG129"/>
      <c r="AH129"/>
      <c r="AI129"/>
    </row>
    <row r="130" spans="13:35" s="2" customFormat="1" x14ac:dyDescent="0.2">
      <c r="M130" s="2">
        <v>2.0099999999999998</v>
      </c>
      <c r="R130"/>
      <c r="S130"/>
      <c r="T130"/>
      <c r="U130"/>
      <c r="V130"/>
      <c r="W130"/>
      <c r="X130"/>
      <c r="Y130"/>
      <c r="Z130"/>
      <c r="AA130"/>
      <c r="AB130"/>
      <c r="AC130"/>
      <c r="AD130"/>
      <c r="AE130"/>
      <c r="AF130"/>
      <c r="AG130"/>
      <c r="AH130"/>
      <c r="AI130"/>
    </row>
    <row r="131" spans="13:35" s="2" customFormat="1" x14ac:dyDescent="0.2">
      <c r="M131" s="2">
        <v>2.21</v>
      </c>
      <c r="R131"/>
      <c r="S131"/>
      <c r="T131"/>
      <c r="U131"/>
      <c r="V131"/>
      <c r="W131"/>
      <c r="X131"/>
      <c r="Y131"/>
      <c r="Z131"/>
      <c r="AA131"/>
      <c r="AB131"/>
      <c r="AC131"/>
      <c r="AD131"/>
      <c r="AE131"/>
      <c r="AF131"/>
      <c r="AG131"/>
      <c r="AH131"/>
      <c r="AI131"/>
    </row>
    <row r="132" spans="13:35" s="2" customFormat="1" x14ac:dyDescent="0.2">
      <c r="M132" s="2">
        <v>2.4</v>
      </c>
      <c r="R132"/>
      <c r="S132"/>
      <c r="T132"/>
      <c r="U132"/>
      <c r="V132"/>
      <c r="W132"/>
      <c r="X132"/>
      <c r="Y132"/>
      <c r="Z132"/>
      <c r="AA132"/>
      <c r="AB132"/>
      <c r="AC132"/>
      <c r="AD132"/>
      <c r="AE132"/>
      <c r="AF132"/>
      <c r="AG132"/>
      <c r="AH132"/>
      <c r="AI132"/>
    </row>
    <row r="133" spans="13:35" s="2" customFormat="1" x14ac:dyDescent="0.2">
      <c r="M133" s="2">
        <v>2.99</v>
      </c>
      <c r="R133"/>
      <c r="S133"/>
      <c r="T133"/>
      <c r="U133"/>
      <c r="V133"/>
      <c r="W133"/>
      <c r="X133"/>
      <c r="Y133"/>
      <c r="Z133"/>
      <c r="AA133"/>
      <c r="AB133"/>
      <c r="AC133"/>
      <c r="AD133"/>
      <c r="AE133"/>
      <c r="AF133"/>
      <c r="AG133"/>
      <c r="AH133"/>
      <c r="AI133"/>
    </row>
    <row r="134" spans="13:35" s="2" customFormat="1" x14ac:dyDescent="0.2">
      <c r="M134" s="2">
        <v>3.58</v>
      </c>
      <c r="R134"/>
      <c r="S134"/>
      <c r="T134"/>
      <c r="U134"/>
      <c r="V134"/>
      <c r="W134"/>
      <c r="X134"/>
      <c r="Y134"/>
      <c r="Z134"/>
      <c r="AA134"/>
      <c r="AB134"/>
      <c r="AC134"/>
      <c r="AD134"/>
      <c r="AE134"/>
      <c r="AF134"/>
      <c r="AG134"/>
      <c r="AH134"/>
      <c r="AI134"/>
    </row>
    <row r="135" spans="13:35" s="2" customFormat="1" x14ac:dyDescent="0.2">
      <c r="M135" s="2">
        <v>3.97</v>
      </c>
      <c r="R135"/>
      <c r="S135"/>
      <c r="T135"/>
      <c r="U135"/>
      <c r="V135"/>
      <c r="W135"/>
      <c r="X135"/>
      <c r="Y135"/>
      <c r="Z135"/>
      <c r="AA135"/>
      <c r="AB135"/>
      <c r="AC135"/>
      <c r="AD135"/>
      <c r="AE135"/>
      <c r="AF135"/>
      <c r="AG135"/>
      <c r="AH135"/>
      <c r="AI135"/>
    </row>
    <row r="136" spans="13:35" s="2" customFormat="1" x14ac:dyDescent="0.2">
      <c r="M136" s="2">
        <v>4.3600000000000003</v>
      </c>
      <c r="R136"/>
      <c r="S136"/>
      <c r="T136"/>
      <c r="U136"/>
      <c r="V136"/>
      <c r="W136"/>
      <c r="X136"/>
      <c r="Y136"/>
      <c r="Z136"/>
      <c r="AA136"/>
      <c r="AB136"/>
      <c r="AC136"/>
      <c r="AD136"/>
      <c r="AE136"/>
      <c r="AF136"/>
      <c r="AG136"/>
      <c r="AH136"/>
      <c r="AI136"/>
    </row>
    <row r="137" spans="13:35" s="2" customFormat="1" x14ac:dyDescent="0.2">
      <c r="M137" s="2">
        <v>4.95</v>
      </c>
      <c r="R137"/>
      <c r="S137"/>
      <c r="T137"/>
      <c r="U137"/>
      <c r="V137"/>
      <c r="W137"/>
      <c r="X137"/>
      <c r="Y137"/>
      <c r="Z137"/>
      <c r="AA137"/>
      <c r="AB137"/>
      <c r="AC137"/>
      <c r="AD137"/>
      <c r="AE137"/>
      <c r="AF137"/>
      <c r="AG137"/>
      <c r="AH137"/>
      <c r="AI137"/>
    </row>
    <row r="138" spans="13:35" s="2" customFormat="1" x14ac:dyDescent="0.2">
      <c r="M138" s="2">
        <v>5.54</v>
      </c>
      <c r="R138"/>
      <c r="S138"/>
      <c r="T138"/>
      <c r="U138"/>
      <c r="V138"/>
      <c r="W138"/>
      <c r="X138"/>
      <c r="Y138"/>
      <c r="Z138"/>
      <c r="AA138"/>
      <c r="AB138"/>
      <c r="AC138"/>
      <c r="AD138"/>
      <c r="AE138"/>
      <c r="AF138"/>
      <c r="AG138"/>
      <c r="AH138"/>
      <c r="AI138"/>
    </row>
    <row r="139" spans="13:35" s="2" customFormat="1" x14ac:dyDescent="0.2">
      <c r="M139" s="2">
        <v>5.93</v>
      </c>
      <c r="R139"/>
      <c r="S139"/>
      <c r="T139"/>
      <c r="U139"/>
      <c r="V139"/>
      <c r="W139"/>
      <c r="X139"/>
      <c r="Y139"/>
      <c r="Z139"/>
      <c r="AA139"/>
      <c r="AB139"/>
      <c r="AC139"/>
      <c r="AD139"/>
      <c r="AE139"/>
      <c r="AF139"/>
      <c r="AG139"/>
      <c r="AH139"/>
      <c r="AI139"/>
    </row>
    <row r="140" spans="13:35" s="2" customFormat="1" x14ac:dyDescent="0.2">
      <c r="M140" s="2">
        <v>0.77</v>
      </c>
      <c r="R140"/>
      <c r="S140"/>
      <c r="T140"/>
      <c r="U140"/>
      <c r="V140"/>
      <c r="W140"/>
      <c r="X140"/>
      <c r="Y140"/>
      <c r="Z140"/>
      <c r="AA140"/>
      <c r="AB140"/>
      <c r="AC140"/>
      <c r="AD140"/>
      <c r="AE140"/>
      <c r="AF140"/>
      <c r="AG140"/>
      <c r="AH140"/>
      <c r="AI140"/>
    </row>
    <row r="141" spans="13:35" s="2" customFormat="1" x14ac:dyDescent="0.2">
      <c r="M141" s="2">
        <v>0.88</v>
      </c>
      <c r="R141"/>
      <c r="S141"/>
      <c r="T141"/>
      <c r="U141"/>
      <c r="V141"/>
      <c r="W141"/>
      <c r="X141"/>
      <c r="Y141"/>
      <c r="Z141"/>
      <c r="AA141"/>
      <c r="AB141"/>
      <c r="AC141"/>
      <c r="AD141"/>
      <c r="AE141"/>
      <c r="AF141"/>
      <c r="AG141"/>
      <c r="AH141"/>
      <c r="AI141"/>
    </row>
    <row r="142" spans="13:35" s="2" customFormat="1" x14ac:dyDescent="0.2">
      <c r="M142" s="2">
        <v>1.01</v>
      </c>
      <c r="R142"/>
      <c r="S142"/>
      <c r="T142"/>
      <c r="U142"/>
      <c r="V142"/>
      <c r="W142"/>
      <c r="X142"/>
      <c r="Y142"/>
      <c r="Z142"/>
      <c r="AA142"/>
      <c r="AB142"/>
      <c r="AC142"/>
      <c r="AD142"/>
      <c r="AE142"/>
      <c r="AF142"/>
      <c r="AG142"/>
      <c r="AH142"/>
      <c r="AI142"/>
    </row>
    <row r="143" spans="13:35" s="2" customFormat="1" x14ac:dyDescent="0.2">
      <c r="M143" s="2">
        <v>1.1599999999999999</v>
      </c>
      <c r="R143"/>
      <c r="S143"/>
      <c r="T143"/>
      <c r="U143"/>
      <c r="V143"/>
      <c r="W143"/>
      <c r="X143"/>
      <c r="Y143"/>
      <c r="Z143"/>
      <c r="AA143"/>
      <c r="AB143"/>
      <c r="AC143"/>
      <c r="AD143"/>
      <c r="AE143"/>
      <c r="AF143"/>
      <c r="AG143"/>
      <c r="AH143"/>
      <c r="AI143"/>
    </row>
    <row r="144" spans="13:35" s="2" customFormat="1" x14ac:dyDescent="0.2">
      <c r="M144" s="2">
        <v>1.29</v>
      </c>
      <c r="R144"/>
      <c r="S144"/>
      <c r="T144"/>
      <c r="U144"/>
      <c r="V144"/>
      <c r="W144"/>
      <c r="X144"/>
      <c r="Y144"/>
      <c r="Z144"/>
      <c r="AA144"/>
      <c r="AB144"/>
      <c r="AC144"/>
      <c r="AD144"/>
      <c r="AE144"/>
      <c r="AF144"/>
      <c r="AG144"/>
      <c r="AH144"/>
      <c r="AI144"/>
    </row>
    <row r="145" spans="13:35" s="2" customFormat="1" x14ac:dyDescent="0.2">
      <c r="M145" s="2">
        <v>1.42</v>
      </c>
      <c r="R145"/>
      <c r="S145"/>
      <c r="T145"/>
      <c r="U145"/>
      <c r="V145"/>
      <c r="W145"/>
      <c r="X145"/>
      <c r="Y145"/>
      <c r="Z145"/>
      <c r="AA145"/>
      <c r="AB145"/>
      <c r="AC145"/>
      <c r="AD145"/>
      <c r="AE145"/>
      <c r="AF145"/>
      <c r="AG145"/>
      <c r="AH145"/>
      <c r="AI145"/>
    </row>
    <row r="146" spans="13:35" s="2" customFormat="1" x14ac:dyDescent="0.2">
      <c r="M146" s="2">
        <v>1.55</v>
      </c>
      <c r="R146"/>
      <c r="S146"/>
      <c r="T146"/>
      <c r="U146"/>
      <c r="V146"/>
      <c r="W146"/>
      <c r="X146"/>
      <c r="Y146"/>
      <c r="Z146"/>
      <c r="AA146"/>
      <c r="AB146"/>
      <c r="AC146"/>
      <c r="AD146"/>
      <c r="AE146"/>
      <c r="AF146"/>
      <c r="AG146"/>
      <c r="AH146"/>
      <c r="AI146"/>
    </row>
    <row r="147" spans="13:35" s="2" customFormat="1" x14ac:dyDescent="0.2">
      <c r="M147" s="2">
        <v>1.67</v>
      </c>
      <c r="R147"/>
      <c r="S147"/>
      <c r="T147"/>
      <c r="U147"/>
      <c r="V147"/>
      <c r="W147"/>
      <c r="X147"/>
      <c r="Y147"/>
      <c r="Z147"/>
      <c r="AA147"/>
      <c r="AB147"/>
      <c r="AC147"/>
      <c r="AD147"/>
      <c r="AE147"/>
      <c r="AF147"/>
      <c r="AG147"/>
      <c r="AH147"/>
      <c r="AI147"/>
    </row>
    <row r="148" spans="13:35" s="2" customFormat="1" x14ac:dyDescent="0.2">
      <c r="M148" s="2">
        <v>2.06</v>
      </c>
      <c r="R148"/>
      <c r="S148"/>
      <c r="T148"/>
      <c r="U148"/>
      <c r="V148"/>
      <c r="W148"/>
      <c r="X148"/>
      <c r="Y148"/>
      <c r="Z148"/>
      <c r="AA148"/>
      <c r="AB148"/>
      <c r="AC148"/>
      <c r="AD148"/>
      <c r="AE148"/>
      <c r="AF148"/>
      <c r="AG148"/>
      <c r="AH148"/>
      <c r="AI148"/>
    </row>
    <row r="149" spans="13:35" s="2" customFormat="1" x14ac:dyDescent="0.2">
      <c r="M149" s="2">
        <v>2.4500000000000002</v>
      </c>
      <c r="R149"/>
      <c r="S149"/>
      <c r="T149"/>
      <c r="U149"/>
      <c r="V149"/>
      <c r="W149"/>
      <c r="X149"/>
      <c r="Y149"/>
      <c r="Z149"/>
      <c r="AA149"/>
      <c r="AB149"/>
      <c r="AC149"/>
      <c r="AD149"/>
      <c r="AE149"/>
      <c r="AF149"/>
      <c r="AG149"/>
      <c r="AH149"/>
      <c r="AI149"/>
    </row>
    <row r="150" spans="13:35" s="2" customFormat="1" x14ac:dyDescent="0.2">
      <c r="M150" s="2">
        <v>2.7</v>
      </c>
      <c r="R150"/>
      <c r="S150"/>
      <c r="T150"/>
      <c r="U150"/>
      <c r="V150"/>
      <c r="W150"/>
      <c r="X150"/>
      <c r="Y150"/>
      <c r="Z150"/>
      <c r="AA150"/>
      <c r="AB150"/>
      <c r="AC150"/>
      <c r="AD150"/>
      <c r="AE150"/>
      <c r="AF150"/>
      <c r="AG150"/>
      <c r="AH150"/>
      <c r="AI150"/>
    </row>
    <row r="151" spans="13:35" s="2" customFormat="1" x14ac:dyDescent="0.2">
      <c r="M151" s="2">
        <v>2.96</v>
      </c>
      <c r="R151"/>
      <c r="S151"/>
      <c r="T151"/>
      <c r="U151"/>
      <c r="V151"/>
      <c r="W151"/>
      <c r="X151"/>
      <c r="Y151"/>
      <c r="Z151"/>
      <c r="AA151"/>
      <c r="AB151"/>
      <c r="AC151"/>
      <c r="AD151"/>
      <c r="AE151"/>
      <c r="AF151"/>
      <c r="AG151"/>
      <c r="AH151"/>
      <c r="AI151"/>
    </row>
    <row r="152" spans="13:35" s="2" customFormat="1" x14ac:dyDescent="0.2">
      <c r="M152" s="2">
        <v>3.22</v>
      </c>
      <c r="R152"/>
      <c r="S152"/>
      <c r="T152"/>
      <c r="U152"/>
      <c r="V152"/>
      <c r="W152"/>
      <c r="X152"/>
      <c r="Y152"/>
      <c r="Z152"/>
      <c r="AA152"/>
      <c r="AB152"/>
      <c r="AC152"/>
      <c r="AD152"/>
      <c r="AE152"/>
      <c r="AF152"/>
      <c r="AG152"/>
      <c r="AH152"/>
      <c r="AI152"/>
    </row>
    <row r="153" spans="13:35" s="2" customFormat="1" x14ac:dyDescent="0.2">
      <c r="M153" s="2">
        <v>3.99</v>
      </c>
      <c r="R153"/>
      <c r="S153"/>
      <c r="T153"/>
      <c r="U153"/>
      <c r="V153"/>
      <c r="W153"/>
      <c r="X153"/>
      <c r="Y153"/>
      <c r="Z153"/>
      <c r="AA153"/>
      <c r="AB153"/>
      <c r="AC153"/>
      <c r="AD153"/>
      <c r="AE153"/>
      <c r="AF153"/>
      <c r="AG153"/>
      <c r="AH153"/>
      <c r="AI153"/>
    </row>
    <row r="154" spans="13:35" s="2" customFormat="1" x14ac:dyDescent="0.2">
      <c r="M154" s="2">
        <v>4.76</v>
      </c>
      <c r="R154"/>
      <c r="S154"/>
      <c r="T154"/>
      <c r="U154"/>
      <c r="V154"/>
      <c r="W154"/>
      <c r="X154"/>
      <c r="Y154"/>
      <c r="Z154"/>
      <c r="AA154"/>
      <c r="AB154"/>
      <c r="AC154"/>
      <c r="AD154"/>
      <c r="AE154"/>
      <c r="AF154"/>
      <c r="AG154"/>
      <c r="AH154"/>
      <c r="AI154"/>
    </row>
    <row r="155" spans="13:35" s="2" customFormat="1" x14ac:dyDescent="0.2">
      <c r="M155" s="2">
        <v>5.28</v>
      </c>
      <c r="R155"/>
      <c r="S155"/>
      <c r="T155"/>
      <c r="U155"/>
      <c r="V155"/>
      <c r="W155"/>
      <c r="X155"/>
      <c r="Y155"/>
      <c r="Z155"/>
      <c r="AA155"/>
      <c r="AB155"/>
      <c r="AC155"/>
      <c r="AD155"/>
      <c r="AE155"/>
      <c r="AF155"/>
      <c r="AG155"/>
      <c r="AH155"/>
      <c r="AI155"/>
    </row>
    <row r="156" spans="13:35" s="2" customFormat="1" x14ac:dyDescent="0.2">
      <c r="M156" s="2">
        <v>5.79</v>
      </c>
      <c r="R156"/>
      <c r="S156"/>
      <c r="T156"/>
      <c r="U156"/>
      <c r="V156"/>
      <c r="W156"/>
      <c r="X156"/>
      <c r="Y156"/>
      <c r="Z156"/>
      <c r="AA156"/>
      <c r="AB156"/>
      <c r="AC156"/>
      <c r="AD156"/>
      <c r="AE156"/>
      <c r="AF156"/>
      <c r="AG156"/>
      <c r="AH156"/>
      <c r="AI156"/>
    </row>
    <row r="157" spans="13:35" s="2" customFormat="1" x14ac:dyDescent="0.2">
      <c r="M157" s="2">
        <v>5.56</v>
      </c>
      <c r="R157"/>
      <c r="S157"/>
      <c r="T157"/>
      <c r="U157"/>
      <c r="V157"/>
      <c r="W157"/>
      <c r="X157"/>
      <c r="Y157"/>
      <c r="Z157"/>
      <c r="AA157"/>
      <c r="AB157"/>
      <c r="AC157"/>
      <c r="AD157"/>
      <c r="AE157"/>
      <c r="AF157"/>
      <c r="AG157"/>
      <c r="AH157"/>
      <c r="AI157"/>
    </row>
    <row r="158" spans="13:35" s="2" customFormat="1" x14ac:dyDescent="0.2">
      <c r="M158" s="2">
        <v>7.33</v>
      </c>
      <c r="R158"/>
      <c r="S158"/>
      <c r="T158"/>
      <c r="U158"/>
      <c r="V158"/>
      <c r="W158"/>
      <c r="X158"/>
      <c r="Y158"/>
      <c r="Z158"/>
      <c r="AA158"/>
      <c r="AB158"/>
      <c r="AC158"/>
      <c r="AD158"/>
      <c r="AE158"/>
      <c r="AF158"/>
      <c r="AG158"/>
      <c r="AH158"/>
      <c r="AI158"/>
    </row>
    <row r="159" spans="13:35" s="2" customFormat="1" x14ac:dyDescent="0.2">
      <c r="M159" s="2">
        <v>7.85</v>
      </c>
      <c r="R159"/>
      <c r="S159"/>
      <c r="T159"/>
      <c r="U159"/>
      <c r="V159"/>
      <c r="W159"/>
      <c r="X159"/>
      <c r="Y159"/>
      <c r="Z159"/>
      <c r="AA159"/>
      <c r="AB159"/>
      <c r="AC159"/>
      <c r="AD159"/>
      <c r="AE159"/>
      <c r="AF159"/>
      <c r="AG159"/>
      <c r="AH159"/>
      <c r="AI159"/>
    </row>
    <row r="160" spans="13:35" s="2" customFormat="1" x14ac:dyDescent="0.2">
      <c r="M160" s="2">
        <v>0.88</v>
      </c>
      <c r="R160"/>
      <c r="S160"/>
      <c r="T160"/>
      <c r="U160"/>
      <c r="V160"/>
      <c r="W160"/>
      <c r="X160"/>
      <c r="Y160"/>
      <c r="Z160"/>
      <c r="AA160"/>
      <c r="AB160"/>
      <c r="AC160"/>
      <c r="AD160"/>
      <c r="AE160"/>
      <c r="AF160"/>
      <c r="AG160"/>
      <c r="AH160"/>
      <c r="AI160"/>
    </row>
    <row r="161" spans="13:35" s="2" customFormat="1" x14ac:dyDescent="0.2">
      <c r="M161" s="2">
        <v>1.01</v>
      </c>
      <c r="R161"/>
      <c r="S161"/>
      <c r="T161"/>
      <c r="U161"/>
      <c r="V161"/>
      <c r="W161"/>
      <c r="X161"/>
      <c r="Y161"/>
      <c r="Z161"/>
      <c r="AA161"/>
      <c r="AB161"/>
      <c r="AC161"/>
      <c r="AD161"/>
      <c r="AE161"/>
      <c r="AF161"/>
      <c r="AG161"/>
      <c r="AH161"/>
      <c r="AI161"/>
    </row>
    <row r="162" spans="13:35" s="2" customFormat="1" x14ac:dyDescent="0.2">
      <c r="M162" s="2">
        <v>1.18</v>
      </c>
      <c r="R162"/>
      <c r="S162"/>
      <c r="T162"/>
      <c r="U162"/>
      <c r="V162"/>
      <c r="W162"/>
      <c r="X162"/>
      <c r="Y162"/>
      <c r="Z162"/>
      <c r="AA162"/>
      <c r="AB162"/>
      <c r="AC162"/>
      <c r="AD162"/>
      <c r="AE162"/>
      <c r="AF162"/>
      <c r="AG162"/>
      <c r="AH162"/>
      <c r="AI162"/>
    </row>
    <row r="163" spans="13:35" s="2" customFormat="1" x14ac:dyDescent="0.2">
      <c r="M163" s="2">
        <v>1.51</v>
      </c>
      <c r="R163"/>
      <c r="S163"/>
      <c r="T163"/>
      <c r="U163"/>
      <c r="V163"/>
      <c r="W163"/>
      <c r="X163"/>
      <c r="Y163"/>
      <c r="Z163"/>
      <c r="AA163"/>
      <c r="AB163"/>
      <c r="AC163"/>
      <c r="AD163"/>
      <c r="AE163"/>
      <c r="AF163"/>
      <c r="AG163"/>
      <c r="AH163"/>
      <c r="AI163"/>
    </row>
    <row r="164" spans="13:35" s="2" customFormat="1" x14ac:dyDescent="0.2">
      <c r="M164" s="2">
        <v>1.67</v>
      </c>
      <c r="R164"/>
      <c r="S164"/>
      <c r="T164"/>
      <c r="U164"/>
      <c r="V164"/>
      <c r="W164"/>
      <c r="X164"/>
      <c r="Y164"/>
      <c r="Z164"/>
      <c r="AA164"/>
      <c r="AB164"/>
      <c r="AC164"/>
      <c r="AD164"/>
      <c r="AE164"/>
      <c r="AF164"/>
      <c r="AG164"/>
      <c r="AH164"/>
      <c r="AI164"/>
    </row>
    <row r="165" spans="13:35" s="2" customFormat="1" x14ac:dyDescent="0.2">
      <c r="M165" s="2">
        <v>1.83</v>
      </c>
      <c r="R165"/>
      <c r="S165"/>
      <c r="T165"/>
      <c r="U165"/>
      <c r="V165"/>
      <c r="W165"/>
      <c r="X165"/>
      <c r="Y165"/>
      <c r="Z165"/>
      <c r="AA165"/>
      <c r="AB165"/>
      <c r="AC165"/>
      <c r="AD165"/>
      <c r="AE165"/>
      <c r="AF165"/>
      <c r="AG165"/>
      <c r="AH165"/>
      <c r="AI165"/>
    </row>
    <row r="166" spans="13:35" s="2" customFormat="1" x14ac:dyDescent="0.2">
      <c r="M166" s="2">
        <v>2</v>
      </c>
      <c r="R166"/>
      <c r="S166"/>
      <c r="T166"/>
      <c r="U166"/>
      <c r="V166"/>
      <c r="W166"/>
      <c r="X166"/>
      <c r="Y166"/>
      <c r="Z166"/>
      <c r="AA166"/>
      <c r="AB166"/>
      <c r="AC166"/>
      <c r="AD166"/>
      <c r="AE166"/>
      <c r="AF166"/>
      <c r="AG166"/>
      <c r="AH166"/>
      <c r="AI166"/>
    </row>
    <row r="167" spans="13:35" s="2" customFormat="1" x14ac:dyDescent="0.2">
      <c r="M167" s="2">
        <v>2.16</v>
      </c>
      <c r="R167"/>
      <c r="S167"/>
      <c r="T167"/>
      <c r="U167"/>
      <c r="V167"/>
      <c r="W167"/>
      <c r="X167"/>
      <c r="Y167"/>
      <c r="Z167"/>
      <c r="AA167"/>
      <c r="AB167"/>
      <c r="AC167"/>
      <c r="AD167"/>
      <c r="AE167"/>
      <c r="AF167"/>
      <c r="AG167"/>
      <c r="AH167"/>
      <c r="AI167"/>
    </row>
    <row r="168" spans="13:35" s="2" customFormat="1" x14ac:dyDescent="0.2">
      <c r="M168" s="2">
        <v>2.65</v>
      </c>
      <c r="R168"/>
      <c r="S168"/>
      <c r="T168"/>
      <c r="U168"/>
      <c r="V168"/>
      <c r="W168"/>
      <c r="X168"/>
      <c r="Y168"/>
      <c r="Z168"/>
      <c r="AA168"/>
      <c r="AB168"/>
      <c r="AC168"/>
      <c r="AD168"/>
      <c r="AE168"/>
      <c r="AF168"/>
      <c r="AG168"/>
      <c r="AH168"/>
      <c r="AI168"/>
    </row>
    <row r="169" spans="13:35" s="2" customFormat="1" x14ac:dyDescent="0.2">
      <c r="M169" s="2">
        <v>3.14</v>
      </c>
      <c r="R169"/>
      <c r="S169"/>
      <c r="T169"/>
      <c r="U169"/>
      <c r="V169"/>
      <c r="W169"/>
      <c r="X169"/>
      <c r="Y169"/>
      <c r="Z169"/>
      <c r="AA169"/>
      <c r="AB169"/>
      <c r="AC169"/>
      <c r="AD169"/>
      <c r="AE169"/>
      <c r="AF169"/>
      <c r="AG169"/>
      <c r="AH169"/>
      <c r="AI169"/>
    </row>
    <row r="170" spans="13:35" s="2" customFormat="1" x14ac:dyDescent="0.2">
      <c r="M170" s="2">
        <v>3.47</v>
      </c>
      <c r="R170"/>
      <c r="S170"/>
      <c r="T170"/>
      <c r="U170"/>
      <c r="V170"/>
      <c r="W170"/>
      <c r="X170"/>
      <c r="Y170"/>
      <c r="Z170"/>
      <c r="AA170"/>
      <c r="AB170"/>
      <c r="AC170"/>
      <c r="AD170"/>
      <c r="AE170"/>
      <c r="AF170"/>
      <c r="AG170"/>
      <c r="AH170"/>
      <c r="AI170"/>
    </row>
    <row r="171" spans="13:35" s="2" customFormat="1" x14ac:dyDescent="0.2">
      <c r="M171" s="2">
        <v>3.79</v>
      </c>
      <c r="R171"/>
      <c r="S171"/>
      <c r="T171"/>
      <c r="U171"/>
      <c r="V171"/>
      <c r="W171"/>
      <c r="X171"/>
      <c r="Y171"/>
      <c r="Z171"/>
      <c r="AA171"/>
      <c r="AB171"/>
      <c r="AC171"/>
      <c r="AD171"/>
      <c r="AE171"/>
      <c r="AF171"/>
      <c r="AG171"/>
      <c r="AH171"/>
      <c r="AI171"/>
    </row>
    <row r="172" spans="13:35" s="2" customFormat="1" x14ac:dyDescent="0.2">
      <c r="M172" s="2">
        <v>4.12</v>
      </c>
      <c r="R172"/>
      <c r="S172"/>
      <c r="T172"/>
      <c r="U172"/>
      <c r="V172"/>
      <c r="W172"/>
      <c r="X172"/>
      <c r="Y172"/>
      <c r="Z172"/>
      <c r="AA172"/>
      <c r="AB172"/>
      <c r="AC172"/>
      <c r="AD172"/>
      <c r="AE172"/>
      <c r="AF172"/>
      <c r="AG172"/>
      <c r="AH172"/>
      <c r="AI172"/>
    </row>
    <row r="173" spans="13:35" s="2" customFormat="1" x14ac:dyDescent="0.2">
      <c r="M173" s="2">
        <v>5.0999999999999996</v>
      </c>
      <c r="R173"/>
      <c r="S173"/>
      <c r="T173"/>
      <c r="U173"/>
      <c r="V173"/>
      <c r="W173"/>
      <c r="X173"/>
      <c r="Y173"/>
      <c r="Z173"/>
      <c r="AA173"/>
      <c r="AB173"/>
      <c r="AC173"/>
      <c r="AD173"/>
      <c r="AE173"/>
      <c r="AF173"/>
      <c r="AG173"/>
      <c r="AH173"/>
      <c r="AI173"/>
    </row>
    <row r="174" spans="13:35" s="2" customFormat="1" x14ac:dyDescent="0.2">
      <c r="M174" s="2">
        <v>6.08</v>
      </c>
      <c r="R174"/>
      <c r="S174"/>
      <c r="T174"/>
      <c r="U174"/>
      <c r="V174"/>
      <c r="W174"/>
      <c r="X174"/>
      <c r="Y174"/>
      <c r="Z174"/>
      <c r="AA174"/>
      <c r="AB174"/>
      <c r="AC174"/>
      <c r="AD174"/>
      <c r="AE174"/>
      <c r="AF174"/>
      <c r="AG174"/>
      <c r="AH174"/>
      <c r="AI174"/>
    </row>
    <row r="175" spans="13:35" s="2" customFormat="1" x14ac:dyDescent="0.2">
      <c r="M175" s="2">
        <v>6.73</v>
      </c>
      <c r="R175"/>
      <c r="S175"/>
      <c r="T175"/>
      <c r="U175"/>
      <c r="V175"/>
      <c r="W175"/>
      <c r="X175"/>
      <c r="Y175"/>
      <c r="Z175"/>
      <c r="AA175"/>
      <c r="AB175"/>
      <c r="AC175"/>
      <c r="AD175"/>
      <c r="AE175"/>
      <c r="AF175"/>
      <c r="AG175"/>
      <c r="AH175"/>
      <c r="AI175"/>
    </row>
    <row r="176" spans="13:35" s="2" customFormat="1" x14ac:dyDescent="0.2">
      <c r="M176" s="2">
        <v>7.39</v>
      </c>
      <c r="R176"/>
      <c r="S176"/>
      <c r="T176"/>
      <c r="U176"/>
      <c r="V176"/>
      <c r="W176"/>
      <c r="X176"/>
      <c r="Y176"/>
      <c r="Z176"/>
      <c r="AA176"/>
      <c r="AB176"/>
      <c r="AC176"/>
      <c r="AD176"/>
      <c r="AE176"/>
      <c r="AF176"/>
      <c r="AG176"/>
      <c r="AH176"/>
      <c r="AI176"/>
    </row>
    <row r="177" spans="13:35" s="2" customFormat="1" x14ac:dyDescent="0.2">
      <c r="M177" s="2">
        <v>8.3699999999999992</v>
      </c>
      <c r="R177"/>
      <c r="S177"/>
      <c r="T177"/>
      <c r="U177"/>
      <c r="V177"/>
      <c r="W177"/>
      <c r="X177"/>
      <c r="Y177"/>
      <c r="Z177"/>
      <c r="AA177"/>
      <c r="AB177"/>
      <c r="AC177"/>
      <c r="AD177"/>
      <c r="AE177"/>
      <c r="AF177"/>
      <c r="AG177"/>
      <c r="AH177"/>
      <c r="AI177"/>
    </row>
    <row r="178" spans="13:35" s="2" customFormat="1" x14ac:dyDescent="0.2">
      <c r="M178" s="2">
        <v>9.35</v>
      </c>
      <c r="R178"/>
      <c r="S178"/>
      <c r="T178"/>
      <c r="U178"/>
      <c r="V178"/>
      <c r="W178"/>
      <c r="X178"/>
      <c r="Y178"/>
      <c r="Z178"/>
      <c r="AA178"/>
      <c r="AB178"/>
      <c r="AC178"/>
      <c r="AD178"/>
      <c r="AE178"/>
      <c r="AF178"/>
      <c r="AG178"/>
      <c r="AH178"/>
      <c r="AI178"/>
    </row>
    <row r="179" spans="13:35" s="2" customFormat="1" x14ac:dyDescent="0.2">
      <c r="M179" s="2">
        <v>10</v>
      </c>
      <c r="R179"/>
      <c r="S179"/>
      <c r="T179"/>
      <c r="U179"/>
      <c r="V179"/>
      <c r="W179"/>
      <c r="X179"/>
      <c r="Y179"/>
      <c r="Z179"/>
      <c r="AA179"/>
      <c r="AB179"/>
      <c r="AC179"/>
      <c r="AD179"/>
      <c r="AE179"/>
      <c r="AF179"/>
      <c r="AG179"/>
      <c r="AH179"/>
      <c r="AI179"/>
    </row>
    <row r="180" spans="13:35" s="2" customFormat="1" x14ac:dyDescent="0.2">
      <c r="M180" s="2">
        <v>1.26</v>
      </c>
      <c r="R180"/>
      <c r="S180"/>
      <c r="T180"/>
      <c r="U180"/>
      <c r="V180"/>
      <c r="W180"/>
      <c r="X180"/>
      <c r="Y180"/>
      <c r="Z180"/>
      <c r="AA180"/>
      <c r="AB180"/>
      <c r="AC180"/>
      <c r="AD180"/>
      <c r="AE180"/>
      <c r="AF180"/>
      <c r="AG180"/>
      <c r="AH180"/>
      <c r="AI180"/>
    </row>
    <row r="181" spans="13:35" s="2" customFormat="1" x14ac:dyDescent="0.2">
      <c r="M181" s="2">
        <v>1.42</v>
      </c>
      <c r="R181"/>
      <c r="S181"/>
      <c r="T181"/>
      <c r="U181"/>
      <c r="V181"/>
      <c r="W181"/>
      <c r="X181"/>
      <c r="Y181"/>
      <c r="Z181"/>
      <c r="AA181"/>
      <c r="AB181"/>
      <c r="AC181"/>
      <c r="AD181"/>
      <c r="AE181"/>
      <c r="AF181"/>
      <c r="AG181"/>
      <c r="AH181"/>
      <c r="AI181"/>
    </row>
    <row r="182" spans="13:35" s="2" customFormat="1" x14ac:dyDescent="0.2">
      <c r="M182" s="2">
        <v>1.62</v>
      </c>
      <c r="R182"/>
      <c r="S182"/>
      <c r="T182"/>
      <c r="U182"/>
      <c r="V182"/>
      <c r="W182"/>
      <c r="X182"/>
      <c r="Y182"/>
      <c r="Z182"/>
      <c r="AA182"/>
      <c r="AB182"/>
      <c r="AC182"/>
      <c r="AD182"/>
      <c r="AE182"/>
      <c r="AF182"/>
      <c r="AG182"/>
      <c r="AH182"/>
      <c r="AI182"/>
    </row>
    <row r="183" spans="13:35" s="2" customFormat="1" x14ac:dyDescent="0.2">
      <c r="M183" s="2">
        <v>1.79</v>
      </c>
      <c r="R183"/>
      <c r="S183"/>
      <c r="T183"/>
      <c r="U183"/>
      <c r="V183"/>
      <c r="W183"/>
      <c r="X183"/>
      <c r="Y183"/>
      <c r="Z183"/>
      <c r="AA183"/>
      <c r="AB183"/>
      <c r="AC183"/>
      <c r="AD183"/>
      <c r="AE183"/>
      <c r="AF183"/>
      <c r="AG183"/>
      <c r="AH183"/>
      <c r="AI183"/>
    </row>
    <row r="184" spans="13:35" s="2" customFormat="1" x14ac:dyDescent="0.2">
      <c r="M184" s="2">
        <v>1.99</v>
      </c>
      <c r="R184"/>
      <c r="S184"/>
      <c r="T184"/>
      <c r="U184"/>
      <c r="V184"/>
      <c r="W184"/>
      <c r="X184"/>
      <c r="Y184"/>
      <c r="Z184"/>
      <c r="AA184"/>
      <c r="AB184"/>
      <c r="AC184"/>
      <c r="AD184"/>
      <c r="AE184"/>
      <c r="AF184"/>
      <c r="AG184"/>
      <c r="AH184"/>
      <c r="AI184"/>
    </row>
    <row r="185" spans="13:35" s="2" customFormat="1" x14ac:dyDescent="0.2">
      <c r="M185" s="2">
        <v>2.19</v>
      </c>
      <c r="R185"/>
      <c r="S185"/>
      <c r="T185"/>
      <c r="U185"/>
      <c r="V185"/>
      <c r="W185"/>
      <c r="X185"/>
      <c r="Y185"/>
      <c r="Z185"/>
      <c r="AA185"/>
      <c r="AB185"/>
      <c r="AC185"/>
      <c r="AD185"/>
      <c r="AE185"/>
      <c r="AF185"/>
      <c r="AG185"/>
      <c r="AH185"/>
      <c r="AI185"/>
    </row>
    <row r="186" spans="13:35" s="2" customFormat="1" x14ac:dyDescent="0.2">
      <c r="M186" s="2">
        <v>2.38</v>
      </c>
      <c r="R186"/>
      <c r="S186"/>
      <c r="T186"/>
      <c r="U186"/>
      <c r="V186"/>
      <c r="W186"/>
      <c r="X186"/>
      <c r="Y186"/>
      <c r="Z186"/>
      <c r="AA186"/>
      <c r="AB186"/>
      <c r="AC186"/>
      <c r="AD186"/>
      <c r="AE186"/>
      <c r="AF186"/>
      <c r="AG186"/>
      <c r="AH186"/>
      <c r="AI186"/>
    </row>
    <row r="187" spans="13:35" s="2" customFormat="1" x14ac:dyDescent="0.2">
      <c r="M187" s="2">
        <v>2.58</v>
      </c>
      <c r="R187"/>
      <c r="S187"/>
      <c r="T187"/>
      <c r="U187"/>
      <c r="V187"/>
      <c r="W187"/>
      <c r="X187"/>
      <c r="Y187"/>
      <c r="Z187"/>
      <c r="AA187"/>
      <c r="AB187"/>
      <c r="AC187"/>
      <c r="AD187"/>
      <c r="AE187"/>
      <c r="AF187"/>
      <c r="AG187"/>
      <c r="AH187"/>
      <c r="AI187"/>
    </row>
    <row r="188" spans="13:35" s="2" customFormat="1" x14ac:dyDescent="0.2">
      <c r="M188" s="2">
        <v>3.17</v>
      </c>
      <c r="R188"/>
      <c r="S188"/>
      <c r="T188"/>
      <c r="U188"/>
      <c r="V188"/>
      <c r="W188"/>
      <c r="X188"/>
      <c r="Y188"/>
      <c r="Z188"/>
      <c r="AA188"/>
      <c r="AB188"/>
      <c r="AC188"/>
      <c r="AD188"/>
      <c r="AE188"/>
      <c r="AF188"/>
      <c r="AG188"/>
      <c r="AH188"/>
      <c r="AI188"/>
    </row>
    <row r="189" spans="13:35" s="2" customFormat="1" x14ac:dyDescent="0.2">
      <c r="M189" s="2">
        <v>3.76</v>
      </c>
      <c r="R189"/>
      <c r="S189"/>
      <c r="T189"/>
      <c r="U189"/>
      <c r="V189"/>
      <c r="W189"/>
      <c r="X189"/>
      <c r="Y189"/>
      <c r="Z189"/>
      <c r="AA189"/>
      <c r="AB189"/>
      <c r="AC189"/>
      <c r="AD189"/>
      <c r="AE189"/>
      <c r="AF189"/>
      <c r="AG189"/>
      <c r="AH189"/>
      <c r="AI189"/>
    </row>
    <row r="190" spans="13:35" s="2" customFormat="1" x14ac:dyDescent="0.2">
      <c r="M190" s="2">
        <v>4.16</v>
      </c>
      <c r="R190"/>
      <c r="S190"/>
      <c r="T190"/>
      <c r="U190"/>
      <c r="V190"/>
      <c r="W190"/>
      <c r="X190"/>
      <c r="Y190"/>
      <c r="Z190"/>
      <c r="AA190"/>
      <c r="AB190"/>
      <c r="AC190"/>
      <c r="AD190"/>
      <c r="AE190"/>
      <c r="AF190"/>
      <c r="AG190"/>
      <c r="AH190"/>
      <c r="AI190"/>
    </row>
    <row r="191" spans="13:35" s="2" customFormat="1" x14ac:dyDescent="0.2">
      <c r="M191" s="2">
        <v>4.55</v>
      </c>
      <c r="R191"/>
      <c r="S191"/>
      <c r="T191"/>
      <c r="U191"/>
      <c r="V191"/>
      <c r="W191"/>
      <c r="X191"/>
      <c r="Y191"/>
      <c r="Z191"/>
      <c r="AA191"/>
      <c r="AB191"/>
      <c r="AC191"/>
      <c r="AD191"/>
      <c r="AE191"/>
      <c r="AF191"/>
      <c r="AG191"/>
      <c r="AH191"/>
      <c r="AI191"/>
    </row>
    <row r="192" spans="13:35" s="2" customFormat="1" x14ac:dyDescent="0.2">
      <c r="M192" s="2">
        <v>4.95</v>
      </c>
      <c r="R192"/>
      <c r="S192"/>
      <c r="T192"/>
      <c r="U192"/>
      <c r="V192"/>
      <c r="W192"/>
      <c r="X192"/>
      <c r="Y192"/>
      <c r="Z192"/>
      <c r="AA192"/>
      <c r="AB192"/>
      <c r="AC192"/>
      <c r="AD192"/>
      <c r="AE192"/>
      <c r="AF192"/>
      <c r="AG192"/>
      <c r="AH192"/>
      <c r="AI192"/>
    </row>
    <row r="193" spans="13:35" s="2" customFormat="1" x14ac:dyDescent="0.2">
      <c r="M193" s="2">
        <v>6.13</v>
      </c>
      <c r="R193"/>
      <c r="S193"/>
      <c r="T193"/>
      <c r="U193"/>
      <c r="V193"/>
      <c r="W193"/>
      <c r="X193"/>
      <c r="Y193"/>
      <c r="Z193"/>
      <c r="AA193"/>
      <c r="AB193"/>
      <c r="AC193"/>
      <c r="AD193"/>
      <c r="AE193"/>
      <c r="AF193"/>
      <c r="AG193"/>
      <c r="AH193"/>
      <c r="AI193"/>
    </row>
    <row r="194" spans="13:35" s="2" customFormat="1" x14ac:dyDescent="0.2">
      <c r="M194" s="2">
        <v>7.31</v>
      </c>
      <c r="R194"/>
      <c r="S194"/>
      <c r="T194"/>
      <c r="U194"/>
      <c r="V194"/>
      <c r="W194"/>
      <c r="X194"/>
      <c r="Y194"/>
      <c r="Z194"/>
      <c r="AA194"/>
      <c r="AB194"/>
      <c r="AC194"/>
      <c r="AD194"/>
      <c r="AE194"/>
      <c r="AF194"/>
      <c r="AG194"/>
      <c r="AH194"/>
      <c r="AI194"/>
    </row>
    <row r="195" spans="13:35" s="2" customFormat="1" x14ac:dyDescent="0.2">
      <c r="M195" s="2">
        <v>8.1</v>
      </c>
      <c r="R195"/>
      <c r="S195"/>
      <c r="T195"/>
      <c r="U195"/>
      <c r="V195"/>
      <c r="W195"/>
      <c r="X195"/>
      <c r="Y195"/>
      <c r="Z195"/>
      <c r="AA195"/>
      <c r="AB195"/>
      <c r="AC195"/>
      <c r="AD195"/>
      <c r="AE195"/>
      <c r="AF195"/>
      <c r="AG195"/>
      <c r="AH195"/>
      <c r="AI195"/>
    </row>
    <row r="196" spans="13:35" s="2" customFormat="1" x14ac:dyDescent="0.2">
      <c r="M196" s="2">
        <v>8.89</v>
      </c>
      <c r="R196"/>
      <c r="S196"/>
      <c r="T196"/>
      <c r="U196"/>
      <c r="V196"/>
      <c r="W196"/>
      <c r="X196"/>
      <c r="Y196"/>
      <c r="Z196"/>
      <c r="AA196"/>
      <c r="AB196"/>
      <c r="AC196"/>
      <c r="AD196"/>
      <c r="AE196"/>
      <c r="AF196"/>
      <c r="AG196"/>
      <c r="AH196"/>
      <c r="AI196"/>
    </row>
    <row r="197" spans="13:35" s="2" customFormat="1" x14ac:dyDescent="0.2">
      <c r="M197" s="2">
        <v>10.07</v>
      </c>
      <c r="R197"/>
      <c r="S197"/>
      <c r="T197"/>
      <c r="U197"/>
      <c r="V197"/>
      <c r="W197"/>
      <c r="X197"/>
      <c r="Y197"/>
      <c r="Z197"/>
      <c r="AA197"/>
      <c r="AB197"/>
      <c r="AC197"/>
      <c r="AD197"/>
      <c r="AE197"/>
      <c r="AF197"/>
      <c r="AG197"/>
      <c r="AH197"/>
      <c r="AI197"/>
    </row>
    <row r="198" spans="13:35" s="2" customFormat="1" x14ac:dyDescent="0.2">
      <c r="M198" s="2">
        <v>11.25</v>
      </c>
      <c r="R198"/>
      <c r="S198"/>
      <c r="T198"/>
      <c r="U198"/>
      <c r="V198"/>
      <c r="W198"/>
      <c r="X198"/>
      <c r="Y198"/>
      <c r="Z198"/>
      <c r="AA198"/>
      <c r="AB198"/>
      <c r="AC198"/>
      <c r="AD198"/>
      <c r="AE198"/>
      <c r="AF198"/>
      <c r="AG198"/>
      <c r="AH198"/>
      <c r="AI198"/>
    </row>
    <row r="199" spans="13:35" s="2" customFormat="1" x14ac:dyDescent="0.2">
      <c r="M199" s="2">
        <v>12.04</v>
      </c>
      <c r="R199"/>
      <c r="S199"/>
      <c r="T199"/>
      <c r="U199"/>
      <c r="V199"/>
      <c r="W199"/>
      <c r="X199"/>
      <c r="Y199"/>
      <c r="Z199"/>
      <c r="AA199"/>
      <c r="AB199"/>
      <c r="AC199"/>
      <c r="AD199"/>
      <c r="AE199"/>
      <c r="AF199"/>
      <c r="AG199"/>
      <c r="AH199"/>
      <c r="AI199"/>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1DEF3-80FB-4974-8AA3-B70EA6C9332C}">
  <sheetPr codeName="Tabelle1"/>
  <dimension ref="A1:DC166"/>
  <sheetViews>
    <sheetView topLeftCell="A40" zoomScaleNormal="100" workbookViewId="0">
      <selection activeCell="B62" sqref="B62"/>
    </sheetView>
  </sheetViews>
  <sheetFormatPr baseColWidth="10" defaultColWidth="10.85546875" defaultRowHeight="12.75" x14ac:dyDescent="0.2"/>
  <cols>
    <col min="1" max="59" width="10.85546875" style="2"/>
    <col min="60" max="60" width="11.85546875" style="2" bestFit="1" customWidth="1"/>
    <col min="61" max="16384" width="10.85546875" style="2"/>
  </cols>
  <sheetData>
    <row r="1" spans="1:107" ht="13.5" x14ac:dyDescent="0.25">
      <c r="A1" s="1" t="s">
        <v>4</v>
      </c>
      <c r="C1" s="4" t="s">
        <v>2</v>
      </c>
      <c r="X1" s="1" t="s">
        <v>28</v>
      </c>
      <c r="Y1" s="1" t="s">
        <v>4</v>
      </c>
      <c r="AA1" s="4" t="s">
        <v>29</v>
      </c>
      <c r="AP1" s="1" t="s">
        <v>30</v>
      </c>
      <c r="AQ1" s="1" t="s">
        <v>4</v>
      </c>
      <c r="AS1" s="4" t="s">
        <v>29</v>
      </c>
      <c r="BC1" s="1" t="s">
        <v>31</v>
      </c>
      <c r="BD1" s="1" t="s">
        <v>4</v>
      </c>
      <c r="BF1" s="4" t="s">
        <v>29</v>
      </c>
      <c r="BU1" s="1" t="s">
        <v>32</v>
      </c>
      <c r="BV1" s="1" t="s">
        <v>4</v>
      </c>
      <c r="BX1" s="4" t="s">
        <v>29</v>
      </c>
      <c r="CM1" s="1" t="s">
        <v>33</v>
      </c>
      <c r="CN1" s="1" t="s">
        <v>4</v>
      </c>
      <c r="CP1" s="4" t="s">
        <v>29</v>
      </c>
    </row>
    <row r="2" spans="1:107" x14ac:dyDescent="0.2">
      <c r="C2" s="5">
        <v>260</v>
      </c>
      <c r="D2" s="5">
        <v>300</v>
      </c>
      <c r="E2" s="5">
        <v>350</v>
      </c>
      <c r="F2" s="5">
        <v>400</v>
      </c>
      <c r="G2" s="5">
        <v>450</v>
      </c>
      <c r="H2" s="5">
        <v>500</v>
      </c>
      <c r="I2" s="5">
        <v>550</v>
      </c>
      <c r="J2" s="5">
        <v>600</v>
      </c>
      <c r="K2" s="5">
        <v>750</v>
      </c>
      <c r="L2" s="5">
        <v>900</v>
      </c>
      <c r="M2" s="5">
        <v>1000</v>
      </c>
      <c r="N2" s="5">
        <v>1100</v>
      </c>
      <c r="O2" s="5">
        <v>1200</v>
      </c>
      <c r="P2" s="5">
        <v>1500</v>
      </c>
      <c r="Q2" s="5">
        <v>1800</v>
      </c>
      <c r="R2" s="5">
        <v>2000</v>
      </c>
      <c r="S2" s="5">
        <v>2200</v>
      </c>
      <c r="T2" s="5">
        <v>2500</v>
      </c>
      <c r="U2" s="5">
        <v>2800</v>
      </c>
      <c r="V2" s="5">
        <v>3000</v>
      </c>
      <c r="AA2" s="5">
        <v>400</v>
      </c>
      <c r="AB2" s="5">
        <v>500</v>
      </c>
      <c r="AC2" s="5">
        <v>600</v>
      </c>
      <c r="AD2" s="5">
        <v>700</v>
      </c>
      <c r="AE2" s="5">
        <v>800</v>
      </c>
      <c r="AF2" s="5">
        <v>900</v>
      </c>
      <c r="AG2" s="5">
        <v>1000</v>
      </c>
      <c r="AH2" s="5">
        <v>1100</v>
      </c>
      <c r="AI2" s="5">
        <v>1200</v>
      </c>
      <c r="AJ2" s="5">
        <v>1400</v>
      </c>
      <c r="AK2" s="5">
        <v>1600</v>
      </c>
      <c r="AL2" s="5">
        <v>1800</v>
      </c>
      <c r="AM2" s="5">
        <v>2000</v>
      </c>
      <c r="AN2" s="5">
        <v>2200</v>
      </c>
      <c r="AO2" s="5"/>
      <c r="AS2" s="5">
        <v>500</v>
      </c>
      <c r="AT2" s="5">
        <v>600</v>
      </c>
      <c r="AU2" s="5"/>
      <c r="AV2" s="5"/>
      <c r="AW2" s="5"/>
      <c r="AX2" s="5"/>
      <c r="AY2" s="5"/>
      <c r="AZ2" s="5"/>
      <c r="BA2" s="5"/>
      <c r="BB2" s="5"/>
      <c r="BF2" s="5">
        <v>40</v>
      </c>
      <c r="BG2" s="5">
        <v>50</v>
      </c>
      <c r="BH2" s="5">
        <v>60</v>
      </c>
      <c r="BI2" s="5">
        <v>70</v>
      </c>
      <c r="BJ2" s="5">
        <v>80</v>
      </c>
      <c r="BK2" s="5">
        <v>90</v>
      </c>
      <c r="BL2" s="5">
        <v>100</v>
      </c>
      <c r="BM2" s="5">
        <v>110</v>
      </c>
      <c r="BN2" s="5">
        <v>120</v>
      </c>
      <c r="BO2" s="5">
        <v>140</v>
      </c>
      <c r="BP2" s="5">
        <v>160</v>
      </c>
      <c r="BQ2" s="5">
        <v>180</v>
      </c>
      <c r="BR2" s="5">
        <v>200</v>
      </c>
      <c r="BS2" s="5">
        <v>220</v>
      </c>
      <c r="BX2" s="5">
        <v>40</v>
      </c>
      <c r="BY2" s="5">
        <v>50</v>
      </c>
      <c r="BZ2" s="5">
        <v>60</v>
      </c>
      <c r="CA2" s="5">
        <v>70</v>
      </c>
      <c r="CB2" s="5">
        <v>80</v>
      </c>
      <c r="CC2" s="5">
        <v>90</v>
      </c>
      <c r="CD2" s="5">
        <v>100</v>
      </c>
      <c r="CE2" s="5">
        <v>110</v>
      </c>
      <c r="CF2" s="5">
        <v>120</v>
      </c>
      <c r="CG2" s="5">
        <v>140</v>
      </c>
      <c r="CH2" s="5">
        <v>160</v>
      </c>
      <c r="CI2" s="5">
        <v>180</v>
      </c>
      <c r="CJ2" s="5">
        <v>200</v>
      </c>
      <c r="CK2" s="5">
        <v>220</v>
      </c>
      <c r="CP2" s="5">
        <v>40</v>
      </c>
      <c r="CQ2" s="5">
        <v>50</v>
      </c>
      <c r="CR2" s="5">
        <v>60</v>
      </c>
      <c r="CS2" s="5">
        <v>70</v>
      </c>
      <c r="CT2" s="5">
        <v>80</v>
      </c>
      <c r="CU2" s="5">
        <v>90</v>
      </c>
      <c r="CV2" s="5">
        <v>100</v>
      </c>
      <c r="CW2" s="5">
        <v>110</v>
      </c>
      <c r="CX2" s="5">
        <v>120</v>
      </c>
      <c r="CY2" s="5">
        <v>140</v>
      </c>
      <c r="CZ2" s="5">
        <v>160</v>
      </c>
      <c r="DA2" s="5">
        <v>180</v>
      </c>
      <c r="DB2" s="5">
        <v>200</v>
      </c>
      <c r="DC2" s="5">
        <v>220</v>
      </c>
    </row>
    <row r="3" spans="1:107" ht="13.5" x14ac:dyDescent="0.25">
      <c r="A3" s="4" t="s">
        <v>3</v>
      </c>
      <c r="B3" s="2">
        <v>62</v>
      </c>
      <c r="C3" s="2">
        <v>21.1</v>
      </c>
      <c r="D3" s="2">
        <v>23.6</v>
      </c>
      <c r="E3" s="2">
        <v>27.5</v>
      </c>
      <c r="F3" s="2">
        <v>31.2</v>
      </c>
      <c r="G3" s="2">
        <v>34.9</v>
      </c>
      <c r="H3" s="2">
        <v>38.4</v>
      </c>
      <c r="I3" s="2">
        <v>41.9</v>
      </c>
      <c r="J3" s="2">
        <v>45.3</v>
      </c>
      <c r="K3" s="2">
        <v>55</v>
      </c>
      <c r="L3" s="2">
        <v>63.9</v>
      </c>
      <c r="M3" s="2">
        <v>69.5</v>
      </c>
      <c r="N3" s="2">
        <v>74.7</v>
      </c>
      <c r="O3" s="2">
        <v>82.7</v>
      </c>
      <c r="P3" s="2">
        <v>104</v>
      </c>
      <c r="Q3" s="2">
        <v>124</v>
      </c>
      <c r="R3" s="2">
        <v>138</v>
      </c>
      <c r="S3" s="2">
        <v>151</v>
      </c>
      <c r="T3" s="2">
        <v>171</v>
      </c>
      <c r="U3" s="2">
        <v>189</v>
      </c>
      <c r="V3" s="2">
        <v>201</v>
      </c>
      <c r="Y3" s="4" t="s">
        <v>2</v>
      </c>
      <c r="Z3" s="2">
        <v>300</v>
      </c>
      <c r="AA3" s="2">
        <f>AA2*5</f>
        <v>2000</v>
      </c>
      <c r="AB3" s="2">
        <f t="shared" ref="AB3:AN3" si="0">AB2*5</f>
        <v>2500</v>
      </c>
      <c r="AC3" s="2">
        <f t="shared" si="0"/>
        <v>3000</v>
      </c>
      <c r="AD3" s="2">
        <f t="shared" si="0"/>
        <v>3500</v>
      </c>
      <c r="AE3" s="2">
        <f t="shared" si="0"/>
        <v>4000</v>
      </c>
      <c r="AF3" s="2">
        <f t="shared" si="0"/>
        <v>4500</v>
      </c>
      <c r="AG3" s="2">
        <f t="shared" si="0"/>
        <v>5000</v>
      </c>
      <c r="AH3" s="2">
        <f t="shared" si="0"/>
        <v>5500</v>
      </c>
      <c r="AI3" s="2">
        <f t="shared" si="0"/>
        <v>6000</v>
      </c>
      <c r="AJ3" s="2">
        <f t="shared" si="0"/>
        <v>7000</v>
      </c>
      <c r="AK3" s="2">
        <f t="shared" si="0"/>
        <v>8000</v>
      </c>
      <c r="AL3" s="2">
        <f t="shared" si="0"/>
        <v>9000</v>
      </c>
      <c r="AM3" s="2">
        <f t="shared" si="0"/>
        <v>10000</v>
      </c>
      <c r="AN3" s="2">
        <f t="shared" si="0"/>
        <v>11000</v>
      </c>
      <c r="AQ3" s="4" t="s">
        <v>2</v>
      </c>
      <c r="AR3" s="2">
        <v>1600</v>
      </c>
      <c r="AS3" s="2">
        <f>AS2*18.2</f>
        <v>9100</v>
      </c>
      <c r="AT3" s="2">
        <f>AT2*18.2</f>
        <v>10920</v>
      </c>
      <c r="BD3" s="4" t="s">
        <v>2</v>
      </c>
      <c r="BE3" s="2">
        <v>30</v>
      </c>
      <c r="BF3" s="2">
        <f t="shared" ref="BF3:BR3" si="1">7.77*BF2</f>
        <v>310.79999999999995</v>
      </c>
      <c r="BG3" s="2">
        <f t="shared" si="1"/>
        <v>388.5</v>
      </c>
      <c r="BH3" s="2">
        <f t="shared" si="1"/>
        <v>466.2</v>
      </c>
      <c r="BI3" s="2">
        <f t="shared" si="1"/>
        <v>543.9</v>
      </c>
      <c r="BJ3" s="2">
        <f t="shared" si="1"/>
        <v>621.59999999999991</v>
      </c>
      <c r="BK3" s="2">
        <f t="shared" si="1"/>
        <v>699.3</v>
      </c>
      <c r="BL3" s="2">
        <f t="shared" si="1"/>
        <v>777</v>
      </c>
      <c r="BM3" s="2">
        <f t="shared" si="1"/>
        <v>854.69999999999993</v>
      </c>
      <c r="BN3" s="2">
        <f t="shared" si="1"/>
        <v>932.4</v>
      </c>
      <c r="BO3" s="2">
        <f t="shared" si="1"/>
        <v>1087.8</v>
      </c>
      <c r="BP3" s="2">
        <f t="shared" si="1"/>
        <v>1243.1999999999998</v>
      </c>
      <c r="BQ3" s="2">
        <f t="shared" si="1"/>
        <v>1398.6</v>
      </c>
      <c r="BR3" s="2">
        <f t="shared" si="1"/>
        <v>1554</v>
      </c>
      <c r="BS3" s="2">
        <f>7.77*BS2</f>
        <v>1709.3999999999999</v>
      </c>
      <c r="BV3" s="4" t="s">
        <v>2</v>
      </c>
      <c r="BW3" s="2">
        <v>30</v>
      </c>
      <c r="BX3" s="2">
        <f t="shared" ref="BX3:CJ3" si="2">11.03*BX2</f>
        <v>441.2</v>
      </c>
      <c r="BY3" s="2">
        <f t="shared" si="2"/>
        <v>551.5</v>
      </c>
      <c r="BZ3" s="2">
        <f t="shared" si="2"/>
        <v>661.8</v>
      </c>
      <c r="CA3" s="2">
        <f t="shared" si="2"/>
        <v>772.09999999999991</v>
      </c>
      <c r="CB3" s="2">
        <f t="shared" si="2"/>
        <v>882.4</v>
      </c>
      <c r="CC3" s="2">
        <f t="shared" si="2"/>
        <v>992.69999999999993</v>
      </c>
      <c r="CD3" s="2">
        <f t="shared" si="2"/>
        <v>1103</v>
      </c>
      <c r="CE3" s="2">
        <f t="shared" si="2"/>
        <v>1213.3</v>
      </c>
      <c r="CF3" s="2">
        <f t="shared" si="2"/>
        <v>1323.6</v>
      </c>
      <c r="CG3" s="2">
        <f t="shared" si="2"/>
        <v>1544.1999999999998</v>
      </c>
      <c r="CH3" s="2">
        <f t="shared" si="2"/>
        <v>1764.8</v>
      </c>
      <c r="CI3" s="2">
        <f t="shared" si="2"/>
        <v>1985.3999999999999</v>
      </c>
      <c r="CJ3" s="2">
        <f t="shared" si="2"/>
        <v>2206</v>
      </c>
      <c r="CK3" s="2">
        <f>11.03*CK2</f>
        <v>2426.6</v>
      </c>
      <c r="CN3" s="4" t="s">
        <v>2</v>
      </c>
      <c r="CO3" s="2">
        <v>30</v>
      </c>
      <c r="CP3" s="2">
        <f t="shared" ref="CP3" si="3">11.03*CP2</f>
        <v>441.2</v>
      </c>
      <c r="CQ3" s="2">
        <f t="shared" ref="CQ3" si="4">11.03*CQ2</f>
        <v>551.5</v>
      </c>
      <c r="CR3" s="2">
        <f t="shared" ref="CR3" si="5">11.03*CR2</f>
        <v>661.8</v>
      </c>
      <c r="CS3" s="2">
        <f t="shared" ref="CS3" si="6">11.03*CS2</f>
        <v>772.09999999999991</v>
      </c>
      <c r="CT3" s="2">
        <f t="shared" ref="CT3" si="7">11.03*CT2</f>
        <v>882.4</v>
      </c>
      <c r="CU3" s="2">
        <f t="shared" ref="CU3" si="8">11.03*CU2</f>
        <v>992.69999999999993</v>
      </c>
      <c r="CV3" s="2">
        <f t="shared" ref="CV3" si="9">11.03*CV2</f>
        <v>1103</v>
      </c>
      <c r="CW3" s="2">
        <f t="shared" ref="CW3" si="10">11.03*CW2</f>
        <v>1213.3</v>
      </c>
      <c r="CX3" s="2">
        <f t="shared" ref="CX3" si="11">11.03*CX2</f>
        <v>1323.6</v>
      </c>
      <c r="CY3" s="2">
        <f t="shared" ref="CY3" si="12">11.03*CY2</f>
        <v>1544.1999999999998</v>
      </c>
      <c r="CZ3" s="2">
        <f t="shared" ref="CZ3" si="13">11.03*CZ2</f>
        <v>1764.8</v>
      </c>
      <c r="DA3" s="2">
        <f t="shared" ref="DA3" si="14">11.03*DA2</f>
        <v>1985.3999999999999</v>
      </c>
      <c r="DB3" s="2">
        <f t="shared" ref="DB3" si="15">11.03*DB2</f>
        <v>2206</v>
      </c>
      <c r="DC3" s="2">
        <f>14.31*DC2</f>
        <v>3148.2000000000003</v>
      </c>
    </row>
    <row r="4" spans="1:107" x14ac:dyDescent="0.2">
      <c r="B4" s="2">
        <v>100</v>
      </c>
      <c r="C4" s="6">
        <v>27.9</v>
      </c>
      <c r="D4" s="6">
        <v>32</v>
      </c>
      <c r="E4" s="6">
        <v>37</v>
      </c>
      <c r="F4" s="6">
        <v>41.9</v>
      </c>
      <c r="G4" s="162">
        <v>46.8</v>
      </c>
      <c r="H4" s="6">
        <v>51.6</v>
      </c>
      <c r="I4" s="6">
        <v>56.3</v>
      </c>
      <c r="J4" s="6">
        <v>60.9</v>
      </c>
      <c r="K4" s="6">
        <v>74.3</v>
      </c>
      <c r="L4" s="6">
        <v>87</v>
      </c>
      <c r="M4" s="6">
        <v>95.1</v>
      </c>
      <c r="N4" s="6">
        <v>103</v>
      </c>
      <c r="O4" s="6">
        <v>115</v>
      </c>
      <c r="P4" s="6">
        <v>140</v>
      </c>
      <c r="Q4" s="6">
        <v>166</v>
      </c>
      <c r="R4" s="6">
        <v>183</v>
      </c>
      <c r="S4" s="6">
        <v>200</v>
      </c>
      <c r="T4" s="6">
        <v>225</v>
      </c>
      <c r="U4" s="6">
        <v>251</v>
      </c>
      <c r="V4" s="6">
        <v>269</v>
      </c>
      <c r="X4" s="6"/>
      <c r="Z4" s="2">
        <v>400</v>
      </c>
      <c r="AA4" s="2">
        <f>AA2*6.45</f>
        <v>2580</v>
      </c>
      <c r="AB4" s="2">
        <f t="shared" ref="AB4:AN4" si="16">AB2*6.45</f>
        <v>3225</v>
      </c>
      <c r="AC4" s="2">
        <f t="shared" si="16"/>
        <v>3870</v>
      </c>
      <c r="AD4" s="2">
        <f t="shared" si="16"/>
        <v>4515</v>
      </c>
      <c r="AE4" s="2">
        <f t="shared" si="16"/>
        <v>5160</v>
      </c>
      <c r="AF4" s="2">
        <f t="shared" si="16"/>
        <v>5805</v>
      </c>
      <c r="AG4" s="2">
        <f t="shared" si="16"/>
        <v>6450</v>
      </c>
      <c r="AH4" s="2">
        <f t="shared" si="16"/>
        <v>7095</v>
      </c>
      <c r="AI4" s="2">
        <f t="shared" si="16"/>
        <v>7740</v>
      </c>
      <c r="AJ4" s="2">
        <f t="shared" si="16"/>
        <v>9030</v>
      </c>
      <c r="AK4" s="2">
        <f t="shared" si="16"/>
        <v>10320</v>
      </c>
      <c r="AL4" s="2">
        <f t="shared" si="16"/>
        <v>11610</v>
      </c>
      <c r="AM4" s="2">
        <f t="shared" si="16"/>
        <v>12900</v>
      </c>
      <c r="AN4" s="2">
        <f t="shared" si="16"/>
        <v>14190</v>
      </c>
      <c r="AO4" s="6"/>
      <c r="AR4" s="2">
        <v>1800</v>
      </c>
      <c r="AS4" s="2">
        <f>20.5*AS2</f>
        <v>10250</v>
      </c>
      <c r="AT4" s="2">
        <f>20.5*AT2</f>
        <v>12300</v>
      </c>
      <c r="BE4" s="2">
        <v>40</v>
      </c>
      <c r="BF4" s="2">
        <f t="shared" ref="BF4:BR4" si="17">9.86*BF2</f>
        <v>394.4</v>
      </c>
      <c r="BG4" s="2">
        <f t="shared" si="17"/>
        <v>493</v>
      </c>
      <c r="BH4" s="2">
        <f t="shared" si="17"/>
        <v>591.59999999999991</v>
      </c>
      <c r="BI4" s="2">
        <f t="shared" si="17"/>
        <v>690.19999999999993</v>
      </c>
      <c r="BJ4" s="2">
        <f t="shared" si="17"/>
        <v>788.8</v>
      </c>
      <c r="BK4" s="2">
        <f t="shared" si="17"/>
        <v>887.4</v>
      </c>
      <c r="BL4" s="2">
        <f t="shared" si="17"/>
        <v>986</v>
      </c>
      <c r="BM4" s="2">
        <f t="shared" si="17"/>
        <v>1084.5999999999999</v>
      </c>
      <c r="BN4" s="2">
        <f t="shared" si="17"/>
        <v>1183.1999999999998</v>
      </c>
      <c r="BO4" s="2">
        <f t="shared" si="17"/>
        <v>1380.3999999999999</v>
      </c>
      <c r="BP4" s="2">
        <f t="shared" si="17"/>
        <v>1577.6</v>
      </c>
      <c r="BQ4" s="2">
        <f t="shared" si="17"/>
        <v>1774.8</v>
      </c>
      <c r="BR4" s="2">
        <f t="shared" si="17"/>
        <v>1972</v>
      </c>
      <c r="BS4" s="2">
        <f>9.86*BS2</f>
        <v>2169.1999999999998</v>
      </c>
      <c r="BW4" s="2">
        <v>40</v>
      </c>
      <c r="BX4" s="2">
        <f t="shared" ref="BX4:CJ4" si="18">12.74*BX2</f>
        <v>509.6</v>
      </c>
      <c r="BY4" s="2">
        <f t="shared" si="18"/>
        <v>637</v>
      </c>
      <c r="BZ4" s="2">
        <f t="shared" si="18"/>
        <v>764.4</v>
      </c>
      <c r="CA4" s="2">
        <f t="shared" si="18"/>
        <v>891.80000000000007</v>
      </c>
      <c r="CB4" s="2">
        <f t="shared" si="18"/>
        <v>1019.2</v>
      </c>
      <c r="CC4" s="2">
        <f t="shared" si="18"/>
        <v>1146.5999999999999</v>
      </c>
      <c r="CD4" s="2">
        <f t="shared" si="18"/>
        <v>1274</v>
      </c>
      <c r="CE4" s="2">
        <f t="shared" si="18"/>
        <v>1401.4</v>
      </c>
      <c r="CF4" s="2">
        <f t="shared" si="18"/>
        <v>1528.8</v>
      </c>
      <c r="CG4" s="2">
        <f t="shared" si="18"/>
        <v>1783.6000000000001</v>
      </c>
      <c r="CH4" s="2">
        <f t="shared" si="18"/>
        <v>2038.4</v>
      </c>
      <c r="CI4" s="2">
        <f t="shared" si="18"/>
        <v>2293.1999999999998</v>
      </c>
      <c r="CJ4" s="2">
        <f t="shared" si="18"/>
        <v>2548</v>
      </c>
      <c r="CK4" s="2">
        <f>12.74*CK2</f>
        <v>2802.8</v>
      </c>
      <c r="CO4" s="2">
        <v>40</v>
      </c>
      <c r="CP4" s="2">
        <f t="shared" ref="CP4:DB4" si="19">12.74*CP2</f>
        <v>509.6</v>
      </c>
      <c r="CQ4" s="2">
        <f t="shared" si="19"/>
        <v>637</v>
      </c>
      <c r="CR4" s="2">
        <f t="shared" si="19"/>
        <v>764.4</v>
      </c>
      <c r="CS4" s="2">
        <f t="shared" si="19"/>
        <v>891.80000000000007</v>
      </c>
      <c r="CT4" s="2">
        <f t="shared" si="19"/>
        <v>1019.2</v>
      </c>
      <c r="CU4" s="2">
        <f t="shared" si="19"/>
        <v>1146.5999999999999</v>
      </c>
      <c r="CV4" s="2">
        <f t="shared" si="19"/>
        <v>1274</v>
      </c>
      <c r="CW4" s="2">
        <f t="shared" si="19"/>
        <v>1401.4</v>
      </c>
      <c r="CX4" s="2">
        <f t="shared" si="19"/>
        <v>1528.8</v>
      </c>
      <c r="CY4" s="2">
        <f t="shared" si="19"/>
        <v>1783.6000000000001</v>
      </c>
      <c r="CZ4" s="2">
        <f t="shared" si="19"/>
        <v>2038.4</v>
      </c>
      <c r="DA4" s="2">
        <f t="shared" si="19"/>
        <v>2293.1999999999998</v>
      </c>
      <c r="DB4" s="2">
        <f t="shared" si="19"/>
        <v>2548</v>
      </c>
      <c r="DC4" s="2">
        <f>18.16*DC2</f>
        <v>3995.2</v>
      </c>
    </row>
    <row r="5" spans="1:107" x14ac:dyDescent="0.2">
      <c r="B5" s="2">
        <v>136</v>
      </c>
      <c r="C5" s="6">
        <v>36.5</v>
      </c>
      <c r="D5" s="6">
        <v>41.9</v>
      </c>
      <c r="E5" s="6">
        <v>48.5</v>
      </c>
      <c r="F5" s="6">
        <v>54.9</v>
      </c>
      <c r="G5" s="6">
        <v>61.3</v>
      </c>
      <c r="H5" s="162">
        <v>67.599999999999994</v>
      </c>
      <c r="I5" s="6">
        <v>73.7</v>
      </c>
      <c r="J5" s="6">
        <v>79.8</v>
      </c>
      <c r="K5" s="6">
        <v>97.4</v>
      </c>
      <c r="L5" s="6">
        <v>114</v>
      </c>
      <c r="M5" s="6">
        <v>125</v>
      </c>
      <c r="N5" s="6">
        <v>135</v>
      </c>
      <c r="O5" s="6">
        <v>147</v>
      </c>
      <c r="P5" s="6">
        <v>180</v>
      </c>
      <c r="Q5" s="6">
        <v>213</v>
      </c>
      <c r="R5" s="6">
        <v>234</v>
      </c>
      <c r="S5" s="6">
        <v>256</v>
      </c>
      <c r="T5" s="6">
        <v>289</v>
      </c>
      <c r="U5" s="6">
        <v>323</v>
      </c>
      <c r="V5" s="6">
        <v>345</v>
      </c>
      <c r="Z5" s="2">
        <v>500</v>
      </c>
      <c r="AA5" s="2">
        <f t="shared" ref="AA5:AM5" si="20">AA2*7.8</f>
        <v>3120</v>
      </c>
      <c r="AB5" s="2">
        <f t="shared" si="20"/>
        <v>3900</v>
      </c>
      <c r="AC5" s="2">
        <f t="shared" si="20"/>
        <v>4680</v>
      </c>
      <c r="AD5" s="2">
        <f t="shared" si="20"/>
        <v>5460</v>
      </c>
      <c r="AE5" s="2">
        <f t="shared" si="20"/>
        <v>6240</v>
      </c>
      <c r="AF5" s="2">
        <f t="shared" si="20"/>
        <v>7020</v>
      </c>
      <c r="AG5" s="2">
        <f t="shared" si="20"/>
        <v>7800</v>
      </c>
      <c r="AH5" s="2">
        <f t="shared" si="20"/>
        <v>8580</v>
      </c>
      <c r="AI5" s="2">
        <f t="shared" si="20"/>
        <v>9360</v>
      </c>
      <c r="AJ5" s="2">
        <f t="shared" si="20"/>
        <v>10920</v>
      </c>
      <c r="AK5" s="2">
        <f t="shared" si="20"/>
        <v>12480</v>
      </c>
      <c r="AL5" s="2">
        <f t="shared" si="20"/>
        <v>14040</v>
      </c>
      <c r="AM5" s="2">
        <f t="shared" si="20"/>
        <v>15600</v>
      </c>
      <c r="AN5" s="2">
        <f>AN2*7.8</f>
        <v>17160</v>
      </c>
      <c r="AO5" s="6"/>
      <c r="AR5" s="2">
        <v>2000</v>
      </c>
      <c r="AS5" s="2">
        <f>22.75*AS2</f>
        <v>11375</v>
      </c>
      <c r="AT5" s="2">
        <f>22.75*AT2</f>
        <v>13650</v>
      </c>
      <c r="BE5" s="2">
        <v>50</v>
      </c>
      <c r="BF5" s="2">
        <f t="shared" ref="BF5:BR5" si="21">11.78*BF2</f>
        <v>471.2</v>
      </c>
      <c r="BG5" s="2">
        <f t="shared" si="21"/>
        <v>589</v>
      </c>
      <c r="BH5" s="2">
        <f t="shared" si="21"/>
        <v>706.8</v>
      </c>
      <c r="BI5" s="2">
        <f t="shared" si="21"/>
        <v>824.59999999999991</v>
      </c>
      <c r="BJ5" s="2">
        <f t="shared" si="21"/>
        <v>942.4</v>
      </c>
      <c r="BK5" s="2">
        <f t="shared" si="21"/>
        <v>1060.2</v>
      </c>
      <c r="BL5" s="2">
        <f t="shared" si="21"/>
        <v>1178</v>
      </c>
      <c r="BM5" s="2">
        <f t="shared" si="21"/>
        <v>1295.8</v>
      </c>
      <c r="BN5" s="2">
        <f t="shared" si="21"/>
        <v>1413.6</v>
      </c>
      <c r="BO5" s="2">
        <f t="shared" si="21"/>
        <v>1649.1999999999998</v>
      </c>
      <c r="BP5" s="2">
        <f t="shared" si="21"/>
        <v>1884.8</v>
      </c>
      <c r="BQ5" s="2">
        <f t="shared" si="21"/>
        <v>2120.4</v>
      </c>
      <c r="BR5" s="2">
        <f t="shared" si="21"/>
        <v>2356</v>
      </c>
      <c r="BS5" s="2">
        <f>11.78*BS2</f>
        <v>2591.6</v>
      </c>
      <c r="BW5" s="2">
        <v>50</v>
      </c>
      <c r="BX5" s="2">
        <f t="shared" ref="BX5:CJ5" si="22">15.24*BX2</f>
        <v>609.6</v>
      </c>
      <c r="BY5" s="2">
        <f t="shared" si="22"/>
        <v>762</v>
      </c>
      <c r="BZ5" s="2">
        <f t="shared" si="22"/>
        <v>914.4</v>
      </c>
      <c r="CA5" s="2">
        <f t="shared" si="22"/>
        <v>1066.8</v>
      </c>
      <c r="CB5" s="2">
        <f t="shared" si="22"/>
        <v>1219.2</v>
      </c>
      <c r="CC5" s="2">
        <f t="shared" si="22"/>
        <v>1371.6</v>
      </c>
      <c r="CD5" s="2">
        <f t="shared" si="22"/>
        <v>1524</v>
      </c>
      <c r="CE5" s="2">
        <f t="shared" si="22"/>
        <v>1676.4</v>
      </c>
      <c r="CF5" s="2">
        <f t="shared" si="22"/>
        <v>1828.8</v>
      </c>
      <c r="CG5" s="2">
        <f t="shared" si="22"/>
        <v>2133.6</v>
      </c>
      <c r="CH5" s="2">
        <f t="shared" si="22"/>
        <v>2438.4</v>
      </c>
      <c r="CI5" s="2">
        <f t="shared" si="22"/>
        <v>2743.2</v>
      </c>
      <c r="CJ5" s="2">
        <f t="shared" si="22"/>
        <v>3048</v>
      </c>
      <c r="CK5" s="2">
        <f>15.24*CK2</f>
        <v>3352.8</v>
      </c>
      <c r="CO5" s="2">
        <v>50</v>
      </c>
      <c r="CP5" s="2">
        <f t="shared" ref="CP5:DB5" si="23">15.24*CP2</f>
        <v>609.6</v>
      </c>
      <c r="CQ5" s="2">
        <f t="shared" si="23"/>
        <v>762</v>
      </c>
      <c r="CR5" s="2">
        <f t="shared" si="23"/>
        <v>914.4</v>
      </c>
      <c r="CS5" s="2">
        <f t="shared" si="23"/>
        <v>1066.8</v>
      </c>
      <c r="CT5" s="2">
        <f t="shared" si="23"/>
        <v>1219.2</v>
      </c>
      <c r="CU5" s="2">
        <f t="shared" si="23"/>
        <v>1371.6</v>
      </c>
      <c r="CV5" s="2">
        <f t="shared" si="23"/>
        <v>1524</v>
      </c>
      <c r="CW5" s="2">
        <f t="shared" si="23"/>
        <v>1676.4</v>
      </c>
      <c r="CX5" s="2">
        <f t="shared" si="23"/>
        <v>1828.8</v>
      </c>
      <c r="CY5" s="2">
        <f t="shared" si="23"/>
        <v>2133.6</v>
      </c>
      <c r="CZ5" s="2">
        <f t="shared" si="23"/>
        <v>2438.4</v>
      </c>
      <c r="DA5" s="2">
        <f t="shared" si="23"/>
        <v>2743.2</v>
      </c>
      <c r="DB5" s="2">
        <f t="shared" si="23"/>
        <v>3048</v>
      </c>
      <c r="DC5" s="2">
        <f>21.76*DC2</f>
        <v>4787.2000000000007</v>
      </c>
    </row>
    <row r="6" spans="1:107" x14ac:dyDescent="0.2">
      <c r="B6" s="2">
        <v>176</v>
      </c>
      <c r="C6" s="6">
        <v>45.1</v>
      </c>
      <c r="D6" s="6">
        <v>51.7</v>
      </c>
      <c r="E6" s="6">
        <v>59.9</v>
      </c>
      <c r="F6" s="6">
        <v>67.900000000000006</v>
      </c>
      <c r="G6" s="6">
        <v>75.8</v>
      </c>
      <c r="H6" s="6">
        <v>83.5</v>
      </c>
      <c r="I6" s="6">
        <v>91.1</v>
      </c>
      <c r="J6" s="6">
        <v>98.6</v>
      </c>
      <c r="K6" s="6">
        <v>120</v>
      </c>
      <c r="L6" s="6">
        <v>141</v>
      </c>
      <c r="M6" s="6">
        <v>154</v>
      </c>
      <c r="N6" s="6">
        <v>167</v>
      </c>
      <c r="O6" s="6">
        <v>179</v>
      </c>
      <c r="P6" s="6">
        <v>219</v>
      </c>
      <c r="Q6" s="6">
        <v>259</v>
      </c>
      <c r="R6" s="6">
        <v>285</v>
      </c>
      <c r="S6" s="6">
        <v>312</v>
      </c>
      <c r="T6" s="6">
        <v>352</v>
      </c>
      <c r="U6" s="6">
        <v>392</v>
      </c>
      <c r="V6" s="6">
        <v>420</v>
      </c>
      <c r="Z6" s="2">
        <v>600</v>
      </c>
      <c r="AA6" s="2">
        <v>363</v>
      </c>
      <c r="AB6" s="2">
        <v>363</v>
      </c>
      <c r="AC6" s="2">
        <v>363</v>
      </c>
      <c r="AD6" s="2">
        <v>363</v>
      </c>
      <c r="AE6" s="2">
        <v>363</v>
      </c>
      <c r="AF6" s="2">
        <v>363</v>
      </c>
      <c r="AG6" s="2">
        <v>363</v>
      </c>
      <c r="AH6" s="2">
        <v>363</v>
      </c>
      <c r="AI6" s="2">
        <v>363</v>
      </c>
      <c r="AJ6" s="2">
        <v>363</v>
      </c>
      <c r="AK6" s="2">
        <v>363</v>
      </c>
      <c r="AL6" s="2">
        <v>363</v>
      </c>
      <c r="AM6" s="2">
        <v>363</v>
      </c>
      <c r="AN6" s="2">
        <v>363</v>
      </c>
      <c r="AO6" s="6"/>
      <c r="BE6" s="2">
        <v>60</v>
      </c>
      <c r="BF6" s="2">
        <f t="shared" ref="BF6:BR6" si="24">13.53*BF2</f>
        <v>541.19999999999993</v>
      </c>
      <c r="BG6" s="2">
        <f t="shared" si="24"/>
        <v>676.5</v>
      </c>
      <c r="BH6" s="2">
        <f t="shared" si="24"/>
        <v>811.8</v>
      </c>
      <c r="BI6" s="2">
        <f t="shared" si="24"/>
        <v>947.09999999999991</v>
      </c>
      <c r="BJ6" s="2">
        <f t="shared" si="24"/>
        <v>1082.3999999999999</v>
      </c>
      <c r="BK6" s="2">
        <f t="shared" si="24"/>
        <v>1217.7</v>
      </c>
      <c r="BL6" s="2">
        <f t="shared" si="24"/>
        <v>1353</v>
      </c>
      <c r="BM6" s="2">
        <f t="shared" si="24"/>
        <v>1488.3</v>
      </c>
      <c r="BN6" s="2">
        <f t="shared" si="24"/>
        <v>1623.6</v>
      </c>
      <c r="BO6" s="2">
        <f t="shared" si="24"/>
        <v>1894.1999999999998</v>
      </c>
      <c r="BP6" s="2">
        <f t="shared" si="24"/>
        <v>2164.7999999999997</v>
      </c>
      <c r="BQ6" s="2">
        <f t="shared" si="24"/>
        <v>2435.4</v>
      </c>
      <c r="BR6" s="2">
        <f t="shared" si="24"/>
        <v>2706</v>
      </c>
      <c r="BS6" s="2">
        <f>13.53*BS2</f>
        <v>2976.6</v>
      </c>
      <c r="BW6" s="2">
        <v>60</v>
      </c>
      <c r="BX6" s="2">
        <f t="shared" ref="BX6:CC6" si="25">17.54*BX2</f>
        <v>701.59999999999991</v>
      </c>
      <c r="BY6" s="2">
        <f t="shared" si="25"/>
        <v>877</v>
      </c>
      <c r="BZ6" s="2">
        <f t="shared" si="25"/>
        <v>1052.3999999999999</v>
      </c>
      <c r="CA6" s="2">
        <f t="shared" si="25"/>
        <v>1227.8</v>
      </c>
      <c r="CB6" s="2">
        <f t="shared" si="25"/>
        <v>1403.1999999999998</v>
      </c>
      <c r="CC6" s="2">
        <f t="shared" si="25"/>
        <v>1578.6</v>
      </c>
      <c r="CD6" s="2">
        <f>17.54*CD2</f>
        <v>1754</v>
      </c>
      <c r="CE6" s="2">
        <f t="shared" ref="CE6:CK6" si="26">17.54*CE2</f>
        <v>1929.3999999999999</v>
      </c>
      <c r="CF6" s="2">
        <f t="shared" si="26"/>
        <v>2104.7999999999997</v>
      </c>
      <c r="CG6" s="2">
        <f t="shared" si="26"/>
        <v>2455.6</v>
      </c>
      <c r="CH6" s="2">
        <f t="shared" si="26"/>
        <v>2806.3999999999996</v>
      </c>
      <c r="CI6" s="2">
        <f t="shared" si="26"/>
        <v>3157.2</v>
      </c>
      <c r="CJ6" s="2">
        <f t="shared" si="26"/>
        <v>3508</v>
      </c>
      <c r="CK6" s="2">
        <f t="shared" si="26"/>
        <v>3858.7999999999997</v>
      </c>
      <c r="CO6" s="2">
        <v>60</v>
      </c>
      <c r="CP6" s="2">
        <f t="shared" ref="CP6:DB6" si="27">1754*CP2</f>
        <v>70160</v>
      </c>
      <c r="CQ6" s="2">
        <f t="shared" si="27"/>
        <v>87700</v>
      </c>
      <c r="CR6" s="2">
        <f t="shared" si="27"/>
        <v>105240</v>
      </c>
      <c r="CS6" s="2">
        <f t="shared" si="27"/>
        <v>122780</v>
      </c>
      <c r="CT6" s="2">
        <f t="shared" si="27"/>
        <v>140320</v>
      </c>
      <c r="CU6" s="2">
        <f t="shared" si="27"/>
        <v>157860</v>
      </c>
      <c r="CV6" s="2">
        <f t="shared" si="27"/>
        <v>175400</v>
      </c>
      <c r="CW6" s="2">
        <f t="shared" si="27"/>
        <v>192940</v>
      </c>
      <c r="CX6" s="2">
        <f t="shared" si="27"/>
        <v>210480</v>
      </c>
      <c r="CY6" s="2">
        <f t="shared" si="27"/>
        <v>245560</v>
      </c>
      <c r="CZ6" s="2">
        <f t="shared" si="27"/>
        <v>280640</v>
      </c>
      <c r="DA6" s="2">
        <f t="shared" si="27"/>
        <v>315720</v>
      </c>
      <c r="DB6" s="2">
        <f t="shared" si="27"/>
        <v>350800</v>
      </c>
      <c r="DC6" s="2">
        <f>25.14*DC2</f>
        <v>5530.8</v>
      </c>
    </row>
    <row r="7" spans="1:107" x14ac:dyDescent="0.2">
      <c r="B7" s="2">
        <v>210</v>
      </c>
      <c r="C7" s="2">
        <v>53.5</v>
      </c>
      <c r="D7" s="2">
        <v>61.3</v>
      </c>
      <c r="E7" s="2">
        <v>71</v>
      </c>
      <c r="F7" s="2">
        <v>80.5</v>
      </c>
      <c r="G7" s="2">
        <v>89.8</v>
      </c>
      <c r="H7" s="2">
        <v>99</v>
      </c>
      <c r="I7" s="2">
        <v>108</v>
      </c>
      <c r="J7" s="2">
        <v>117</v>
      </c>
      <c r="K7" s="2">
        <v>143</v>
      </c>
      <c r="L7" s="2">
        <v>167</v>
      </c>
      <c r="M7" s="2">
        <v>183</v>
      </c>
      <c r="N7" s="2">
        <v>198</v>
      </c>
      <c r="O7" s="2">
        <v>210</v>
      </c>
      <c r="P7" s="2">
        <v>256</v>
      </c>
      <c r="Q7" s="2">
        <v>303</v>
      </c>
      <c r="R7" s="2">
        <v>334</v>
      </c>
      <c r="S7" s="2">
        <v>365</v>
      </c>
      <c r="T7" s="2">
        <v>412</v>
      </c>
      <c r="U7" s="2">
        <v>459</v>
      </c>
      <c r="V7" s="2">
        <v>491</v>
      </c>
      <c r="Z7" s="2">
        <v>900</v>
      </c>
      <c r="AA7" s="2">
        <v>497</v>
      </c>
      <c r="AB7" s="2">
        <v>497</v>
      </c>
      <c r="AC7" s="2">
        <v>497</v>
      </c>
      <c r="AD7" s="2">
        <v>497</v>
      </c>
      <c r="AE7" s="2">
        <v>497</v>
      </c>
      <c r="AF7" s="2">
        <v>497</v>
      </c>
      <c r="AG7" s="2">
        <v>497</v>
      </c>
      <c r="AH7" s="2">
        <v>497</v>
      </c>
      <c r="AI7" s="2">
        <v>497</v>
      </c>
      <c r="AJ7" s="2">
        <v>497</v>
      </c>
      <c r="AK7" s="2">
        <v>497</v>
      </c>
      <c r="AL7" s="2">
        <v>497</v>
      </c>
      <c r="AM7" s="2">
        <v>497</v>
      </c>
      <c r="AN7" s="2">
        <v>497</v>
      </c>
      <c r="BE7" s="2">
        <v>90</v>
      </c>
      <c r="BF7" s="2">
        <f t="shared" ref="BF7:BR7" si="28">17.99*BF2</f>
        <v>719.59999999999991</v>
      </c>
      <c r="BG7" s="2">
        <f t="shared" si="28"/>
        <v>899.49999999999989</v>
      </c>
      <c r="BH7" s="2">
        <f t="shared" si="28"/>
        <v>1079.3999999999999</v>
      </c>
      <c r="BI7" s="2">
        <f t="shared" si="28"/>
        <v>1259.3</v>
      </c>
      <c r="BJ7" s="2">
        <f t="shared" si="28"/>
        <v>1439.1999999999998</v>
      </c>
      <c r="BK7" s="2">
        <f t="shared" si="28"/>
        <v>1619.1</v>
      </c>
      <c r="BL7" s="2">
        <f t="shared" si="28"/>
        <v>1798.9999999999998</v>
      </c>
      <c r="BM7" s="2">
        <f t="shared" si="28"/>
        <v>1978.8999999999999</v>
      </c>
      <c r="BN7" s="2">
        <f t="shared" si="28"/>
        <v>2158.7999999999997</v>
      </c>
      <c r="BO7" s="2">
        <f t="shared" si="28"/>
        <v>2518.6</v>
      </c>
      <c r="BP7" s="2">
        <f t="shared" si="28"/>
        <v>2878.3999999999996</v>
      </c>
      <c r="BQ7" s="2">
        <f t="shared" si="28"/>
        <v>3238.2</v>
      </c>
      <c r="BR7" s="2">
        <f t="shared" si="28"/>
        <v>3597.9999999999995</v>
      </c>
      <c r="BS7" s="2">
        <f>17.99*BS2</f>
        <v>3957.7999999999997</v>
      </c>
      <c r="BW7" s="2">
        <v>90</v>
      </c>
      <c r="BX7" s="2">
        <f t="shared" ref="BX7:CJ7" si="29">23.43*BX2</f>
        <v>937.2</v>
      </c>
      <c r="BY7" s="2">
        <f t="shared" si="29"/>
        <v>1171.5</v>
      </c>
      <c r="BZ7" s="2">
        <f t="shared" si="29"/>
        <v>1405.8</v>
      </c>
      <c r="CA7" s="2">
        <f t="shared" si="29"/>
        <v>1640.1</v>
      </c>
      <c r="CB7" s="2">
        <f t="shared" si="29"/>
        <v>1874.4</v>
      </c>
      <c r="CC7" s="2">
        <f t="shared" si="29"/>
        <v>2108.6999999999998</v>
      </c>
      <c r="CD7" s="2">
        <f t="shared" si="29"/>
        <v>2343</v>
      </c>
      <c r="CE7" s="2">
        <f t="shared" si="29"/>
        <v>2577.3000000000002</v>
      </c>
      <c r="CF7" s="2">
        <f t="shared" si="29"/>
        <v>2811.6</v>
      </c>
      <c r="CG7" s="2">
        <f t="shared" si="29"/>
        <v>3280.2</v>
      </c>
      <c r="CH7" s="2">
        <f t="shared" si="29"/>
        <v>3748.8</v>
      </c>
      <c r="CI7" s="2">
        <f t="shared" si="29"/>
        <v>4217.3999999999996</v>
      </c>
      <c r="CJ7" s="2">
        <f t="shared" si="29"/>
        <v>4686</v>
      </c>
      <c r="CK7" s="2">
        <f>23.43*CK2</f>
        <v>5154.6000000000004</v>
      </c>
      <c r="CO7" s="2">
        <v>90</v>
      </c>
      <c r="CP7" s="2">
        <f t="shared" ref="CP7:DB7" si="30">23.43*CP2</f>
        <v>937.2</v>
      </c>
      <c r="CQ7" s="2">
        <f t="shared" si="30"/>
        <v>1171.5</v>
      </c>
      <c r="CR7" s="2">
        <f t="shared" si="30"/>
        <v>1405.8</v>
      </c>
      <c r="CS7" s="2">
        <f t="shared" si="30"/>
        <v>1640.1</v>
      </c>
      <c r="CT7" s="2">
        <f t="shared" si="30"/>
        <v>1874.4</v>
      </c>
      <c r="CU7" s="2">
        <f t="shared" si="30"/>
        <v>2108.6999999999998</v>
      </c>
      <c r="CV7" s="2">
        <f t="shared" si="30"/>
        <v>2343</v>
      </c>
      <c r="CW7" s="2">
        <f t="shared" si="30"/>
        <v>2577.3000000000002</v>
      </c>
      <c r="CX7" s="2">
        <f t="shared" si="30"/>
        <v>2811.6</v>
      </c>
      <c r="CY7" s="2">
        <f t="shared" si="30"/>
        <v>3280.2</v>
      </c>
      <c r="CZ7" s="2">
        <f t="shared" si="30"/>
        <v>3748.8</v>
      </c>
      <c r="DA7" s="2">
        <f t="shared" si="30"/>
        <v>4217.3999999999996</v>
      </c>
      <c r="DB7" s="2">
        <f t="shared" si="30"/>
        <v>4686</v>
      </c>
      <c r="DC7" s="2">
        <f>34.17*DC2</f>
        <v>7517.4000000000005</v>
      </c>
    </row>
    <row r="9" spans="1:107" ht="13.5" x14ac:dyDescent="0.25">
      <c r="A9" s="1" t="s">
        <v>0</v>
      </c>
      <c r="C9" s="4" t="s">
        <v>2</v>
      </c>
      <c r="Y9" s="1" t="s">
        <v>0</v>
      </c>
      <c r="AA9" s="4" t="s">
        <v>29</v>
      </c>
      <c r="AQ9" s="1" t="s">
        <v>0</v>
      </c>
      <c r="AS9" s="4" t="s">
        <v>29</v>
      </c>
      <c r="BD9" s="1" t="s">
        <v>0</v>
      </c>
      <c r="BF9" s="4" t="s">
        <v>29</v>
      </c>
      <c r="BV9" s="1" t="s">
        <v>0</v>
      </c>
      <c r="BX9" s="4" t="s">
        <v>29</v>
      </c>
      <c r="CN9" s="1" t="s">
        <v>0</v>
      </c>
      <c r="CP9" s="4" t="s">
        <v>29</v>
      </c>
    </row>
    <row r="10" spans="1:107" x14ac:dyDescent="0.2">
      <c r="C10" s="5">
        <v>260</v>
      </c>
      <c r="D10" s="5">
        <v>300</v>
      </c>
      <c r="E10" s="5">
        <v>350</v>
      </c>
      <c r="F10" s="5">
        <v>400</v>
      </c>
      <c r="G10" s="5">
        <v>450</v>
      </c>
      <c r="H10" s="5">
        <v>500</v>
      </c>
      <c r="I10" s="5">
        <v>550</v>
      </c>
      <c r="J10" s="5">
        <v>600</v>
      </c>
      <c r="K10" s="5">
        <v>750</v>
      </c>
      <c r="L10" s="5">
        <v>900</v>
      </c>
      <c r="M10" s="5">
        <v>1000</v>
      </c>
      <c r="N10" s="5">
        <v>1100</v>
      </c>
      <c r="O10" s="5">
        <v>1200</v>
      </c>
      <c r="P10" s="5">
        <v>1500</v>
      </c>
      <c r="Q10" s="5">
        <v>1800</v>
      </c>
      <c r="R10" s="5">
        <v>2000</v>
      </c>
      <c r="S10" s="5">
        <v>2200</v>
      </c>
      <c r="T10" s="5">
        <v>2500</v>
      </c>
      <c r="U10" s="5">
        <v>2800</v>
      </c>
      <c r="V10" s="5">
        <v>3000</v>
      </c>
      <c r="AA10" s="5">
        <v>400</v>
      </c>
      <c r="AB10" s="5">
        <v>500</v>
      </c>
      <c r="AC10" s="5">
        <v>600</v>
      </c>
      <c r="AD10" s="5">
        <v>700</v>
      </c>
      <c r="AE10" s="5">
        <v>800</v>
      </c>
      <c r="AF10" s="5">
        <v>900</v>
      </c>
      <c r="AG10" s="5">
        <v>1000</v>
      </c>
      <c r="AH10" s="5">
        <v>1100</v>
      </c>
      <c r="AI10" s="5">
        <v>1200</v>
      </c>
      <c r="AJ10" s="5">
        <v>1400</v>
      </c>
      <c r="AK10" s="5">
        <v>1600</v>
      </c>
      <c r="AL10" s="5">
        <v>1800</v>
      </c>
      <c r="AM10" s="5">
        <v>2000</v>
      </c>
      <c r="AN10" s="5">
        <v>2200</v>
      </c>
      <c r="AO10" s="5"/>
      <c r="AS10" s="5">
        <v>500</v>
      </c>
      <c r="AT10" s="5">
        <v>600</v>
      </c>
      <c r="AU10" s="5"/>
      <c r="AV10" s="5"/>
      <c r="AW10" s="5"/>
      <c r="AX10" s="5"/>
      <c r="AY10" s="5"/>
      <c r="AZ10" s="5"/>
      <c r="BA10" s="5"/>
      <c r="BB10" s="5"/>
      <c r="BF10" s="5">
        <v>40</v>
      </c>
      <c r="BG10" s="5">
        <v>50</v>
      </c>
      <c r="BH10" s="5">
        <v>60</v>
      </c>
      <c r="BI10" s="5">
        <v>70</v>
      </c>
      <c r="BJ10" s="5">
        <v>80</v>
      </c>
      <c r="BK10" s="5">
        <v>90</v>
      </c>
      <c r="BL10" s="5">
        <v>100</v>
      </c>
      <c r="BM10" s="5">
        <v>110</v>
      </c>
      <c r="BN10" s="5">
        <v>120</v>
      </c>
      <c r="BO10" s="5">
        <v>140</v>
      </c>
      <c r="BP10" s="5">
        <v>160</v>
      </c>
      <c r="BQ10" s="5">
        <v>180</v>
      </c>
      <c r="BR10" s="5">
        <v>200</v>
      </c>
      <c r="BS10" s="5">
        <v>220</v>
      </c>
      <c r="BX10" s="5">
        <v>40</v>
      </c>
      <c r="BY10" s="5">
        <v>50</v>
      </c>
      <c r="BZ10" s="5">
        <v>60</v>
      </c>
      <c r="CA10" s="5">
        <v>70</v>
      </c>
      <c r="CB10" s="5">
        <v>80</v>
      </c>
      <c r="CC10" s="5">
        <v>90</v>
      </c>
      <c r="CD10" s="5">
        <v>100</v>
      </c>
      <c r="CE10" s="5">
        <v>110</v>
      </c>
      <c r="CF10" s="5">
        <v>120</v>
      </c>
      <c r="CG10" s="5">
        <v>140</v>
      </c>
      <c r="CH10" s="5">
        <v>160</v>
      </c>
      <c r="CI10" s="5">
        <v>180</v>
      </c>
      <c r="CJ10" s="5">
        <v>200</v>
      </c>
      <c r="CK10" s="5">
        <v>220</v>
      </c>
      <c r="CP10" s="5">
        <v>40</v>
      </c>
      <c r="CQ10" s="5">
        <v>50</v>
      </c>
      <c r="CR10" s="5">
        <v>60</v>
      </c>
      <c r="CS10" s="5">
        <v>70</v>
      </c>
      <c r="CT10" s="5">
        <v>80</v>
      </c>
      <c r="CU10" s="5">
        <v>90</v>
      </c>
      <c r="CV10" s="5">
        <v>100</v>
      </c>
      <c r="CW10" s="5">
        <v>110</v>
      </c>
      <c r="CX10" s="5">
        <v>120</v>
      </c>
      <c r="CY10" s="5">
        <v>140</v>
      </c>
      <c r="CZ10" s="5">
        <v>160</v>
      </c>
      <c r="DA10" s="5">
        <v>180</v>
      </c>
      <c r="DB10" s="5">
        <v>200</v>
      </c>
      <c r="DC10" s="5">
        <v>220</v>
      </c>
    </row>
    <row r="11" spans="1:107" ht="13.5" x14ac:dyDescent="0.25">
      <c r="A11" s="4" t="s">
        <v>3</v>
      </c>
      <c r="B11" s="2">
        <v>62</v>
      </c>
      <c r="C11" s="2">
        <v>1.27</v>
      </c>
      <c r="D11" s="2">
        <v>1.27</v>
      </c>
      <c r="E11" s="2">
        <v>1.26</v>
      </c>
      <c r="F11" s="2">
        <v>1.26</v>
      </c>
      <c r="G11" s="2">
        <v>1.26</v>
      </c>
      <c r="H11" s="2">
        <v>1.25</v>
      </c>
      <c r="I11" s="2">
        <v>1.25</v>
      </c>
      <c r="J11" s="2">
        <v>1.25</v>
      </c>
      <c r="K11" s="2">
        <v>1.24</v>
      </c>
      <c r="L11" s="2">
        <v>1.23</v>
      </c>
      <c r="M11" s="2">
        <v>1.22</v>
      </c>
      <c r="N11" s="2">
        <v>1.21</v>
      </c>
      <c r="O11" s="2">
        <v>1.3</v>
      </c>
      <c r="P11" s="2">
        <v>1.29</v>
      </c>
      <c r="Q11" s="2">
        <v>1.29</v>
      </c>
      <c r="R11" s="2">
        <v>1.28</v>
      </c>
      <c r="S11" s="2">
        <v>1.28</v>
      </c>
      <c r="T11" s="2">
        <v>1.28</v>
      </c>
      <c r="U11" s="2">
        <v>1.27</v>
      </c>
      <c r="V11" s="2">
        <v>1.27</v>
      </c>
      <c r="Y11" s="4" t="s">
        <v>2</v>
      </c>
      <c r="Z11" s="2">
        <v>300</v>
      </c>
      <c r="AA11" s="2">
        <v>1.3194999999999999</v>
      </c>
      <c r="AB11" s="2">
        <v>1.3194999999999999</v>
      </c>
      <c r="AC11" s="2">
        <v>1.3194999999999999</v>
      </c>
      <c r="AD11" s="2">
        <v>1.3194999999999999</v>
      </c>
      <c r="AE11" s="2">
        <v>1.3194999999999999</v>
      </c>
      <c r="AF11" s="2">
        <v>1.3194999999999999</v>
      </c>
      <c r="AG11" s="2">
        <v>1.3194999999999999</v>
      </c>
      <c r="AH11" s="2">
        <v>1.3194999999999999</v>
      </c>
      <c r="AI11" s="2">
        <v>1.3194999999999999</v>
      </c>
      <c r="AJ11" s="2">
        <v>1.3194999999999999</v>
      </c>
      <c r="AK11" s="2">
        <v>1.3194999999999999</v>
      </c>
      <c r="AL11" s="2">
        <v>1.3194999999999999</v>
      </c>
      <c r="AM11" s="2">
        <v>1.3194999999999999</v>
      </c>
      <c r="AN11" s="2">
        <v>1.3194999999999999</v>
      </c>
      <c r="AQ11" s="4" t="s">
        <v>2</v>
      </c>
      <c r="AR11" s="2">
        <v>1600</v>
      </c>
      <c r="AS11" s="13">
        <v>1.3219000000000001</v>
      </c>
      <c r="AT11" s="13">
        <v>1.3243</v>
      </c>
      <c r="AU11" s="13"/>
      <c r="AV11" s="13"/>
      <c r="AW11" s="13"/>
      <c r="AX11" s="13"/>
      <c r="AY11" s="13"/>
      <c r="AZ11" s="13"/>
      <c r="BA11" s="13"/>
      <c r="BD11" s="4" t="s">
        <v>2</v>
      </c>
      <c r="BE11" s="2">
        <v>30</v>
      </c>
      <c r="BF11" s="2">
        <v>1.3131999999999999</v>
      </c>
      <c r="BG11" s="2">
        <v>1.3131999999999999</v>
      </c>
      <c r="BH11" s="2">
        <v>1.3131999999999999</v>
      </c>
      <c r="BI11" s="2">
        <v>1.3131999999999999</v>
      </c>
      <c r="BJ11" s="2">
        <v>1.3131999999999999</v>
      </c>
      <c r="BK11" s="2">
        <v>1.3131999999999999</v>
      </c>
      <c r="BL11" s="2">
        <v>1.3131999999999999</v>
      </c>
      <c r="BM11" s="2">
        <v>1.3131999999999999</v>
      </c>
      <c r="BN11" s="2">
        <v>1.3131999999999999</v>
      </c>
      <c r="BO11" s="2">
        <v>1.3131999999999999</v>
      </c>
      <c r="BP11" s="2">
        <v>1.3131999999999999</v>
      </c>
      <c r="BQ11" s="2">
        <v>1.3131999999999999</v>
      </c>
      <c r="BR11" s="2">
        <v>1.3131999999999999</v>
      </c>
      <c r="BS11" s="2">
        <v>1.3131999999999999</v>
      </c>
      <c r="BV11" s="4" t="s">
        <v>2</v>
      </c>
      <c r="BW11" s="2">
        <v>30</v>
      </c>
      <c r="BX11" s="2">
        <v>1.3156000000000001</v>
      </c>
      <c r="BY11" s="2">
        <v>1.3156000000000001</v>
      </c>
      <c r="BZ11" s="2">
        <v>1.3156000000000001</v>
      </c>
      <c r="CA11" s="2">
        <v>1.3156000000000001</v>
      </c>
      <c r="CB11" s="2">
        <v>1.3156000000000001</v>
      </c>
      <c r="CC11" s="2">
        <v>1.3156000000000001</v>
      </c>
      <c r="CD11" s="2">
        <v>1.3156000000000001</v>
      </c>
      <c r="CE11" s="2">
        <v>1.3156000000000001</v>
      </c>
      <c r="CF11" s="2">
        <v>1.3156000000000001</v>
      </c>
      <c r="CG11" s="2">
        <v>1.3156000000000001</v>
      </c>
      <c r="CH11" s="2">
        <v>1.3156000000000001</v>
      </c>
      <c r="CI11" s="2">
        <v>1.3156000000000001</v>
      </c>
      <c r="CJ11" s="2">
        <v>1.3156000000000001</v>
      </c>
      <c r="CK11" s="2">
        <v>1.3156000000000001</v>
      </c>
      <c r="CN11" s="4" t="s">
        <v>2</v>
      </c>
      <c r="CO11" s="2">
        <v>30</v>
      </c>
      <c r="CP11" s="2">
        <v>1.3112999999999999</v>
      </c>
      <c r="CQ11" s="2">
        <v>1.3112999999999999</v>
      </c>
      <c r="CR11" s="2">
        <v>1.3112999999999999</v>
      </c>
      <c r="CS11" s="2">
        <v>1.3112999999999999</v>
      </c>
      <c r="CT11" s="2">
        <v>1.3112999999999999</v>
      </c>
      <c r="CU11" s="2">
        <v>1.3112999999999999</v>
      </c>
      <c r="CV11" s="2">
        <v>1.3112999999999999</v>
      </c>
      <c r="CW11" s="2">
        <v>1.3112999999999999</v>
      </c>
      <c r="CX11" s="2">
        <v>1.3112999999999999</v>
      </c>
      <c r="CY11" s="2">
        <v>1.3112999999999999</v>
      </c>
      <c r="CZ11" s="2">
        <v>1.3112999999999999</v>
      </c>
      <c r="DA11" s="2">
        <v>1.3112999999999999</v>
      </c>
      <c r="DB11" s="2">
        <v>1.3112999999999999</v>
      </c>
      <c r="DC11" s="2">
        <v>1.3112999999999999</v>
      </c>
    </row>
    <row r="12" spans="1:107" x14ac:dyDescent="0.2">
      <c r="B12" s="2">
        <v>100</v>
      </c>
      <c r="C12" s="7">
        <v>1.28</v>
      </c>
      <c r="D12" s="7">
        <v>1.28</v>
      </c>
      <c r="E12" s="7">
        <v>1.28</v>
      </c>
      <c r="F12" s="7">
        <v>1.28</v>
      </c>
      <c r="G12" s="7">
        <v>1.27</v>
      </c>
      <c r="H12" s="7">
        <v>1.27</v>
      </c>
      <c r="I12" s="7">
        <v>1.27</v>
      </c>
      <c r="J12" s="7">
        <v>1.27</v>
      </c>
      <c r="K12" s="7">
        <v>1.26</v>
      </c>
      <c r="L12" s="7">
        <v>1.25</v>
      </c>
      <c r="M12" s="7">
        <v>1.25</v>
      </c>
      <c r="N12" s="7">
        <v>1.25</v>
      </c>
      <c r="O12" s="7">
        <v>1.31</v>
      </c>
      <c r="P12" s="7">
        <v>1.31</v>
      </c>
      <c r="Q12" s="7">
        <v>1.32</v>
      </c>
      <c r="R12" s="7">
        <v>1.32</v>
      </c>
      <c r="S12" s="7">
        <v>1.32</v>
      </c>
      <c r="T12" s="7">
        <v>1.32</v>
      </c>
      <c r="U12" s="7">
        <v>1.33</v>
      </c>
      <c r="V12" s="7">
        <v>1.33</v>
      </c>
      <c r="Z12" s="2">
        <v>400</v>
      </c>
      <c r="AA12" s="2">
        <v>1.3219000000000001</v>
      </c>
      <c r="AB12" s="2">
        <v>1.3219000000000001</v>
      </c>
      <c r="AC12" s="2">
        <v>1.3219000000000001</v>
      </c>
      <c r="AD12" s="2">
        <v>1.3219000000000001</v>
      </c>
      <c r="AE12" s="2">
        <v>1.3219000000000001</v>
      </c>
      <c r="AF12" s="2">
        <v>1.3219000000000001</v>
      </c>
      <c r="AG12" s="2">
        <v>1.3219000000000001</v>
      </c>
      <c r="AH12" s="2">
        <v>1.3219000000000001</v>
      </c>
      <c r="AI12" s="2">
        <v>1.3219000000000001</v>
      </c>
      <c r="AJ12" s="2">
        <v>1.3219000000000001</v>
      </c>
      <c r="AK12" s="2">
        <v>1.3219000000000001</v>
      </c>
      <c r="AL12" s="2">
        <v>1.3219000000000001</v>
      </c>
      <c r="AM12" s="2">
        <v>1.3219000000000001</v>
      </c>
      <c r="AN12" s="2">
        <v>1.3219000000000001</v>
      </c>
      <c r="AO12" s="7"/>
      <c r="AR12" s="2">
        <v>1800</v>
      </c>
      <c r="AS12" s="13">
        <v>1.3219000000000001</v>
      </c>
      <c r="AT12" s="13">
        <v>1.3243</v>
      </c>
      <c r="AU12" s="13"/>
      <c r="AV12" s="13"/>
      <c r="AW12" s="13"/>
      <c r="AX12" s="13"/>
      <c r="AY12" s="13"/>
      <c r="AZ12" s="13"/>
      <c r="BA12" s="13"/>
      <c r="BE12" s="2">
        <v>40</v>
      </c>
      <c r="BF12" s="2">
        <v>1.3223</v>
      </c>
      <c r="BG12" s="2">
        <v>1.3223</v>
      </c>
      <c r="BH12" s="2">
        <v>1.3223</v>
      </c>
      <c r="BI12" s="2">
        <v>1.3223</v>
      </c>
      <c r="BJ12" s="2">
        <v>1.3223</v>
      </c>
      <c r="BK12" s="2">
        <v>1.3223</v>
      </c>
      <c r="BL12" s="2">
        <v>1.3223</v>
      </c>
      <c r="BM12" s="2">
        <v>1.3223</v>
      </c>
      <c r="BN12" s="2">
        <v>1.3223</v>
      </c>
      <c r="BO12" s="2">
        <v>1.3223</v>
      </c>
      <c r="BP12" s="2">
        <v>1.3223</v>
      </c>
      <c r="BQ12" s="2">
        <v>1.3223</v>
      </c>
      <c r="BR12" s="2">
        <v>1.3223</v>
      </c>
      <c r="BS12" s="2">
        <v>1.3223</v>
      </c>
      <c r="BW12" s="2">
        <v>40</v>
      </c>
      <c r="BX12" s="2">
        <v>1.3239000000000001</v>
      </c>
      <c r="BY12" s="2">
        <v>1.3239000000000001</v>
      </c>
      <c r="BZ12" s="2">
        <v>1.3239000000000001</v>
      </c>
      <c r="CA12" s="2">
        <v>1.3239000000000001</v>
      </c>
      <c r="CB12" s="2">
        <v>1.3239000000000001</v>
      </c>
      <c r="CC12" s="2">
        <v>1.3239000000000001</v>
      </c>
      <c r="CD12" s="2">
        <v>1.3239000000000001</v>
      </c>
      <c r="CE12" s="2">
        <v>1.3239000000000001</v>
      </c>
      <c r="CF12" s="2">
        <v>1.3239000000000001</v>
      </c>
      <c r="CG12" s="2">
        <v>1.3239000000000001</v>
      </c>
      <c r="CH12" s="2">
        <v>1.3239000000000001</v>
      </c>
      <c r="CI12" s="2">
        <v>1.3239000000000001</v>
      </c>
      <c r="CJ12" s="2">
        <v>1.3239000000000001</v>
      </c>
      <c r="CK12" s="2">
        <v>1.3239000000000001</v>
      </c>
      <c r="CO12" s="2">
        <v>40</v>
      </c>
      <c r="CP12" s="2">
        <v>1.3233999999999999</v>
      </c>
      <c r="CQ12" s="2">
        <v>1.3233999999999999</v>
      </c>
      <c r="CR12" s="2">
        <v>1.3233999999999999</v>
      </c>
      <c r="CS12" s="2">
        <v>1.3233999999999999</v>
      </c>
      <c r="CT12" s="2">
        <v>1.3233999999999999</v>
      </c>
      <c r="CU12" s="2">
        <v>1.3233999999999999</v>
      </c>
      <c r="CV12" s="2">
        <v>1.3233999999999999</v>
      </c>
      <c r="CW12" s="2">
        <v>1.3233999999999999</v>
      </c>
      <c r="CX12" s="2">
        <v>1.3233999999999999</v>
      </c>
      <c r="CY12" s="2">
        <v>1.3233999999999999</v>
      </c>
      <c r="CZ12" s="2">
        <v>1.3233999999999999</v>
      </c>
      <c r="DA12" s="2">
        <v>1.3233999999999999</v>
      </c>
      <c r="DB12" s="2">
        <v>1.3233999999999999</v>
      </c>
      <c r="DC12" s="2">
        <v>1.3233999999999999</v>
      </c>
    </row>
    <row r="13" spans="1:107" x14ac:dyDescent="0.2">
      <c r="B13" s="2">
        <v>136</v>
      </c>
      <c r="C13" s="7">
        <v>1.28</v>
      </c>
      <c r="D13" s="7">
        <v>1.28</v>
      </c>
      <c r="E13" s="7">
        <v>1.28</v>
      </c>
      <c r="F13" s="7">
        <v>1.28</v>
      </c>
      <c r="G13" s="7">
        <v>1.27</v>
      </c>
      <c r="H13" s="7">
        <v>1.27</v>
      </c>
      <c r="I13" s="7">
        <v>1.27</v>
      </c>
      <c r="J13" s="7">
        <v>1.27</v>
      </c>
      <c r="K13" s="7">
        <v>1.26</v>
      </c>
      <c r="L13" s="7">
        <v>1.25</v>
      </c>
      <c r="M13" s="7">
        <v>1.25</v>
      </c>
      <c r="N13" s="7">
        <v>1.25</v>
      </c>
      <c r="O13" s="7">
        <v>1.31</v>
      </c>
      <c r="P13" s="7">
        <v>1.31</v>
      </c>
      <c r="Q13" s="7">
        <v>1.32</v>
      </c>
      <c r="R13" s="7">
        <v>1.32</v>
      </c>
      <c r="S13" s="7">
        <v>1.32</v>
      </c>
      <c r="T13" s="7">
        <v>1.32</v>
      </c>
      <c r="U13" s="7">
        <v>1.33</v>
      </c>
      <c r="V13" s="7">
        <v>1.33</v>
      </c>
      <c r="Z13" s="2">
        <v>500</v>
      </c>
      <c r="AA13" s="2">
        <v>1.3243</v>
      </c>
      <c r="AB13" s="2">
        <v>1.3243</v>
      </c>
      <c r="AC13" s="2">
        <v>1.3243</v>
      </c>
      <c r="AD13" s="2">
        <v>1.3243</v>
      </c>
      <c r="AE13" s="2">
        <v>1.3243</v>
      </c>
      <c r="AF13" s="2">
        <v>1.3243</v>
      </c>
      <c r="AG13" s="2">
        <v>1.3243</v>
      </c>
      <c r="AH13" s="2">
        <v>1.3243</v>
      </c>
      <c r="AI13" s="2">
        <v>1.3243</v>
      </c>
      <c r="AJ13" s="2">
        <v>1.3243</v>
      </c>
      <c r="AK13" s="2">
        <v>1.3243</v>
      </c>
      <c r="AL13" s="2">
        <v>1.3243</v>
      </c>
      <c r="AM13" s="2">
        <v>1.3243</v>
      </c>
      <c r="AN13" s="2">
        <v>1.3243</v>
      </c>
      <c r="AO13" s="7"/>
      <c r="AR13" s="2">
        <v>2000</v>
      </c>
      <c r="AS13" s="13">
        <v>1.3219000000000001</v>
      </c>
      <c r="AT13" s="13">
        <v>1.3243</v>
      </c>
      <c r="AU13" s="13"/>
      <c r="AV13" s="13"/>
      <c r="AW13" s="13"/>
      <c r="AX13" s="13"/>
      <c r="AY13" s="13"/>
      <c r="AZ13" s="13"/>
      <c r="BA13" s="13"/>
      <c r="BE13" s="2">
        <v>50</v>
      </c>
      <c r="BF13" s="2">
        <v>1.3314999999999999</v>
      </c>
      <c r="BG13" s="2">
        <v>1.3314999999999999</v>
      </c>
      <c r="BH13" s="2">
        <v>1.3314999999999999</v>
      </c>
      <c r="BI13" s="2">
        <v>1.3314999999999999</v>
      </c>
      <c r="BJ13" s="2">
        <v>1.3314999999999999</v>
      </c>
      <c r="BK13" s="2">
        <v>1.3314999999999999</v>
      </c>
      <c r="BL13" s="2">
        <v>1.3314999999999999</v>
      </c>
      <c r="BM13" s="2">
        <v>1.3314999999999999</v>
      </c>
      <c r="BN13" s="2">
        <v>1.3314999999999999</v>
      </c>
      <c r="BO13" s="2">
        <v>1.3314999999999999</v>
      </c>
      <c r="BP13" s="2">
        <v>1.3314999999999999</v>
      </c>
      <c r="BQ13" s="2">
        <v>1.3314999999999999</v>
      </c>
      <c r="BR13" s="2">
        <v>1.3314999999999999</v>
      </c>
      <c r="BS13" s="2">
        <v>1.3314999999999999</v>
      </c>
      <c r="BW13" s="2">
        <v>50</v>
      </c>
      <c r="BX13" s="2">
        <v>1.3323</v>
      </c>
      <c r="BY13" s="2">
        <v>1.3323</v>
      </c>
      <c r="BZ13" s="2">
        <v>1.3323</v>
      </c>
      <c r="CA13" s="2">
        <v>1.3323</v>
      </c>
      <c r="CB13" s="2">
        <v>1.3323</v>
      </c>
      <c r="CC13" s="2">
        <v>1.3323</v>
      </c>
      <c r="CD13" s="2">
        <v>1.3323</v>
      </c>
      <c r="CE13" s="2">
        <v>1.3323</v>
      </c>
      <c r="CF13" s="2">
        <v>1.3323</v>
      </c>
      <c r="CG13" s="2">
        <v>1.3323</v>
      </c>
      <c r="CH13" s="2">
        <v>1.3323</v>
      </c>
      <c r="CI13" s="2">
        <v>1.3323</v>
      </c>
      <c r="CJ13" s="2">
        <v>1.3323</v>
      </c>
      <c r="CK13" s="2">
        <v>1.3323</v>
      </c>
      <c r="CO13" s="2">
        <v>50</v>
      </c>
      <c r="CP13" s="2">
        <v>1.3354999999999999</v>
      </c>
      <c r="CQ13" s="2">
        <v>1.3354999999999999</v>
      </c>
      <c r="CR13" s="2">
        <v>1.3354999999999999</v>
      </c>
      <c r="CS13" s="2">
        <v>1.3354999999999999</v>
      </c>
      <c r="CT13" s="2">
        <v>1.3354999999999999</v>
      </c>
      <c r="CU13" s="2">
        <v>1.3354999999999999</v>
      </c>
      <c r="CV13" s="2">
        <v>1.3354999999999999</v>
      </c>
      <c r="CW13" s="2">
        <v>1.3354999999999999</v>
      </c>
      <c r="CX13" s="2">
        <v>1.3354999999999999</v>
      </c>
      <c r="CY13" s="2">
        <v>1.3354999999999999</v>
      </c>
      <c r="CZ13" s="2">
        <v>1.3354999999999999</v>
      </c>
      <c r="DA13" s="2">
        <v>1.3354999999999999</v>
      </c>
      <c r="DB13" s="2">
        <v>1.3354999999999999</v>
      </c>
      <c r="DC13" s="2">
        <v>1.3354999999999999</v>
      </c>
    </row>
    <row r="14" spans="1:107" x14ac:dyDescent="0.2">
      <c r="B14" s="2">
        <v>176</v>
      </c>
      <c r="C14" s="7">
        <v>1.28</v>
      </c>
      <c r="D14" s="7">
        <v>1.28</v>
      </c>
      <c r="E14" s="7">
        <v>1.28</v>
      </c>
      <c r="F14" s="7">
        <v>1.28</v>
      </c>
      <c r="G14" s="7">
        <v>1.27</v>
      </c>
      <c r="H14" s="7">
        <v>1.27</v>
      </c>
      <c r="I14" s="7">
        <v>1.27</v>
      </c>
      <c r="J14" s="7">
        <v>1.27</v>
      </c>
      <c r="K14" s="7">
        <v>1.26</v>
      </c>
      <c r="L14" s="7">
        <v>1.25</v>
      </c>
      <c r="M14" s="7">
        <v>1.25</v>
      </c>
      <c r="N14" s="7">
        <v>1.25</v>
      </c>
      <c r="O14" s="7">
        <v>1.31</v>
      </c>
      <c r="P14" s="7">
        <v>1.31</v>
      </c>
      <c r="Q14" s="7">
        <v>1.32</v>
      </c>
      <c r="R14" s="7">
        <v>1.32</v>
      </c>
      <c r="S14" s="7">
        <v>1.32</v>
      </c>
      <c r="T14" s="7">
        <v>1.32</v>
      </c>
      <c r="U14" s="7">
        <v>1.33</v>
      </c>
      <c r="V14" s="7">
        <v>1.33</v>
      </c>
      <c r="Z14" s="2">
        <v>600</v>
      </c>
      <c r="AA14" s="2">
        <v>1.3267</v>
      </c>
      <c r="AB14" s="2">
        <v>1.3267</v>
      </c>
      <c r="AC14" s="2">
        <v>1.3267</v>
      </c>
      <c r="AD14" s="2">
        <v>1.3267</v>
      </c>
      <c r="AE14" s="2">
        <v>1.3267</v>
      </c>
      <c r="AF14" s="2">
        <v>1.3267</v>
      </c>
      <c r="AG14" s="2">
        <v>1.3267</v>
      </c>
      <c r="AH14" s="2">
        <v>1.3267</v>
      </c>
      <c r="AI14" s="2">
        <v>1.3267</v>
      </c>
      <c r="AJ14" s="2">
        <v>1.3267</v>
      </c>
      <c r="AK14" s="2">
        <v>1.3267</v>
      </c>
      <c r="AL14" s="2">
        <v>1.3267</v>
      </c>
      <c r="AM14" s="2">
        <v>1.3267</v>
      </c>
      <c r="AN14" s="2">
        <v>1.3267</v>
      </c>
      <c r="AO14" s="7"/>
      <c r="BE14" s="2">
        <v>60</v>
      </c>
      <c r="BF14" s="2">
        <v>1.3406</v>
      </c>
      <c r="BG14" s="2">
        <v>1.3406</v>
      </c>
      <c r="BH14" s="2">
        <v>1.3406</v>
      </c>
      <c r="BI14" s="2">
        <v>1.3406</v>
      </c>
      <c r="BJ14" s="2">
        <v>1.3406</v>
      </c>
      <c r="BK14" s="2">
        <v>1.3406</v>
      </c>
      <c r="BL14" s="2">
        <v>1.3406</v>
      </c>
      <c r="BM14" s="2">
        <v>1.3406</v>
      </c>
      <c r="BN14" s="2">
        <v>1.3406</v>
      </c>
      <c r="BO14" s="2">
        <v>1.3406</v>
      </c>
      <c r="BP14" s="2">
        <v>1.3406</v>
      </c>
      <c r="BQ14" s="2">
        <v>1.3406</v>
      </c>
      <c r="BR14" s="2">
        <v>1.3406</v>
      </c>
      <c r="BS14" s="2">
        <v>1.3406</v>
      </c>
      <c r="BW14" s="2">
        <v>60</v>
      </c>
      <c r="BX14" s="2">
        <v>1.3406</v>
      </c>
      <c r="BY14" s="2">
        <v>1.3406</v>
      </c>
      <c r="BZ14" s="2">
        <v>1.3406</v>
      </c>
      <c r="CA14" s="2">
        <v>1.3406</v>
      </c>
      <c r="CB14" s="2">
        <v>1.3406</v>
      </c>
      <c r="CC14" s="2">
        <v>1.3406</v>
      </c>
      <c r="CD14" s="2">
        <v>1.3406</v>
      </c>
      <c r="CE14" s="2">
        <v>1.3406</v>
      </c>
      <c r="CF14" s="2">
        <v>1.3406</v>
      </c>
      <c r="CG14" s="2">
        <v>1.3406</v>
      </c>
      <c r="CH14" s="2">
        <v>1.3406</v>
      </c>
      <c r="CI14" s="2">
        <v>1.3406</v>
      </c>
      <c r="CJ14" s="2">
        <v>1.3406</v>
      </c>
      <c r="CK14" s="2">
        <v>1.3406</v>
      </c>
      <c r="CO14" s="2">
        <v>60</v>
      </c>
      <c r="CP14" s="2">
        <v>1.3475999999999999</v>
      </c>
      <c r="CQ14" s="2">
        <v>1.3475999999999999</v>
      </c>
      <c r="CR14" s="2">
        <v>1.3475999999999999</v>
      </c>
      <c r="CS14" s="2">
        <v>1.3475999999999999</v>
      </c>
      <c r="CT14" s="2">
        <v>1.3475999999999999</v>
      </c>
      <c r="CU14" s="2">
        <v>1.3475999999999999</v>
      </c>
      <c r="CV14" s="2">
        <v>1.3475999999999999</v>
      </c>
      <c r="CW14" s="2">
        <v>1.3475999999999999</v>
      </c>
      <c r="CX14" s="2">
        <v>1.3475999999999999</v>
      </c>
      <c r="CY14" s="2">
        <v>1.3475999999999999</v>
      </c>
      <c r="CZ14" s="2">
        <v>1.3475999999999999</v>
      </c>
      <c r="DA14" s="2">
        <v>1.3475999999999999</v>
      </c>
      <c r="DB14" s="2">
        <v>1.3475999999999999</v>
      </c>
      <c r="DC14" s="2">
        <v>1.3475999999999999</v>
      </c>
    </row>
    <row r="15" spans="1:107" x14ac:dyDescent="0.2">
      <c r="B15" s="2">
        <v>210</v>
      </c>
      <c r="C15" s="7">
        <v>1.28</v>
      </c>
      <c r="D15" s="7">
        <v>1.28</v>
      </c>
      <c r="E15" s="7">
        <v>1.28</v>
      </c>
      <c r="F15" s="7">
        <v>1.28</v>
      </c>
      <c r="G15" s="7">
        <v>1.27</v>
      </c>
      <c r="H15" s="7">
        <v>1.27</v>
      </c>
      <c r="I15" s="7">
        <v>1.27</v>
      </c>
      <c r="J15" s="7">
        <v>1.27</v>
      </c>
      <c r="K15" s="7">
        <v>1.26</v>
      </c>
      <c r="L15" s="7">
        <v>1.25</v>
      </c>
      <c r="M15" s="7">
        <v>1.25</v>
      </c>
      <c r="N15" s="7">
        <v>1.25</v>
      </c>
      <c r="O15" s="7">
        <v>1.25</v>
      </c>
      <c r="P15" s="7">
        <v>1.31</v>
      </c>
      <c r="Q15" s="7">
        <v>1.32</v>
      </c>
      <c r="R15" s="7">
        <v>1.32</v>
      </c>
      <c r="S15" s="7">
        <v>1.32</v>
      </c>
      <c r="T15" s="7">
        <v>1.32</v>
      </c>
      <c r="U15" s="7">
        <v>1.33</v>
      </c>
      <c r="V15" s="7">
        <v>1.33</v>
      </c>
      <c r="Z15" s="2">
        <v>900</v>
      </c>
      <c r="AA15" s="2">
        <v>1.3090999999999999</v>
      </c>
      <c r="AB15" s="2">
        <v>1.3090999999999999</v>
      </c>
      <c r="AC15" s="2">
        <v>1.3090999999999999</v>
      </c>
      <c r="AD15" s="2">
        <v>1.3090999999999999</v>
      </c>
      <c r="AE15" s="2">
        <v>1.3090999999999999</v>
      </c>
      <c r="AF15" s="2">
        <v>1.3090999999999999</v>
      </c>
      <c r="AG15" s="2">
        <v>1.3090999999999999</v>
      </c>
      <c r="AH15" s="2">
        <v>1.3090999999999999</v>
      </c>
      <c r="AI15" s="2">
        <v>1.3090999999999999</v>
      </c>
      <c r="AJ15" s="2">
        <v>1.3090999999999999</v>
      </c>
      <c r="AK15" s="2">
        <v>1.3090999999999999</v>
      </c>
      <c r="AL15" s="2">
        <v>1.3090999999999999</v>
      </c>
      <c r="AM15" s="2">
        <v>1.3090999999999999</v>
      </c>
      <c r="AN15" s="2">
        <v>1.3090999999999999</v>
      </c>
      <c r="AO15" s="7"/>
      <c r="BE15" s="2">
        <v>90</v>
      </c>
      <c r="BF15" s="2">
        <v>1.3515999999999999</v>
      </c>
      <c r="BG15" s="2">
        <v>1.3515999999999999</v>
      </c>
      <c r="BH15" s="2">
        <v>1.3515999999999999</v>
      </c>
      <c r="BI15" s="2">
        <v>1.3515999999999999</v>
      </c>
      <c r="BJ15" s="2">
        <v>1.3515999999999999</v>
      </c>
      <c r="BK15" s="2">
        <v>1.3515999999999999</v>
      </c>
      <c r="BL15" s="2">
        <v>1.3515999999999999</v>
      </c>
      <c r="BM15" s="2">
        <v>1.3515999999999999</v>
      </c>
      <c r="BN15" s="2">
        <v>1.3515999999999999</v>
      </c>
      <c r="BO15" s="2">
        <v>1.3515999999999999</v>
      </c>
      <c r="BP15" s="2">
        <v>1.3515999999999999</v>
      </c>
      <c r="BQ15" s="2">
        <v>1.3515999999999999</v>
      </c>
      <c r="BR15" s="2">
        <v>1.3515999999999999</v>
      </c>
      <c r="BS15" s="2">
        <v>1.3515999999999999</v>
      </c>
      <c r="BW15" s="2">
        <v>90</v>
      </c>
      <c r="BX15" s="2">
        <v>1.3460000000000001</v>
      </c>
      <c r="BY15" s="2">
        <v>1.3460000000000001</v>
      </c>
      <c r="BZ15" s="2">
        <v>1.3460000000000001</v>
      </c>
      <c r="CA15" s="2">
        <v>1.3460000000000001</v>
      </c>
      <c r="CB15" s="2">
        <v>1.3460000000000001</v>
      </c>
      <c r="CC15" s="2">
        <v>1.3460000000000001</v>
      </c>
      <c r="CD15" s="2">
        <v>1.3460000000000001</v>
      </c>
      <c r="CE15" s="2">
        <v>1.3460000000000001</v>
      </c>
      <c r="CF15" s="2">
        <v>1.3460000000000001</v>
      </c>
      <c r="CG15" s="2">
        <v>1.3460000000000001</v>
      </c>
      <c r="CH15" s="2">
        <v>1.3460000000000001</v>
      </c>
      <c r="CI15" s="2">
        <v>1.3460000000000001</v>
      </c>
      <c r="CJ15" s="2">
        <v>1.3460000000000001</v>
      </c>
      <c r="CK15" s="2">
        <v>1.3460000000000001</v>
      </c>
      <c r="CO15" s="2">
        <v>90</v>
      </c>
      <c r="CP15" s="2">
        <v>1.3443000000000001</v>
      </c>
      <c r="CQ15" s="2">
        <v>1.3443000000000001</v>
      </c>
      <c r="CR15" s="2">
        <v>1.3443000000000001</v>
      </c>
      <c r="CS15" s="2">
        <v>1.3443000000000001</v>
      </c>
      <c r="CT15" s="2">
        <v>1.3443000000000001</v>
      </c>
      <c r="CU15" s="2">
        <v>1.3443000000000001</v>
      </c>
      <c r="CV15" s="2">
        <v>1.3443000000000001</v>
      </c>
      <c r="CW15" s="2">
        <v>1.3443000000000001</v>
      </c>
      <c r="CX15" s="2">
        <v>1.3443000000000001</v>
      </c>
      <c r="CY15" s="2">
        <v>1.3443000000000001</v>
      </c>
      <c r="CZ15" s="2">
        <v>1.3443000000000001</v>
      </c>
      <c r="DA15" s="2">
        <v>1.3443000000000001</v>
      </c>
      <c r="DB15" s="2">
        <v>1.3443000000000001</v>
      </c>
      <c r="DC15" s="2">
        <v>1.3443000000000001</v>
      </c>
    </row>
    <row r="17" spans="1:22" ht="13.5" x14ac:dyDescent="0.25">
      <c r="A17" s="1" t="s">
        <v>11</v>
      </c>
      <c r="C17" s="4" t="s">
        <v>2</v>
      </c>
    </row>
    <row r="18" spans="1:22" x14ac:dyDescent="0.2">
      <c r="C18" s="5">
        <v>260</v>
      </c>
      <c r="D18" s="5">
        <v>300</v>
      </c>
      <c r="E18" s="5">
        <v>350</v>
      </c>
      <c r="F18" s="5">
        <v>400</v>
      </c>
      <c r="G18" s="5">
        <v>450</v>
      </c>
      <c r="H18" s="5">
        <v>500</v>
      </c>
      <c r="I18" s="5">
        <v>550</v>
      </c>
      <c r="J18" s="5">
        <v>600</v>
      </c>
      <c r="K18" s="5">
        <v>750</v>
      </c>
      <c r="L18" s="5">
        <v>900</v>
      </c>
      <c r="M18" s="5">
        <v>1000</v>
      </c>
      <c r="N18" s="5">
        <v>1100</v>
      </c>
      <c r="O18" s="5">
        <v>1200</v>
      </c>
      <c r="P18" s="5">
        <v>1500</v>
      </c>
      <c r="Q18" s="5">
        <v>1800</v>
      </c>
      <c r="R18" s="5">
        <v>2000</v>
      </c>
      <c r="S18" s="5">
        <v>2200</v>
      </c>
      <c r="T18" s="5">
        <v>2500</v>
      </c>
      <c r="U18" s="5">
        <v>2800</v>
      </c>
      <c r="V18" s="5">
        <v>3000</v>
      </c>
    </row>
    <row r="19" spans="1:22" ht="13.5" x14ac:dyDescent="0.25">
      <c r="A19" s="4" t="s">
        <v>3</v>
      </c>
      <c r="B19" s="2">
        <v>62</v>
      </c>
      <c r="C19" s="2">
        <v>6.5000000000000002E-2</v>
      </c>
      <c r="D19" s="2">
        <v>7.2999999999999995E-2</v>
      </c>
      <c r="E19" s="2">
        <v>8.5000000000000006E-2</v>
      </c>
      <c r="F19" s="2">
        <v>9.7000000000000003E-2</v>
      </c>
      <c r="G19" s="2">
        <v>0.108</v>
      </c>
      <c r="H19" s="2">
        <v>0.11899999999999999</v>
      </c>
      <c r="I19" s="2">
        <v>0.13</v>
      </c>
      <c r="J19" s="2">
        <v>0.14000000000000001</v>
      </c>
      <c r="K19" s="2">
        <v>0.17</v>
      </c>
      <c r="L19" s="2">
        <v>0.19800000000000001</v>
      </c>
      <c r="M19" s="2">
        <v>0.215</v>
      </c>
      <c r="N19" s="2">
        <v>0.23100000000000001</v>
      </c>
      <c r="O19" s="2">
        <v>0.25600000000000001</v>
      </c>
      <c r="P19" s="2">
        <v>0.32200000000000001</v>
      </c>
      <c r="Q19" s="2">
        <v>0.38400000000000001</v>
      </c>
      <c r="R19" s="2">
        <v>0.42699999999999999</v>
      </c>
      <c r="S19" s="2">
        <v>0.46700000000000003</v>
      </c>
      <c r="T19" s="2">
        <v>0.52900000000000003</v>
      </c>
      <c r="U19" s="2">
        <v>0.58499999999999996</v>
      </c>
      <c r="V19" s="2">
        <v>0.622</v>
      </c>
    </row>
    <row r="20" spans="1:22" x14ac:dyDescent="0.2">
      <c r="B20" s="2">
        <v>100</v>
      </c>
      <c r="C20" s="8">
        <v>8.5999999999999993E-2</v>
      </c>
      <c r="D20" s="8">
        <v>9.9000000000000005E-2</v>
      </c>
      <c r="E20" s="8">
        <v>0.114</v>
      </c>
      <c r="F20" s="8">
        <v>0.13</v>
      </c>
      <c r="G20" s="8">
        <v>0.14499999999999999</v>
      </c>
      <c r="H20" s="8">
        <v>0.16</v>
      </c>
      <c r="I20" s="8">
        <v>0.17399999999999999</v>
      </c>
      <c r="J20" s="8">
        <v>0.188</v>
      </c>
      <c r="K20" s="8">
        <v>0.23</v>
      </c>
      <c r="L20" s="8">
        <v>0.26900000000000002</v>
      </c>
      <c r="M20" s="8">
        <v>0.29399999999999998</v>
      </c>
      <c r="N20" s="8">
        <v>0.31900000000000001</v>
      </c>
      <c r="O20" s="8">
        <v>0.35599999999999998</v>
      </c>
      <c r="P20" s="8">
        <v>0.433</v>
      </c>
      <c r="Q20" s="8">
        <v>0.51400000000000001</v>
      </c>
      <c r="R20" s="8">
        <v>0.56599999999999995</v>
      </c>
      <c r="S20" s="8">
        <v>0.61899999999999999</v>
      </c>
      <c r="T20" s="8">
        <v>0.69599999999999995</v>
      </c>
      <c r="U20" s="8">
        <v>0.77700000000000002</v>
      </c>
      <c r="V20" s="8">
        <v>0.83199999999999996</v>
      </c>
    </row>
    <row r="21" spans="1:22" x14ac:dyDescent="0.2">
      <c r="B21" s="2">
        <v>136</v>
      </c>
      <c r="C21" s="8">
        <v>0.113</v>
      </c>
      <c r="D21" s="8">
        <v>0.13</v>
      </c>
      <c r="E21" s="8">
        <v>0.15</v>
      </c>
      <c r="F21" s="8">
        <v>0.17</v>
      </c>
      <c r="G21" s="8">
        <v>0.19</v>
      </c>
      <c r="H21" s="8">
        <v>0.20899999999999999</v>
      </c>
      <c r="I21" s="8">
        <v>0.22800000000000001</v>
      </c>
      <c r="J21" s="8">
        <v>0.247</v>
      </c>
      <c r="K21" s="8">
        <v>0.30099999999999999</v>
      </c>
      <c r="L21" s="8">
        <v>0.35299999999999998</v>
      </c>
      <c r="M21" s="8">
        <v>0.38700000000000001</v>
      </c>
      <c r="N21" s="8">
        <v>0.41799999999999998</v>
      </c>
      <c r="O21" s="8">
        <v>0.45500000000000002</v>
      </c>
      <c r="P21" s="8">
        <v>0.55700000000000005</v>
      </c>
      <c r="Q21" s="8">
        <v>0.65900000000000003</v>
      </c>
      <c r="R21" s="8">
        <v>0.72399999999999998</v>
      </c>
      <c r="S21" s="8">
        <v>0.79200000000000004</v>
      </c>
      <c r="T21" s="8">
        <v>0.89400000000000002</v>
      </c>
      <c r="U21" s="8">
        <v>1</v>
      </c>
      <c r="V21" s="8">
        <v>1.0680000000000001</v>
      </c>
    </row>
    <row r="22" spans="1:22" x14ac:dyDescent="0.2">
      <c r="B22" s="2">
        <v>176</v>
      </c>
      <c r="C22" s="8">
        <v>0.14000000000000001</v>
      </c>
      <c r="D22" s="8">
        <v>0.16</v>
      </c>
      <c r="E22" s="8">
        <v>0.185</v>
      </c>
      <c r="F22" s="8">
        <v>0.21</v>
      </c>
      <c r="G22" s="8">
        <v>0.23499999999999999</v>
      </c>
      <c r="H22" s="8">
        <v>0.25800000000000001</v>
      </c>
      <c r="I22" s="8">
        <v>0.28199999999999997</v>
      </c>
      <c r="J22" s="8">
        <v>0.30499999999999999</v>
      </c>
      <c r="K22" s="8">
        <v>0.371</v>
      </c>
      <c r="L22" s="8">
        <v>0.436</v>
      </c>
      <c r="M22" s="8">
        <v>0.47699999999999998</v>
      </c>
      <c r="N22" s="8">
        <v>0.51700000000000002</v>
      </c>
      <c r="O22" s="8">
        <v>0.55400000000000005</v>
      </c>
      <c r="P22" s="8">
        <v>0.67800000000000005</v>
      </c>
      <c r="Q22" s="8">
        <v>0.80100000000000005</v>
      </c>
      <c r="R22" s="8">
        <v>0.88200000000000001</v>
      </c>
      <c r="S22" s="8">
        <v>0.96499999999999997</v>
      </c>
      <c r="T22" s="8">
        <v>1.089</v>
      </c>
      <c r="U22" s="8">
        <v>1.2130000000000001</v>
      </c>
      <c r="V22" s="8">
        <v>1.3</v>
      </c>
    </row>
    <row r="23" spans="1:22" x14ac:dyDescent="0.2">
      <c r="B23" s="2">
        <v>210</v>
      </c>
      <c r="C23" s="8">
        <v>0.16600000000000001</v>
      </c>
      <c r="D23" s="8">
        <v>0.19</v>
      </c>
      <c r="E23" s="8">
        <v>0.22</v>
      </c>
      <c r="F23" s="8">
        <v>0.249</v>
      </c>
      <c r="G23" s="8">
        <v>0.27800000000000002</v>
      </c>
      <c r="H23" s="8">
        <v>0.30599999999999999</v>
      </c>
      <c r="I23" s="8">
        <v>0.33400000000000002</v>
      </c>
      <c r="J23" s="8">
        <v>0.36199999999999999</v>
      </c>
      <c r="K23" s="8">
        <v>0.443</v>
      </c>
      <c r="L23" s="8">
        <v>0.51700000000000002</v>
      </c>
      <c r="M23" s="8">
        <v>0.56599999999999995</v>
      </c>
      <c r="N23" s="8">
        <v>0.61299999999999999</v>
      </c>
      <c r="O23" s="8">
        <v>0.65</v>
      </c>
      <c r="P23" s="8">
        <v>0.79200000000000004</v>
      </c>
      <c r="Q23" s="8">
        <v>0.93799999999999994</v>
      </c>
      <c r="R23" s="8">
        <v>1.034</v>
      </c>
      <c r="S23" s="8">
        <v>1.1299999999999999</v>
      </c>
      <c r="T23" s="8">
        <v>1.2749999999999999</v>
      </c>
      <c r="U23" s="8">
        <v>1.42</v>
      </c>
      <c r="V23" s="8">
        <v>1.5189999999999999</v>
      </c>
    </row>
    <row r="24" spans="1:22" x14ac:dyDescent="0.2">
      <c r="C24" s="8"/>
      <c r="D24" s="8"/>
      <c r="E24" s="8"/>
      <c r="F24" s="8"/>
      <c r="G24" s="8"/>
      <c r="H24" s="8"/>
      <c r="I24" s="8"/>
      <c r="J24" s="8"/>
      <c r="K24" s="8"/>
      <c r="L24" s="8"/>
      <c r="M24" s="8"/>
      <c r="N24" s="8"/>
      <c r="O24" s="8"/>
      <c r="P24" s="8"/>
      <c r="Q24" s="8"/>
      <c r="R24" s="8"/>
      <c r="S24" s="8"/>
      <c r="T24" s="8"/>
      <c r="U24" s="8"/>
      <c r="V24" s="8"/>
    </row>
    <row r="25" spans="1:22" ht="13.5" x14ac:dyDescent="0.25">
      <c r="A25" s="1" t="s">
        <v>13</v>
      </c>
      <c r="C25" s="4" t="s">
        <v>2</v>
      </c>
    </row>
    <row r="26" spans="1:22" x14ac:dyDescent="0.2">
      <c r="C26" s="5">
        <v>260</v>
      </c>
      <c r="D26" s="5">
        <v>300</v>
      </c>
      <c r="E26" s="5">
        <v>350</v>
      </c>
      <c r="F26" s="5">
        <v>400</v>
      </c>
      <c r="G26" s="5">
        <v>450</v>
      </c>
      <c r="H26" s="5">
        <v>500</v>
      </c>
      <c r="I26" s="5">
        <v>550</v>
      </c>
      <c r="J26" s="5">
        <v>600</v>
      </c>
      <c r="K26" s="5">
        <v>750</v>
      </c>
      <c r="L26" s="5">
        <v>900</v>
      </c>
      <c r="M26" s="5">
        <v>1000</v>
      </c>
      <c r="N26" s="5">
        <v>1100</v>
      </c>
      <c r="O26" s="5">
        <v>1200</v>
      </c>
      <c r="P26" s="5">
        <v>1500</v>
      </c>
      <c r="Q26" s="5">
        <v>1800</v>
      </c>
      <c r="R26" s="5">
        <v>2000</v>
      </c>
      <c r="S26" s="5">
        <v>2200</v>
      </c>
      <c r="T26" s="5">
        <v>2500</v>
      </c>
      <c r="U26" s="5">
        <v>2800</v>
      </c>
      <c r="V26" s="5">
        <v>3000</v>
      </c>
    </row>
    <row r="27" spans="1:22" ht="13.5" x14ac:dyDescent="0.25">
      <c r="A27" s="4" t="s">
        <v>3</v>
      </c>
      <c r="B27" s="2">
        <v>62</v>
      </c>
      <c r="C27" s="2">
        <v>0.4</v>
      </c>
      <c r="D27" s="2">
        <v>0.44</v>
      </c>
      <c r="E27" s="2">
        <v>0.51</v>
      </c>
      <c r="F27" s="2">
        <v>0.55000000000000004</v>
      </c>
      <c r="G27" s="2">
        <v>0.62</v>
      </c>
      <c r="H27" s="2">
        <v>0.69</v>
      </c>
      <c r="I27" s="2">
        <v>0.75</v>
      </c>
      <c r="J27" s="2">
        <v>0.82</v>
      </c>
      <c r="K27" s="2">
        <v>1.01</v>
      </c>
      <c r="L27" s="2">
        <v>1.21</v>
      </c>
      <c r="M27" s="2">
        <v>1.34</v>
      </c>
      <c r="N27" s="2">
        <v>1.47</v>
      </c>
      <c r="O27" s="2">
        <v>1.6</v>
      </c>
      <c r="P27" s="2">
        <v>2</v>
      </c>
      <c r="Q27" s="2">
        <v>2.39</v>
      </c>
      <c r="R27" s="2">
        <v>2.65</v>
      </c>
      <c r="S27" s="2">
        <v>2.92</v>
      </c>
      <c r="T27" s="2">
        <v>3.31</v>
      </c>
      <c r="U27" s="2">
        <v>3.7</v>
      </c>
      <c r="V27" s="2">
        <v>3.97</v>
      </c>
    </row>
    <row r="28" spans="1:22" x14ac:dyDescent="0.2">
      <c r="B28" s="2">
        <v>100</v>
      </c>
      <c r="C28" s="2">
        <v>0.56000000000000005</v>
      </c>
      <c r="D28" s="2">
        <v>0.63</v>
      </c>
      <c r="E28" s="2">
        <v>0.73</v>
      </c>
      <c r="F28" s="2">
        <v>0.83</v>
      </c>
      <c r="G28" s="2">
        <v>0.93</v>
      </c>
      <c r="H28" s="2">
        <v>1.03</v>
      </c>
      <c r="I28" s="2">
        <v>1.1299999999999999</v>
      </c>
      <c r="J28" s="2">
        <v>1.23</v>
      </c>
      <c r="K28" s="2">
        <v>1.52</v>
      </c>
      <c r="L28" s="2">
        <v>1.81</v>
      </c>
      <c r="M28" s="2">
        <v>2.0099999999999998</v>
      </c>
      <c r="N28" s="2">
        <v>2.21</v>
      </c>
      <c r="O28" s="2">
        <v>2.4</v>
      </c>
      <c r="P28" s="2">
        <v>2.99</v>
      </c>
      <c r="Q28" s="2">
        <v>3.58</v>
      </c>
      <c r="R28" s="2">
        <v>3.97</v>
      </c>
      <c r="S28" s="2">
        <v>4.3600000000000003</v>
      </c>
      <c r="T28" s="2">
        <v>4.95</v>
      </c>
      <c r="U28" s="2">
        <v>5.54</v>
      </c>
      <c r="V28" s="2">
        <v>5.93</v>
      </c>
    </row>
    <row r="29" spans="1:22" x14ac:dyDescent="0.2">
      <c r="B29" s="2">
        <v>136</v>
      </c>
      <c r="C29" s="2">
        <v>0.77</v>
      </c>
      <c r="D29" s="2">
        <v>0.88</v>
      </c>
      <c r="E29" s="2">
        <v>1.01</v>
      </c>
      <c r="F29" s="2">
        <v>1.1599999999999999</v>
      </c>
      <c r="G29" s="2">
        <v>1.29</v>
      </c>
      <c r="H29" s="2">
        <v>1.42</v>
      </c>
      <c r="I29" s="2">
        <v>1.55</v>
      </c>
      <c r="J29" s="2">
        <v>1.67</v>
      </c>
      <c r="K29" s="2">
        <v>2.06</v>
      </c>
      <c r="L29" s="2">
        <v>2.4500000000000002</v>
      </c>
      <c r="M29" s="2">
        <v>2.7</v>
      </c>
      <c r="N29" s="2">
        <v>2.96</v>
      </c>
      <c r="O29" s="2">
        <v>3.22</v>
      </c>
      <c r="P29" s="2">
        <v>3.99</v>
      </c>
      <c r="Q29" s="2">
        <v>4.76</v>
      </c>
      <c r="R29" s="2">
        <v>5.28</v>
      </c>
      <c r="S29" s="2">
        <v>5.79</v>
      </c>
      <c r="T29" s="2">
        <v>5.56</v>
      </c>
      <c r="U29" s="2">
        <v>7.33</v>
      </c>
      <c r="V29" s="2">
        <v>7.85</v>
      </c>
    </row>
    <row r="30" spans="1:22" x14ac:dyDescent="0.2">
      <c r="B30" s="2">
        <v>176</v>
      </c>
      <c r="C30" s="2">
        <v>0.88</v>
      </c>
      <c r="D30" s="2">
        <v>1.01</v>
      </c>
      <c r="E30" s="2">
        <v>1.18</v>
      </c>
      <c r="F30" s="2">
        <v>1.51</v>
      </c>
      <c r="G30" s="2">
        <v>1.67</v>
      </c>
      <c r="H30" s="2">
        <v>1.83</v>
      </c>
      <c r="I30" s="2">
        <v>2</v>
      </c>
      <c r="J30" s="2">
        <v>2.16</v>
      </c>
      <c r="K30" s="2">
        <v>2.65</v>
      </c>
      <c r="L30" s="2">
        <v>3.14</v>
      </c>
      <c r="M30" s="2">
        <v>3.47</v>
      </c>
      <c r="N30" s="2">
        <v>3.79</v>
      </c>
      <c r="O30" s="2">
        <v>4.12</v>
      </c>
      <c r="P30" s="2">
        <v>5.0999999999999996</v>
      </c>
      <c r="Q30" s="2">
        <v>6.08</v>
      </c>
      <c r="R30" s="2">
        <v>6.73</v>
      </c>
      <c r="S30" s="2">
        <v>7.39</v>
      </c>
      <c r="T30" s="2">
        <v>8.3699999999999992</v>
      </c>
      <c r="U30" s="2">
        <v>9.35</v>
      </c>
      <c r="V30" s="2">
        <v>10</v>
      </c>
    </row>
    <row r="31" spans="1:22" x14ac:dyDescent="0.2">
      <c r="B31" s="2">
        <v>210</v>
      </c>
      <c r="C31" s="2">
        <v>1.26</v>
      </c>
      <c r="D31" s="2">
        <v>1.42</v>
      </c>
      <c r="E31" s="2">
        <v>1.62</v>
      </c>
      <c r="F31" s="2">
        <v>1.79</v>
      </c>
      <c r="G31" s="2">
        <v>1.99</v>
      </c>
      <c r="H31" s="2">
        <v>2.19</v>
      </c>
      <c r="I31" s="2">
        <v>2.38</v>
      </c>
      <c r="J31" s="2">
        <v>2.58</v>
      </c>
      <c r="K31" s="2">
        <v>3.17</v>
      </c>
      <c r="L31" s="2">
        <v>3.76</v>
      </c>
      <c r="M31" s="2">
        <v>4.16</v>
      </c>
      <c r="N31" s="2">
        <v>4.55</v>
      </c>
      <c r="O31" s="2">
        <v>4.95</v>
      </c>
      <c r="P31" s="2">
        <v>6.13</v>
      </c>
      <c r="Q31" s="2">
        <v>7.31</v>
      </c>
      <c r="R31" s="2">
        <v>8.1</v>
      </c>
      <c r="S31" s="2">
        <v>8.89</v>
      </c>
      <c r="T31" s="2">
        <v>10.07</v>
      </c>
      <c r="U31" s="2">
        <v>11.25</v>
      </c>
      <c r="V31" s="2">
        <v>12.04</v>
      </c>
    </row>
    <row r="32" spans="1:22" x14ac:dyDescent="0.2">
      <c r="C32" s="8"/>
      <c r="D32" s="8"/>
      <c r="E32" s="8"/>
      <c r="F32" s="8"/>
      <c r="G32" s="8"/>
      <c r="H32" s="8"/>
      <c r="I32" s="8"/>
      <c r="J32" s="8"/>
      <c r="K32" s="8"/>
      <c r="L32" s="8"/>
      <c r="M32" s="8"/>
      <c r="N32" s="8"/>
      <c r="O32" s="8"/>
      <c r="P32" s="8"/>
      <c r="Q32" s="8"/>
      <c r="R32" s="8"/>
      <c r="S32" s="8"/>
      <c r="T32" s="8"/>
      <c r="U32" s="8"/>
      <c r="V32" s="8"/>
    </row>
    <row r="33" spans="1:22" ht="13.5" x14ac:dyDescent="0.25">
      <c r="A33" s="1" t="s">
        <v>14</v>
      </c>
      <c r="C33" s="4" t="s">
        <v>2</v>
      </c>
    </row>
    <row r="34" spans="1:22" x14ac:dyDescent="0.2">
      <c r="C34" s="5">
        <v>260</v>
      </c>
      <c r="D34" s="5">
        <v>300</v>
      </c>
      <c r="E34" s="5">
        <v>350</v>
      </c>
      <c r="F34" s="5">
        <v>400</v>
      </c>
      <c r="G34" s="5">
        <v>450</v>
      </c>
      <c r="H34" s="5">
        <v>500</v>
      </c>
      <c r="I34" s="5">
        <v>550</v>
      </c>
      <c r="J34" s="5">
        <v>600</v>
      </c>
      <c r="K34" s="5">
        <v>750</v>
      </c>
      <c r="L34" s="5">
        <v>900</v>
      </c>
      <c r="M34" s="5">
        <v>1000</v>
      </c>
      <c r="N34" s="5">
        <v>1100</v>
      </c>
      <c r="O34" s="5">
        <v>1200</v>
      </c>
      <c r="P34" s="5">
        <v>1500</v>
      </c>
      <c r="Q34" s="5">
        <v>1800</v>
      </c>
      <c r="R34" s="5">
        <v>2000</v>
      </c>
      <c r="S34" s="5">
        <v>2200</v>
      </c>
      <c r="T34" s="5">
        <v>2500</v>
      </c>
      <c r="U34" s="5">
        <v>2800</v>
      </c>
      <c r="V34" s="5">
        <v>3000</v>
      </c>
    </row>
    <row r="35" spans="1:22" ht="13.5" x14ac:dyDescent="0.25">
      <c r="A35" s="4" t="s">
        <v>3</v>
      </c>
      <c r="B35" s="2">
        <v>62</v>
      </c>
      <c r="C35" s="2">
        <v>0.04</v>
      </c>
      <c r="D35" s="2">
        <v>0.04</v>
      </c>
      <c r="E35" s="2">
        <v>0.05</v>
      </c>
      <c r="F35" s="2">
        <v>0.06</v>
      </c>
      <c r="G35" s="2">
        <v>7.0000000000000007E-2</v>
      </c>
      <c r="H35" s="2">
        <v>7.0000000000000007E-2</v>
      </c>
      <c r="I35" s="2">
        <v>0.08</v>
      </c>
      <c r="J35" s="2">
        <v>0.09</v>
      </c>
      <c r="K35" s="2">
        <v>0.11</v>
      </c>
      <c r="L35" s="2">
        <v>0.14000000000000001</v>
      </c>
      <c r="M35" s="2">
        <v>0.15</v>
      </c>
      <c r="N35" s="2">
        <v>0.17</v>
      </c>
      <c r="O35" s="2">
        <v>0.18</v>
      </c>
      <c r="P35" s="2">
        <v>0.23</v>
      </c>
      <c r="Q35" s="2">
        <v>0.28000000000000003</v>
      </c>
      <c r="R35" s="2">
        <v>0.31</v>
      </c>
      <c r="S35" s="2">
        <v>0.34</v>
      </c>
      <c r="T35" s="2">
        <v>0.39</v>
      </c>
      <c r="U35" s="2">
        <v>0.44</v>
      </c>
      <c r="V35" s="2">
        <v>0.47</v>
      </c>
    </row>
    <row r="36" spans="1:22" x14ac:dyDescent="0.2">
      <c r="B36" s="2">
        <v>100</v>
      </c>
      <c r="C36" s="8">
        <v>0.06</v>
      </c>
      <c r="D36" s="8">
        <v>7.0000000000000007E-2</v>
      </c>
      <c r="E36" s="8">
        <v>0.08</v>
      </c>
      <c r="F36" s="8">
        <v>0.09</v>
      </c>
      <c r="G36" s="8">
        <v>0.1</v>
      </c>
      <c r="H36" s="8">
        <v>0.11</v>
      </c>
      <c r="I36" s="8">
        <v>0.12</v>
      </c>
      <c r="J36" s="8">
        <v>0.14000000000000001</v>
      </c>
      <c r="K36" s="8">
        <v>0.17</v>
      </c>
      <c r="L36" s="8">
        <v>0.21</v>
      </c>
      <c r="M36" s="8">
        <v>0.23</v>
      </c>
      <c r="N36" s="8">
        <v>0.25</v>
      </c>
      <c r="O36" s="8">
        <v>0.28000000000000003</v>
      </c>
      <c r="P36" s="8">
        <v>0.35</v>
      </c>
      <c r="Q36" s="8">
        <v>0.42</v>
      </c>
      <c r="R36" s="8">
        <v>0.47</v>
      </c>
      <c r="S36" s="8">
        <v>0.51</v>
      </c>
      <c r="T36" s="8">
        <v>0.57999999999999996</v>
      </c>
      <c r="U36" s="8">
        <v>0.65</v>
      </c>
      <c r="V36" s="8">
        <v>0.7</v>
      </c>
    </row>
    <row r="37" spans="1:22" x14ac:dyDescent="0.2">
      <c r="B37" s="2">
        <v>136</v>
      </c>
      <c r="C37" s="2">
        <v>0.08</v>
      </c>
      <c r="D37" s="2">
        <v>0.09</v>
      </c>
      <c r="E37" s="2">
        <v>0.11</v>
      </c>
      <c r="F37" s="2">
        <v>0.12</v>
      </c>
      <c r="G37" s="2">
        <v>0.14000000000000001</v>
      </c>
      <c r="H37" s="2">
        <v>0.15</v>
      </c>
      <c r="I37" s="2">
        <v>0.17</v>
      </c>
      <c r="J37" s="2">
        <v>0.19</v>
      </c>
      <c r="K37" s="2">
        <v>0.23</v>
      </c>
      <c r="L37" s="2">
        <v>0.28000000000000003</v>
      </c>
      <c r="M37" s="2">
        <v>0.31</v>
      </c>
      <c r="N37" s="2">
        <v>0.34</v>
      </c>
      <c r="O37" s="2">
        <v>0.37</v>
      </c>
      <c r="P37" s="2">
        <v>0.47</v>
      </c>
      <c r="Q37" s="2">
        <v>0.56000000000000005</v>
      </c>
      <c r="R37" s="2">
        <v>0.63</v>
      </c>
      <c r="S37" s="2">
        <v>0.69</v>
      </c>
      <c r="T37" s="2">
        <v>0.78</v>
      </c>
      <c r="U37" s="2">
        <v>0.88</v>
      </c>
      <c r="V37" s="2">
        <v>0.94</v>
      </c>
    </row>
    <row r="38" spans="1:22" x14ac:dyDescent="0.2">
      <c r="B38" s="2">
        <v>176</v>
      </c>
      <c r="C38" s="2">
        <v>0.1</v>
      </c>
      <c r="D38" s="2">
        <v>0.12</v>
      </c>
      <c r="E38" s="2">
        <v>0.13</v>
      </c>
      <c r="F38" s="2">
        <v>0.15</v>
      </c>
      <c r="G38" s="2">
        <v>0.17</v>
      </c>
      <c r="H38" s="2">
        <v>0.19</v>
      </c>
      <c r="I38" s="2">
        <v>0.2</v>
      </c>
      <c r="J38" s="2">
        <v>0.23</v>
      </c>
      <c r="K38" s="2">
        <v>0.28999999999999998</v>
      </c>
      <c r="L38" s="2">
        <v>0.35</v>
      </c>
      <c r="M38" s="2">
        <v>0.39</v>
      </c>
      <c r="N38" s="2">
        <v>0.43</v>
      </c>
      <c r="O38" s="2">
        <v>0.47</v>
      </c>
      <c r="P38" s="2">
        <v>0.59</v>
      </c>
      <c r="Q38" s="2">
        <v>0.7</v>
      </c>
      <c r="R38" s="2">
        <v>0.78</v>
      </c>
      <c r="S38" s="2">
        <v>0.86</v>
      </c>
      <c r="T38" s="2">
        <v>0.98</v>
      </c>
      <c r="U38" s="2">
        <v>1.1000000000000001</v>
      </c>
      <c r="V38" s="2">
        <v>1.18</v>
      </c>
    </row>
    <row r="39" spans="1:22" x14ac:dyDescent="0.2">
      <c r="B39" s="2">
        <v>210</v>
      </c>
      <c r="C39" s="2">
        <v>0.12</v>
      </c>
      <c r="D39" s="2">
        <v>0.14000000000000001</v>
      </c>
      <c r="E39" s="2">
        <v>0.16</v>
      </c>
      <c r="F39" s="2">
        <v>0.19</v>
      </c>
      <c r="G39" s="2">
        <v>0.21</v>
      </c>
      <c r="H39" s="2">
        <v>0.23</v>
      </c>
      <c r="I39" s="2">
        <v>0.26</v>
      </c>
      <c r="J39" s="2">
        <v>0.28000000000000003</v>
      </c>
      <c r="K39" s="2">
        <v>0.35</v>
      </c>
      <c r="L39" s="2">
        <v>0.42</v>
      </c>
      <c r="M39" s="2">
        <v>0.47</v>
      </c>
      <c r="N39" s="2">
        <v>0.52</v>
      </c>
      <c r="O39" s="2">
        <v>0.56000000000000005</v>
      </c>
      <c r="P39" s="2">
        <v>0.7</v>
      </c>
      <c r="Q39" s="2">
        <v>0.85</v>
      </c>
      <c r="R39" s="2">
        <v>0.94</v>
      </c>
      <c r="S39" s="2">
        <v>1.03</v>
      </c>
      <c r="T39" s="2">
        <v>1.18</v>
      </c>
      <c r="U39" s="2">
        <v>1.33</v>
      </c>
      <c r="V39" s="2">
        <v>1.41</v>
      </c>
    </row>
    <row r="40" spans="1:22" x14ac:dyDescent="0.2">
      <c r="C40" s="8"/>
      <c r="D40" s="8"/>
      <c r="E40" s="8"/>
      <c r="F40" s="8"/>
      <c r="G40" s="8"/>
      <c r="H40" s="8"/>
      <c r="I40" s="8"/>
      <c r="J40" s="8"/>
      <c r="K40" s="8"/>
      <c r="L40" s="8"/>
      <c r="M40" s="8"/>
      <c r="N40" s="8"/>
      <c r="O40" s="8"/>
      <c r="P40" s="8"/>
      <c r="Q40" s="8"/>
      <c r="R40" s="8"/>
      <c r="S40" s="8"/>
      <c r="T40" s="8"/>
      <c r="U40" s="8"/>
      <c r="V40" s="8"/>
    </row>
    <row r="41" spans="1:22" ht="13.5" x14ac:dyDescent="0.25">
      <c r="A41" s="1" t="s">
        <v>15</v>
      </c>
      <c r="C41" s="4" t="s">
        <v>2</v>
      </c>
    </row>
    <row r="42" spans="1:22" x14ac:dyDescent="0.2">
      <c r="C42" s="5">
        <v>260</v>
      </c>
      <c r="D42" s="5">
        <v>300</v>
      </c>
      <c r="E42" s="5">
        <v>350</v>
      </c>
      <c r="F42" s="5">
        <v>400</v>
      </c>
      <c r="G42" s="5">
        <v>450</v>
      </c>
      <c r="H42" s="5">
        <v>500</v>
      </c>
      <c r="I42" s="5">
        <v>550</v>
      </c>
      <c r="J42" s="5">
        <v>600</v>
      </c>
      <c r="K42" s="5">
        <v>750</v>
      </c>
      <c r="L42" s="5">
        <v>900</v>
      </c>
      <c r="M42" s="5">
        <v>1000</v>
      </c>
      <c r="N42" s="5">
        <v>1100</v>
      </c>
      <c r="O42" s="5">
        <v>1200</v>
      </c>
      <c r="P42" s="5">
        <v>1500</v>
      </c>
      <c r="Q42" s="5">
        <v>1800</v>
      </c>
      <c r="R42" s="5">
        <v>2000</v>
      </c>
      <c r="S42" s="5">
        <v>2200</v>
      </c>
      <c r="T42" s="5">
        <v>2500</v>
      </c>
      <c r="U42" s="5">
        <v>2800</v>
      </c>
      <c r="V42" s="5">
        <v>3000</v>
      </c>
    </row>
    <row r="43" spans="1:22" ht="13.5" x14ac:dyDescent="0.25">
      <c r="A43" s="4" t="s">
        <v>3</v>
      </c>
      <c r="B43" s="2">
        <v>62</v>
      </c>
      <c r="C43" s="9">
        <f>(C27-C35*$C$66/1000)*$B$65+C35*$B$66</f>
        <v>0.463696</v>
      </c>
      <c r="D43" s="9">
        <f t="shared" ref="D43:V47" si="31">(D27-D35*$C$66/1000)*$B$65+D35*$B$66</f>
        <v>0.492896</v>
      </c>
      <c r="E43" s="9">
        <f t="shared" si="31"/>
        <v>0.58692</v>
      </c>
      <c r="F43" s="9">
        <f t="shared" si="31"/>
        <v>0.65904399999999996</v>
      </c>
      <c r="G43" s="9">
        <f t="shared" si="31"/>
        <v>0.75306800000000007</v>
      </c>
      <c r="H43" s="9">
        <f t="shared" si="31"/>
        <v>0.80416799999999999</v>
      </c>
      <c r="I43" s="9">
        <f t="shared" si="31"/>
        <v>0.89089200000000002</v>
      </c>
      <c r="J43" s="9">
        <f t="shared" si="31"/>
        <v>0.9849159999999999</v>
      </c>
      <c r="K43" s="9">
        <f t="shared" si="31"/>
        <v>1.2094640000000001</v>
      </c>
      <c r="L43" s="9">
        <f t="shared" si="31"/>
        <v>1.4842360000000001</v>
      </c>
      <c r="M43" s="9">
        <f t="shared" si="31"/>
        <v>1.6220599999999998</v>
      </c>
      <c r="N43" s="9">
        <f t="shared" si="31"/>
        <v>1.8028080000000002</v>
      </c>
      <c r="O43" s="9">
        <f t="shared" si="31"/>
        <v>1.9406319999999999</v>
      </c>
      <c r="P43" s="9">
        <f t="shared" si="31"/>
        <v>2.4472519999999998</v>
      </c>
      <c r="Q43" s="9">
        <f t="shared" si="31"/>
        <v>2.9465720000000006</v>
      </c>
      <c r="R43" s="9">
        <f t="shared" si="31"/>
        <v>3.2651439999999998</v>
      </c>
      <c r="S43" s="9">
        <f t="shared" si="31"/>
        <v>3.5910159999999998</v>
      </c>
      <c r="T43" s="9">
        <f t="shared" si="31"/>
        <v>4.0903359999999997</v>
      </c>
      <c r="U43" s="9">
        <f t="shared" si="31"/>
        <v>4.5896559999999997</v>
      </c>
      <c r="V43" s="9">
        <f t="shared" si="31"/>
        <v>4.9155280000000001</v>
      </c>
    </row>
    <row r="44" spans="1:22" x14ac:dyDescent="0.2">
      <c r="B44" s="2">
        <v>100</v>
      </c>
      <c r="C44" s="9">
        <f t="shared" ref="C44:R47" si="32">(C28-C36*$C$66/1000)*$B$65+C36*$B$66</f>
        <v>0.66634400000000005</v>
      </c>
      <c r="D44" s="9">
        <f t="shared" si="32"/>
        <v>0.76036800000000004</v>
      </c>
      <c r="E44" s="9">
        <f t="shared" si="32"/>
        <v>0.87629199999999985</v>
      </c>
      <c r="F44" s="9">
        <f t="shared" si="32"/>
        <v>0.99221599999999988</v>
      </c>
      <c r="G44" s="9">
        <f t="shared" si="32"/>
        <v>1.1081399999999999</v>
      </c>
      <c r="H44" s="9">
        <f t="shared" si="32"/>
        <v>1.2240639999999998</v>
      </c>
      <c r="I44" s="9">
        <f t="shared" si="32"/>
        <v>1.339988</v>
      </c>
      <c r="J44" s="9">
        <f t="shared" si="32"/>
        <v>1.4988360000000001</v>
      </c>
      <c r="K44" s="9">
        <f t="shared" si="32"/>
        <v>1.8393079999999999</v>
      </c>
      <c r="L44" s="9">
        <f t="shared" si="32"/>
        <v>2.2227040000000002</v>
      </c>
      <c r="M44" s="9">
        <f t="shared" si="32"/>
        <v>2.4545519999999996</v>
      </c>
      <c r="N44" s="9">
        <f t="shared" si="32"/>
        <v>2.6863999999999999</v>
      </c>
      <c r="O44" s="9">
        <f t="shared" si="32"/>
        <v>2.9538720000000001</v>
      </c>
      <c r="P44" s="9">
        <f t="shared" si="32"/>
        <v>3.6850400000000003</v>
      </c>
      <c r="Q44" s="9">
        <f t="shared" si="32"/>
        <v>4.4162080000000001</v>
      </c>
      <c r="R44" s="9">
        <f t="shared" si="32"/>
        <v>4.9155280000000001</v>
      </c>
      <c r="S44" s="9">
        <f t="shared" si="31"/>
        <v>5.3719239999999999</v>
      </c>
      <c r="T44" s="9">
        <f t="shared" si="31"/>
        <v>6.1030919999999993</v>
      </c>
      <c r="U44" s="9">
        <f t="shared" si="31"/>
        <v>6.8342599999999996</v>
      </c>
      <c r="V44" s="9">
        <f t="shared" si="31"/>
        <v>7.3335799999999995</v>
      </c>
    </row>
    <row r="45" spans="1:22" x14ac:dyDescent="0.2">
      <c r="B45" s="2">
        <v>136</v>
      </c>
      <c r="C45" s="9">
        <f t="shared" si="32"/>
        <v>0.90549199999999996</v>
      </c>
      <c r="D45" s="9">
        <f t="shared" si="31"/>
        <v>1.028716</v>
      </c>
      <c r="E45" s="9">
        <f t="shared" si="31"/>
        <v>1.2094640000000001</v>
      </c>
      <c r="F45" s="9">
        <f t="shared" si="31"/>
        <v>1.361888</v>
      </c>
      <c r="G45" s="9">
        <f t="shared" si="31"/>
        <v>1.5426360000000001</v>
      </c>
      <c r="H45" s="9">
        <f t="shared" si="31"/>
        <v>1.6804599999999996</v>
      </c>
      <c r="I45" s="9">
        <f t="shared" si="31"/>
        <v>1.861208</v>
      </c>
      <c r="J45" s="9">
        <f t="shared" si="31"/>
        <v>2.034656</v>
      </c>
      <c r="K45" s="9">
        <f t="shared" si="31"/>
        <v>2.4910519999999998</v>
      </c>
      <c r="L45" s="9">
        <f t="shared" si="31"/>
        <v>2.9903720000000003</v>
      </c>
      <c r="M45" s="9">
        <f t="shared" si="31"/>
        <v>3.301644</v>
      </c>
      <c r="N45" s="9">
        <f t="shared" si="31"/>
        <v>3.6202160000000001</v>
      </c>
      <c r="O45" s="9">
        <f t="shared" si="31"/>
        <v>3.9387880000000002</v>
      </c>
      <c r="P45" s="9">
        <f t="shared" si="31"/>
        <v>4.9301279999999998</v>
      </c>
      <c r="Q45" s="9">
        <f t="shared" si="31"/>
        <v>5.8785439999999998</v>
      </c>
      <c r="R45" s="9">
        <f t="shared" si="31"/>
        <v>6.5586120000000001</v>
      </c>
      <c r="S45" s="9">
        <f t="shared" si="31"/>
        <v>7.1884559999999995</v>
      </c>
      <c r="T45" s="9">
        <f t="shared" si="31"/>
        <v>7.4068719999999999</v>
      </c>
      <c r="U45" s="9">
        <f t="shared" si="31"/>
        <v>9.1282120000000013</v>
      </c>
      <c r="V45" s="9">
        <f t="shared" si="31"/>
        <v>9.7653559999999988</v>
      </c>
    </row>
    <row r="46" spans="1:22" x14ac:dyDescent="0.2">
      <c r="B46" s="2">
        <v>176</v>
      </c>
      <c r="C46" s="9">
        <f t="shared" si="32"/>
        <v>1.0716399999999999</v>
      </c>
      <c r="D46" s="9">
        <f t="shared" si="31"/>
        <v>1.2523879999999998</v>
      </c>
      <c r="E46" s="9">
        <f t="shared" si="31"/>
        <v>1.4194119999999999</v>
      </c>
      <c r="F46" s="9">
        <f t="shared" si="31"/>
        <v>1.7461599999999997</v>
      </c>
      <c r="G46" s="9">
        <f t="shared" si="31"/>
        <v>1.9488080000000001</v>
      </c>
      <c r="H46" s="9">
        <f t="shared" si="31"/>
        <v>2.151456</v>
      </c>
      <c r="I46" s="9">
        <f t="shared" si="31"/>
        <v>2.3184800000000001</v>
      </c>
      <c r="J46" s="9">
        <f t="shared" si="31"/>
        <v>2.5640520000000002</v>
      </c>
      <c r="K46" s="9">
        <f t="shared" si="31"/>
        <v>3.1792959999999995</v>
      </c>
      <c r="L46" s="9">
        <f t="shared" si="31"/>
        <v>3.79454</v>
      </c>
      <c r="M46" s="9">
        <f t="shared" si="31"/>
        <v>4.2071360000000002</v>
      </c>
      <c r="N46" s="9">
        <f t="shared" si="31"/>
        <v>4.6124320000000001</v>
      </c>
      <c r="O46" s="9">
        <f t="shared" si="31"/>
        <v>5.0250279999999998</v>
      </c>
      <c r="P46" s="9">
        <f t="shared" si="31"/>
        <v>6.2555159999999992</v>
      </c>
      <c r="Q46" s="9">
        <f t="shared" si="31"/>
        <v>7.4430800000000001</v>
      </c>
      <c r="R46" s="9">
        <f t="shared" si="31"/>
        <v>8.2609720000000006</v>
      </c>
      <c r="S46" s="9">
        <f t="shared" si="31"/>
        <v>9.0861640000000001</v>
      </c>
      <c r="T46" s="9">
        <f t="shared" si="31"/>
        <v>10.316651999999999</v>
      </c>
      <c r="U46" s="9">
        <f t="shared" si="31"/>
        <v>11.547140000000001</v>
      </c>
      <c r="V46" s="9">
        <f t="shared" si="31"/>
        <v>12.365031999999999</v>
      </c>
    </row>
    <row r="47" spans="1:22" x14ac:dyDescent="0.2">
      <c r="B47" s="2">
        <v>210</v>
      </c>
      <c r="C47" s="9">
        <f t="shared" si="32"/>
        <v>1.4348879999999999</v>
      </c>
      <c r="D47" s="9">
        <f t="shared" si="31"/>
        <v>1.6375359999999999</v>
      </c>
      <c r="E47" s="9">
        <f t="shared" si="31"/>
        <v>1.8693840000000002</v>
      </c>
      <c r="F47" s="9">
        <f t="shared" si="31"/>
        <v>2.1222560000000001</v>
      </c>
      <c r="G47" s="9">
        <f t="shared" si="31"/>
        <v>2.3541039999999995</v>
      </c>
      <c r="H47" s="9">
        <f t="shared" si="31"/>
        <v>2.5859519999999998</v>
      </c>
      <c r="I47" s="9">
        <f t="shared" si="31"/>
        <v>2.8534239999999995</v>
      </c>
      <c r="J47" s="9">
        <f t="shared" si="31"/>
        <v>3.0852720000000002</v>
      </c>
      <c r="K47" s="9">
        <f t="shared" si="31"/>
        <v>3.8164400000000001</v>
      </c>
      <c r="L47" s="9">
        <f t="shared" si="31"/>
        <v>4.5476080000000003</v>
      </c>
      <c r="M47" s="9">
        <f t="shared" si="31"/>
        <v>5.0542280000000002</v>
      </c>
      <c r="N47" s="9">
        <f t="shared" si="31"/>
        <v>5.5535479999999993</v>
      </c>
      <c r="O47" s="9">
        <f t="shared" si="31"/>
        <v>6.0172440000000007</v>
      </c>
      <c r="P47" s="9">
        <f t="shared" si="31"/>
        <v>7.4795800000000003</v>
      </c>
      <c r="Q47" s="9">
        <f t="shared" si="31"/>
        <v>8.9848399999999984</v>
      </c>
      <c r="R47" s="9">
        <f t="shared" si="31"/>
        <v>9.947855999999998</v>
      </c>
      <c r="S47" s="9">
        <f t="shared" si="31"/>
        <v>10.910872000000001</v>
      </c>
      <c r="T47" s="9">
        <f t="shared" si="31"/>
        <v>12.416131999999999</v>
      </c>
      <c r="U47" s="9">
        <f t="shared" si="31"/>
        <v>13.921392000000001</v>
      </c>
      <c r="V47" s="9">
        <f t="shared" si="31"/>
        <v>14.841483999999998</v>
      </c>
    </row>
    <row r="48" spans="1:22" x14ac:dyDescent="0.2">
      <c r="C48" s="8"/>
      <c r="D48" s="8"/>
      <c r="E48" s="8"/>
      <c r="F48" s="8"/>
      <c r="G48" s="8"/>
      <c r="H48" s="8"/>
      <c r="I48" s="8"/>
      <c r="J48" s="8"/>
    </row>
    <row r="50" spans="1:101" x14ac:dyDescent="0.2">
      <c r="A50" s="2">
        <f>Gliederradiator!$B$2</f>
        <v>500</v>
      </c>
      <c r="B50" s="2" t="str">
        <f>IFERROR(ADDRESS(ROW(C2), COLUMN(C2)-1 + _xlfn.XMATCH(A50, C2:V2, 1), 4), "Kein grösserer Wert")</f>
        <v>H2</v>
      </c>
      <c r="C50" s="2" cm="1">
        <f t="array" aca="1" ref="C50" ca="1">INDEX(A:V, ROW(INDIRECT(B50)), COLUMN(INDIRECT(B50))-1)</f>
        <v>450</v>
      </c>
      <c r="D50" s="2" cm="1">
        <f t="array" aca="1" ref="D50" ca="1">INDIRECT(B50)</f>
        <v>500</v>
      </c>
      <c r="F50" s="2" t="str">
        <f>IFERROR(ADDRESS(ROW(C10), COLUMN(C10)-1 + _xlfn.XMATCH(A50, C10:V10, 1), 4), "Kein grösserer Wert")</f>
        <v>H10</v>
      </c>
      <c r="G50" s="2" cm="1">
        <f t="array" aca="1" ref="G50" ca="1">INDEX(A:V, ROW(INDIRECT(F50)), COLUMN(INDIRECT(F50))-1)</f>
        <v>450</v>
      </c>
      <c r="H50" s="2" cm="1">
        <f t="array" aca="1" ref="H50" ca="1">INDIRECT(F50)</f>
        <v>500</v>
      </c>
      <c r="I50" s="2" t="str">
        <f>IFERROR(ADDRESS(ROW(C42), COLUMN(C42)-1 + _xlfn.XMATCH(A50, C42:V42, 1), 4), "Kein grösserer Wert")</f>
        <v>H42</v>
      </c>
      <c r="J50" s="2" cm="1">
        <f t="array" aca="1" ref="J50" ca="1">INDEX(A:V, ROW(INDIRECT(I50)), COLUMN(INDIRECT(I50))-1)</f>
        <v>450</v>
      </c>
      <c r="K50" s="2" cm="1">
        <f t="array" aca="1" ref="K50" ca="1">INDIRECT(I50)</f>
        <v>500</v>
      </c>
      <c r="W50" s="2">
        <v>6.2</v>
      </c>
      <c r="X50" s="2">
        <v>11</v>
      </c>
      <c r="Y50" s="2">
        <f>Plattenradiator!$B$2</f>
        <v>1000</v>
      </c>
      <c r="Z50" s="2" t="str">
        <f>IFERROR(ADDRESS(ROW(AA2), COLUMN(AA2)-1 + _xlfn.XMATCH(Y50, AA2:AT2, 1), 4), "Kein grösserer Wert")</f>
        <v>AG2</v>
      </c>
      <c r="AA50" s="2" cm="1">
        <f t="array" aca="1" ref="AA50" ca="1">INDIRECT(ADDRESS(ROW(INDIRECT(Z50)),COLUMN(INDIRECT(Z50))-1,4))</f>
        <v>900</v>
      </c>
      <c r="AB50" s="2" cm="1">
        <f t="array" aca="1" ref="AB50" ca="1">INDIRECT(Z50)</f>
        <v>1000</v>
      </c>
      <c r="AD50" s="2" t="str">
        <f>IFERROR(ADDRESS(ROW(AA10), COLUMN(AA10)-1 + _xlfn.XMATCH(Y50, AA10:AT10, 1), 4), "Kein grösserer Wert")</f>
        <v>AG10</v>
      </c>
      <c r="AE50" s="2" cm="1">
        <f t="array" aca="1" ref="AE50" ca="1">INDIRECT(ADDRESS(ROW(INDIRECT(AD50)),COLUMN(INDIRECT(AD50))-1,4))</f>
        <v>900</v>
      </c>
      <c r="AF50" s="2" cm="1">
        <f t="array" aca="1" ref="AF50" ca="1">INDIRECT(AD50)</f>
        <v>1000</v>
      </c>
      <c r="AG50" s="2" t="str">
        <f>IFERROR(ADDRESS(ROW(AA42), COLUMN(AA42)-1 + _xlfn.XMATCH(Y50, AA42:AT42, 1), 4), "Kein grösserer Wert")</f>
        <v>AA42</v>
      </c>
      <c r="AH50" s="2" cm="1">
        <f t="array" aca="1" ref="AH50" ca="1">INDIRECT(ADDRESS(ROW(INDIRECT(AG50)),COLUMN(INDIRECT(AG50))-1,4))</f>
        <v>0</v>
      </c>
      <c r="AI50" s="2" cm="1">
        <f t="array" aca="1" ref="AI50" ca="1">INDIRECT(AG50)</f>
        <v>0</v>
      </c>
      <c r="AP50" s="2">
        <v>11</v>
      </c>
      <c r="AQ50" s="2">
        <f>Plattenradiator!$B$2</f>
        <v>1000</v>
      </c>
      <c r="AR50" s="2" t="str">
        <f>IFERROR(ADDRESS(ROW(AS2), COLUMN(AS2)-1 + _xlfn.XMATCH(AQ50, AS2:BS2, 1), 4), "Kein grösserer Wert")</f>
        <v>AU2</v>
      </c>
      <c r="AS50" s="2" cm="1">
        <f t="array" aca="1" ref="AS50" ca="1">INDIRECT(ADDRESS(ROW(INDIRECT(AR50)),COLUMN(INDIRECT(AR50))-1,4))</f>
        <v>600</v>
      </c>
      <c r="AT50" s="2" cm="1">
        <f t="array" aca="1" ref="AT50" ca="1">INDIRECT(AR50)</f>
        <v>0</v>
      </c>
      <c r="AU50" s="2" t="str">
        <f>IFERROR(ADDRESS(ROW(AS10), COLUMN(AS10)-1 + _xlfn.XMATCH(AQ50, AS10:BS10, 1), 4), "Kein grösserer Wert")</f>
        <v>AU10</v>
      </c>
      <c r="AV50" s="2" cm="1">
        <f t="array" aca="1" ref="AV50" ca="1">INDIRECT(ADDRESS(ROW(INDIRECT(AU50)),COLUMN(INDIRECT(AU50))-1,4))</f>
        <v>600</v>
      </c>
      <c r="AW50" s="2" cm="1">
        <f t="array" aca="1" ref="AW50" ca="1">INDIRECT(AU50)</f>
        <v>0</v>
      </c>
      <c r="AX50" s="2" t="str">
        <f>IFERROR(ADDRESS(ROW(AS42), COLUMN(AS42)-1 + _xlfn.XMATCH(AQ50, AS42:BS42, 1), 4), "Kein grösserer Wert")</f>
        <v>AS42</v>
      </c>
      <c r="AY50" s="2" cm="1">
        <f t="array" aca="1" ref="AY50" ca="1">INDIRECT(ADDRESS(ROW(INDIRECT(AX50)),COLUMN(INDIRECT(AX50))-1,4))</f>
        <v>0</v>
      </c>
      <c r="AZ50" s="2" cm="1">
        <f t="array" aca="1" ref="AZ50" ca="1">INDIRECT(AX50)</f>
        <v>0</v>
      </c>
      <c r="BC50" s="2">
        <v>11</v>
      </c>
      <c r="BD50" s="2">
        <f>Plattenradiator!$B$2</f>
        <v>1000</v>
      </c>
      <c r="BE50" s="2" t="str">
        <f>IFERROR(ADDRESS(ROW(BF2), COLUMN(BF2)-1 + _xlfn.XMATCH(BD50, BF2:CF2, 1), 4), "Kein grösserer Wert")</f>
        <v>BT2</v>
      </c>
      <c r="BF50" s="2" cm="1">
        <f t="array" aca="1" ref="BF50" ca="1">INDIRECT(ADDRESS(ROW(INDIRECT(BE50)),COLUMN(INDIRECT(BE50))-1,4))</f>
        <v>220</v>
      </c>
      <c r="BG50" s="2" cm="1">
        <f t="array" aca="1" ref="BG50" ca="1">INDIRECT(BE50)</f>
        <v>0</v>
      </c>
      <c r="BH50" s="2" t="str">
        <f>IFERROR(ADDRESS(ROW(BF10), COLUMN(BF10)-1 + _xlfn.XMATCH(BD50, BF10:CF10, 1), 4), "Kein grösserer Wert")</f>
        <v>BT10</v>
      </c>
      <c r="BI50" s="2" cm="1">
        <f t="array" aca="1" ref="BI50" ca="1">INDIRECT(ADDRESS(ROW(INDIRECT(BH50)),COLUMN(INDIRECT(BH50))-1,4))</f>
        <v>220</v>
      </c>
      <c r="BJ50" s="2" cm="1">
        <f t="array" aca="1" ref="BJ50" ca="1">INDIRECT(BH50)</f>
        <v>0</v>
      </c>
      <c r="BK50" s="2" t="str">
        <f>IFERROR(ADDRESS(ROW(BF42), COLUMN(BF42)-1 + _xlfn.XMATCH(BD50, BF42:CF42, 1), 4), "Kein grösserer Wert")</f>
        <v>BF42</v>
      </c>
      <c r="BL50" s="2" cm="1">
        <f t="array" aca="1" ref="BL50" ca="1">INDIRECT(ADDRESS(ROW(INDIRECT(BK50)),COLUMN(INDIRECT(BK50))-1,4))</f>
        <v>0</v>
      </c>
      <c r="BM50" s="2" cm="1">
        <f t="array" aca="1" ref="BM50" ca="1">INDIRECT(BK50)</f>
        <v>0</v>
      </c>
      <c r="BU50" s="2">
        <v>11</v>
      </c>
      <c r="BV50" s="2">
        <f>Plattenradiator!$B$2</f>
        <v>1000</v>
      </c>
      <c r="BW50" s="2" t="str">
        <f>IFERROR(ADDRESS(ROW(BX2), COLUMN(BX2)-1 + _xlfn.XMATCH(BV50, BX2:CX2, 1), 4), "Kein grösserer Wert")</f>
        <v>CL2</v>
      </c>
      <c r="BX50" s="2" cm="1">
        <f t="array" aca="1" ref="BX50" ca="1">INDIRECT(ADDRESS(ROW(INDIRECT(BW50)),COLUMN(INDIRECT(BW50))-1,4))</f>
        <v>220</v>
      </c>
      <c r="BY50" s="2" cm="1">
        <f t="array" aca="1" ref="BY50" ca="1">INDIRECT(BW50)</f>
        <v>0</v>
      </c>
      <c r="BZ50" s="2" t="str">
        <f>IFERROR(ADDRESS(ROW(BX10), COLUMN(BX10)-1 + _xlfn.XMATCH(BV50, BX10:CX10, 1), 4), "Kein grösserer Wert")</f>
        <v>CL10</v>
      </c>
      <c r="CA50" s="2" cm="1">
        <f t="array" aca="1" ref="CA50" ca="1">INDIRECT(ADDRESS(ROW(INDIRECT(BZ50)),COLUMN(INDIRECT(BZ50))-1,4))</f>
        <v>220</v>
      </c>
      <c r="CB50" s="2" cm="1">
        <f t="array" aca="1" ref="CB50" ca="1">INDIRECT(BZ50)</f>
        <v>0</v>
      </c>
      <c r="CC50" s="2" t="str">
        <f>IFERROR(ADDRESS(ROW(BX42), COLUMN(BX42)-1 + _xlfn.XMATCH(BV50, BX42:CX42, 1), 4), "Kein grösserer Wert")</f>
        <v>BX42</v>
      </c>
      <c r="CD50" s="2" cm="1">
        <f t="array" aca="1" ref="CD50" ca="1">INDIRECT(ADDRESS(ROW(INDIRECT(CC50)),COLUMN(INDIRECT(CC50))-1,4))</f>
        <v>0</v>
      </c>
      <c r="CE50" s="2" cm="1">
        <f t="array" aca="1" ref="CE50" ca="1">INDIRECT(CC50)</f>
        <v>0</v>
      </c>
      <c r="CM50" s="2">
        <v>11</v>
      </c>
      <c r="CN50" s="2">
        <f>Plattenradiator!$B$2</f>
        <v>1000</v>
      </c>
      <c r="CO50" s="2" t="str">
        <f>IFERROR(ADDRESS(ROW(CP2), COLUMN(CP2)-1 + _xlfn.XMATCH(CN50, CP2:DP2, 1), 4), "Kein grösserer Wert")</f>
        <v>DD2</v>
      </c>
      <c r="CP50" s="2" cm="1">
        <f t="array" aca="1" ref="CP50" ca="1">INDIRECT(ADDRESS(ROW(INDIRECT(CO50)),COLUMN(INDIRECT(CO50))-1,4))</f>
        <v>220</v>
      </c>
      <c r="CQ50" s="2" cm="1">
        <f t="array" aca="1" ref="CQ50" ca="1">INDIRECT(CO50)</f>
        <v>0</v>
      </c>
      <c r="CR50" s="2" t="str">
        <f>IFERROR(ADDRESS(ROW(CP10), COLUMN(CP10)-1 + _xlfn.XMATCH(CN50, CP10:DP10, 1), 4), "Kein grösserer Wert")</f>
        <v>DD10</v>
      </c>
      <c r="CS50" s="2" cm="1">
        <f t="array" aca="1" ref="CS50" ca="1">INDIRECT(ADDRESS(ROW(INDIRECT(CR50)),COLUMN(INDIRECT(CR50))-1,4))</f>
        <v>220</v>
      </c>
      <c r="CT50" s="2" cm="1">
        <f t="array" aca="1" ref="CT50" ca="1">INDIRECT(CR50)</f>
        <v>0</v>
      </c>
      <c r="CU50" s="2" t="str">
        <f>IFERROR(ADDRESS(ROW(CP42), COLUMN(CP42)-1 + _xlfn.XMATCH(CN50, CP42:DP42, 1), 4), "Kein grösserer Wert")</f>
        <v>CP42</v>
      </c>
      <c r="CV50" s="2" cm="1">
        <f t="array" aca="1" ref="CV50" ca="1">INDIRECT(ADDRESS(ROW(INDIRECT(CU50)),COLUMN(INDIRECT(CU50))-1,4))</f>
        <v>0</v>
      </c>
      <c r="CW50" s="2" cm="1">
        <f t="array" aca="1" ref="CW50" ca="1">INDIRECT(CU50)</f>
        <v>0</v>
      </c>
    </row>
    <row r="51" spans="1:101" x14ac:dyDescent="0.2">
      <c r="A51" s="2">
        <f>Gliederradiator!$B$3</f>
        <v>136</v>
      </c>
      <c r="B51" s="2" t="str">
        <f>IFERROR(ADDRESS(ROW(B3)-1 + _xlfn.XMATCH(A51,B3:B7,1),COLUMN(B3),4),"Kein grösserer Wert")</f>
        <v>B5</v>
      </c>
      <c r="C51" s="2" cm="1">
        <f t="array" aca="1" ref="C51" ca="1">INDEX(A:V, ROW(INDIRECT(B51)), COLUMN(INDIRECT(B50)))</f>
        <v>67.599999999999994</v>
      </c>
      <c r="D51" s="2" cm="1">
        <f t="array" aca="1" ref="D51" ca="1">INDIRECT(B51)</f>
        <v>136</v>
      </c>
      <c r="F51" s="2" t="str">
        <f>IFERROR(ADDRESS(ROW(B11)-1 + _xlfn.XMATCH(A51,B11:B15,1),COLUMN(B11),4),"Kein grösserer Wert")</f>
        <v>B13</v>
      </c>
      <c r="G51" s="2" cm="1">
        <f t="array" aca="1" ref="G51" ca="1">INDEX(A:V, ROW(INDIRECT(F51))-1, COLUMN(INDIRECT(F51)))</f>
        <v>100</v>
      </c>
      <c r="H51" s="2" cm="1">
        <f t="array" aca="1" ref="H51" ca="1">INDIRECT(F51)</f>
        <v>136</v>
      </c>
      <c r="I51" s="2" t="str">
        <f>IFERROR(ADDRESS(ROW(B43)-1 + _xlfn.XMATCH(A51,B43:B47,1),COLUMN(B43),4),"Kein grösserer Wert")</f>
        <v>B45</v>
      </c>
      <c r="J51" s="2" cm="1">
        <f t="array" aca="1" ref="J51" ca="1">INDEX(A:V, ROW(INDIRECT(I51))-1, COLUMN(INDIRECT(I51)))</f>
        <v>100</v>
      </c>
      <c r="K51" s="2" cm="1">
        <f t="array" aca="1" ref="K51" ca="1">INDIRECT(I51)</f>
        <v>136</v>
      </c>
      <c r="W51" s="2">
        <v>6.6</v>
      </c>
      <c r="X51" s="2">
        <v>20</v>
      </c>
      <c r="Y51" s="2">
        <f>Plattenradiator!$B$1</f>
        <v>500</v>
      </c>
      <c r="Z51" s="2" t="str">
        <f>IFERROR(ADDRESS(ROW(Z3)-1 + _xlfn.XMATCH(Y51,Z3:Z7,1),COLUMN(Z3),4),"Kein grösserer Wert")</f>
        <v>Z5</v>
      </c>
      <c r="AA51" s="2" cm="1">
        <f t="array" aca="1" ref="AA51" ca="1">INDIRECT(ADDRESS(ROW(INDIRECT(Z51))-1,COLUMN(INDIRECT(Z51)),4))</f>
        <v>400</v>
      </c>
      <c r="AB51" s="2" cm="1">
        <f t="array" aca="1" ref="AB51" ca="1">INDIRECT(Z51)</f>
        <v>500</v>
      </c>
      <c r="AD51" s="2" t="str">
        <f>IFERROR(ADDRESS(ROW(Z11)-1 + _xlfn.XMATCH(Y51,Z11:Z15,1),COLUMN(Z11),4),"Kein grösserer Wert")</f>
        <v>Z13</v>
      </c>
      <c r="AE51" s="2" cm="1">
        <f t="array" aca="1" ref="AE51" ca="1">INDIRECT(ADDRESS(ROW(INDIRECT(AD51))-1,COLUMN(INDIRECT(AD51)),4))</f>
        <v>400</v>
      </c>
      <c r="AF51" s="2" cm="1">
        <f t="array" aca="1" ref="AF51" ca="1">INDIRECT(AD51)</f>
        <v>500</v>
      </c>
      <c r="AG51" s="2" t="str">
        <f>IFERROR(ADDRESS(ROW(Z43)-1 + _xlfn.XMATCH(Y51,Z43:Z47,1),COLUMN(Z43),4),"Kein grösserer Wert")</f>
        <v>Z43</v>
      </c>
      <c r="AH51" s="2" cm="1">
        <f t="array" aca="1" ref="AH51" ca="1">INDIRECT(ADDRESS(ROW(INDIRECT(AG51))-1,COLUMN(INDIRECT(AG51)),4))</f>
        <v>0</v>
      </c>
      <c r="AI51" s="2" cm="1">
        <f t="array" aca="1" ref="AI51" ca="1">INDIRECT(AG51)</f>
        <v>0</v>
      </c>
      <c r="AP51" s="2">
        <v>20</v>
      </c>
      <c r="AQ51" s="2">
        <f>Plattenradiator!$B$1</f>
        <v>500</v>
      </c>
      <c r="AR51" s="2" t="str">
        <f>IFERROR(ADDRESS(ROW(AR3)-1 + _xlfn.XMATCH(AQ51,AR3:AR7,1),COLUMN(AR3),4),"Kein grösserer Wert")</f>
        <v>AR3</v>
      </c>
      <c r="AS51" s="2" cm="1">
        <f t="array" aca="1" ref="AS51" ca="1">INDIRECT(ADDRESS(ROW(INDIRECT(AR51))-1,COLUMN(INDIRECT(AR51)),4))</f>
        <v>0</v>
      </c>
      <c r="AT51" s="2" cm="1">
        <f t="array" aca="1" ref="AT51" ca="1">INDIRECT(AR51)</f>
        <v>1600</v>
      </c>
      <c r="AU51" s="2" t="str">
        <f>IFERROR(ADDRESS(ROW(AR11)-1 + _xlfn.XMATCH(AQ51,AR11:AR15,1),COLUMN(AR11),4),"Kein grösserer Wert")</f>
        <v>AR11</v>
      </c>
      <c r="AV51" s="2" cm="1">
        <f t="array" aca="1" ref="AV51" ca="1">INDIRECT(ADDRESS(ROW(INDIRECT(AU51))-1,COLUMN(INDIRECT(AU51)),4))</f>
        <v>0</v>
      </c>
      <c r="AW51" s="2" cm="1">
        <f t="array" aca="1" ref="AW51" ca="1">INDIRECT(AU51)</f>
        <v>1600</v>
      </c>
      <c r="AX51" s="2" t="str">
        <f>IFERROR(ADDRESS(ROW(AR43)-1 + _xlfn.XMATCH(AQ51,AR43:AR47,1),COLUMN(AR43),4),"Kein grösserer Wert")</f>
        <v>AR43</v>
      </c>
      <c r="AY51" s="2" cm="1">
        <f t="array" aca="1" ref="AY51" ca="1">INDIRECT(ADDRESS(ROW(INDIRECT(AX51))-1,COLUMN(INDIRECT(AX51)),4))</f>
        <v>0</v>
      </c>
      <c r="AZ51" s="2" cm="1">
        <f t="array" aca="1" ref="AZ51" ca="1">INDIRECT(AX51)</f>
        <v>0</v>
      </c>
      <c r="BC51" s="2">
        <v>20</v>
      </c>
      <c r="BD51" s="2">
        <f>Plattenradiator!$B$1</f>
        <v>500</v>
      </c>
      <c r="BE51" s="2" t="str">
        <f>IFERROR(ADDRESS(ROW(BE3)-1 + _xlfn.XMATCH(BD51,BE3:BE7,1),COLUMN(BE3),4),"Kein grösserer Wert")</f>
        <v>Kein grösserer Wert</v>
      </c>
      <c r="BF51" s="2" t="e" cm="1">
        <f t="array" aca="1" ref="BF51" ca="1">INDIRECT(ADDRESS(ROW(INDIRECT(BE51))-1,COLUMN(INDIRECT(BE51)),4))</f>
        <v>#REF!</v>
      </c>
      <c r="BG51" s="2" t="e" cm="1">
        <f t="array" aca="1" ref="BG51" ca="1">INDIRECT(BE51)</f>
        <v>#REF!</v>
      </c>
      <c r="BH51" s="2" t="str">
        <f>IFERROR(ADDRESS(ROW(BE11)-1 + _xlfn.XMATCH(BD51,BE11:BE15,1),COLUMN(BE11),4),"Kein grösserer Wert")</f>
        <v>Kein grösserer Wert</v>
      </c>
      <c r="BI51" s="2" t="e" cm="1">
        <f t="array" aca="1" ref="BI51" ca="1">INDIRECT(ADDRESS(ROW(INDIRECT(BH51))-1,COLUMN(INDIRECT(BH51)),4))</f>
        <v>#REF!</v>
      </c>
      <c r="BJ51" s="2" t="e" cm="1">
        <f t="array" aca="1" ref="BJ51" ca="1">INDIRECT(BH51)</f>
        <v>#REF!</v>
      </c>
      <c r="BK51" s="2" t="str">
        <f>IFERROR(ADDRESS(ROW(BE43)-1 + _xlfn.XMATCH(BD51,BE43:BE47,1),COLUMN(BE43),4),"Kein grösserer Wert")</f>
        <v>BE43</v>
      </c>
      <c r="BL51" s="2" cm="1">
        <f t="array" aca="1" ref="BL51" ca="1">INDIRECT(ADDRESS(ROW(INDIRECT(BK51))-1,COLUMN(INDIRECT(BK51)),4))</f>
        <v>0</v>
      </c>
      <c r="BM51" s="2" cm="1">
        <f t="array" aca="1" ref="BM51" ca="1">INDIRECT(BK51)</f>
        <v>0</v>
      </c>
      <c r="BU51" s="2">
        <v>20</v>
      </c>
      <c r="BV51" s="2">
        <f>Plattenradiator!$B$1</f>
        <v>500</v>
      </c>
      <c r="BW51" s="2" t="str">
        <f>IFERROR(ADDRESS(ROW(BW3)-1 + _xlfn.XMATCH(BV51,BW3:BW7,1),COLUMN(BW3),4),"Kein grösserer Wert")</f>
        <v>Kein grösserer Wert</v>
      </c>
      <c r="BX51" s="2" t="e" cm="1">
        <f t="array" aca="1" ref="BX51" ca="1">INDIRECT(ADDRESS(ROW(INDIRECT(BW51))-1,COLUMN(INDIRECT(BW51)),4))</f>
        <v>#REF!</v>
      </c>
      <c r="BY51" s="2" t="e" cm="1">
        <f t="array" aca="1" ref="BY51" ca="1">INDIRECT(BW51)</f>
        <v>#REF!</v>
      </c>
      <c r="BZ51" s="2" t="str">
        <f>IFERROR(ADDRESS(ROW(BW11)-1 + _xlfn.XMATCH(BV51,BW11:BW15,1),COLUMN(BW11),4),"Kein grösserer Wert")</f>
        <v>Kein grösserer Wert</v>
      </c>
      <c r="CA51" s="2" t="e" cm="1">
        <f t="array" aca="1" ref="CA51" ca="1">INDIRECT(ADDRESS(ROW(INDIRECT(BZ51))-1,COLUMN(INDIRECT(BZ51)),4))</f>
        <v>#REF!</v>
      </c>
      <c r="CB51" s="2" t="e" cm="1">
        <f t="array" aca="1" ref="CB51" ca="1">INDIRECT(BZ51)</f>
        <v>#REF!</v>
      </c>
      <c r="CC51" s="2" t="str">
        <f>IFERROR(ADDRESS(ROW(BW43)-1 + _xlfn.XMATCH(BV51,BW43:BW47,1),COLUMN(BW43),4),"Kein grösserer Wert")</f>
        <v>BW43</v>
      </c>
      <c r="CD51" s="2" cm="1">
        <f t="array" aca="1" ref="CD51" ca="1">INDIRECT(ADDRESS(ROW(INDIRECT(CC51))-1,COLUMN(INDIRECT(CC51)),4))</f>
        <v>0</v>
      </c>
      <c r="CE51" s="2" cm="1">
        <f t="array" aca="1" ref="CE51" ca="1">INDIRECT(CC51)</f>
        <v>0</v>
      </c>
      <c r="CM51" s="2">
        <v>20</v>
      </c>
      <c r="CN51" s="2">
        <f>Plattenradiator!$B$1</f>
        <v>500</v>
      </c>
      <c r="CO51" s="2" t="str">
        <f>IFERROR(ADDRESS(ROW(CO3)-1 + _xlfn.XMATCH(CN51,CO3:CO7,1),COLUMN(CO3),4),"Kein grösserer Wert")</f>
        <v>Kein grösserer Wert</v>
      </c>
      <c r="CP51" s="2" t="e" cm="1">
        <f t="array" aca="1" ref="CP51" ca="1">INDIRECT(ADDRESS(ROW(INDIRECT(CO51))-1,COLUMN(INDIRECT(CO51)),4))</f>
        <v>#REF!</v>
      </c>
      <c r="CQ51" s="2" t="e" cm="1">
        <f t="array" aca="1" ref="CQ51" ca="1">INDIRECT(CO51)</f>
        <v>#REF!</v>
      </c>
      <c r="CR51" s="2" t="str">
        <f>IFERROR(ADDRESS(ROW(CO11)-1 + _xlfn.XMATCH(CN51,CO11:CO15,1),COLUMN(CO11),4),"Kein grösserer Wert")</f>
        <v>Kein grösserer Wert</v>
      </c>
      <c r="CS51" s="2" t="e" cm="1">
        <f t="array" aca="1" ref="CS51" ca="1">INDIRECT(ADDRESS(ROW(INDIRECT(CR51))-1,COLUMN(INDIRECT(CR51)),4))</f>
        <v>#REF!</v>
      </c>
      <c r="CT51" s="2" t="e" cm="1">
        <f t="array" aca="1" ref="CT51" ca="1">INDIRECT(CR51)</f>
        <v>#REF!</v>
      </c>
      <c r="CU51" s="2" t="str">
        <f>IFERROR(ADDRESS(ROW(CO43)-1 + _xlfn.XMATCH(CN51,CO43:CO47,1),COLUMN(CO43),4),"Kein grösserer Wert")</f>
        <v>CO43</v>
      </c>
      <c r="CV51" s="2" cm="1">
        <f t="array" aca="1" ref="CV51" ca="1">INDIRECT(ADDRESS(ROW(INDIRECT(CU51))-1,COLUMN(INDIRECT(CU51)),4))</f>
        <v>0</v>
      </c>
      <c r="CW51" s="2" cm="1">
        <f t="array" aca="1" ref="CW51" ca="1">INDIRECT(CU51)</f>
        <v>0</v>
      </c>
    </row>
    <row r="52" spans="1:101" x14ac:dyDescent="0.2">
      <c r="A52" s="3">
        <f ca="1">C52 + (A50-C50)/(D50-C50)*(D52-C52)*0.5 + (A51-C51)/(D51-C51)*(D52-C52)*0.5</f>
        <v>67.599999999999994</v>
      </c>
      <c r="C52" s="2" cm="1">
        <f t="array" aca="1" ref="C52" ca="1">INDEX(A:V, ROW(INDIRECT(B51))-1, COLUMN(INDIRECT(B50))-1)</f>
        <v>46.8</v>
      </c>
      <c r="D52" s="2" cm="1">
        <f t="array" aca="1" ref="D52" ca="1">INDEX(A:V, ROW(INDIRECT(B51)), COLUMN(INDIRECT(B50)))</f>
        <v>67.599999999999994</v>
      </c>
      <c r="G52" s="2" cm="1">
        <f t="array" aca="1" ref="G52" ca="1">INDEX(A:V, ROW(INDIRECT(F51))-1, COLUMN(INDIRECT(F50))-1)</f>
        <v>1.27</v>
      </c>
      <c r="H52" s="2" cm="1">
        <f t="array" aca="1" ref="H52" ca="1">INDEX(A:V, ROW(INDIRECT(F51)), COLUMN(INDIRECT(F50)))</f>
        <v>1.27</v>
      </c>
      <c r="J52" s="2" cm="1">
        <f t="array" aca="1" ref="J52" ca="1">INDEX(A:V, ROW(INDIRECT(I51))-1, COLUMN(INDIRECT(I50))-1)</f>
        <v>1.1081399999999999</v>
      </c>
      <c r="K52" s="2" cm="1">
        <f t="array" aca="1" ref="K52" ca="1">INDEX(A:V, ROW(INDIRECT(I51)), COLUMN(INDIRECT(I50)))</f>
        <v>1.6804599999999996</v>
      </c>
      <c r="W52" s="2">
        <v>6.6</v>
      </c>
      <c r="X52" s="2">
        <v>21</v>
      </c>
      <c r="Y52" s="3">
        <f ca="1">AA52 + (Y50-AA50)/(AB50-AA50)*(AB52-AA52)*0.5 + (Y51-AA51)/(AB51-AA51)*(AB52-AA52)*0.5</f>
        <v>7800</v>
      </c>
      <c r="AA52" s="2" cm="1">
        <f t="array" aca="1" ref="AA52" ca="1">INDIRECT(ADDRESS(ROW(INDIRECT(ADDRESS(ROW(INDIRECT(Z51))-1,COLUMN(INDIRECT(Z51)),4))),COLUMN(INDIRECT(ADDRESS(ROW(INDIRECT(Z50)),COLUMN(INDIRECT(Z50))-1,4))),4))</f>
        <v>5805</v>
      </c>
      <c r="AB52" s="2" cm="1">
        <f t="array" aca="1" ref="AB52" ca="1">INDIRECT(ADDRESS(ROW(INDIRECT(Z51)),COLUMN(INDIRECT(Z50)),4))</f>
        <v>7800</v>
      </c>
      <c r="AE52" s="2" cm="1">
        <f t="array" aca="1" ref="AE52" ca="1">INDIRECT(ADDRESS(ROW(INDIRECT(ADDRESS(ROW(INDIRECT(AD51))-1,COLUMN(INDIRECT(AD51)),4))),COLUMN(INDIRECT(ADDRESS(ROW(INDIRECT(AD50)),COLUMN(INDIRECT(AD50))-1,4))),4))</f>
        <v>1.3219000000000001</v>
      </c>
      <c r="AF52" s="2" cm="1">
        <f t="array" aca="1" ref="AF52" ca="1">INDIRECT(ADDRESS(ROW(INDIRECT(AD51)),COLUMN(INDIRECT(AD50)),4))</f>
        <v>1.3243</v>
      </c>
      <c r="AH52" s="2" cm="1">
        <f t="array" aca="1" ref="AH52" ca="1">INDIRECT(ADDRESS(ROW(INDIRECT(ADDRESS(ROW(INDIRECT(AG51))-1,COLUMN(INDIRECT(AG51)),4))),COLUMN(INDIRECT(ADDRESS(ROW(INDIRECT(AG50)),COLUMN(INDIRECT(AG50))-1,4))),4))</f>
        <v>0</v>
      </c>
      <c r="AI52" s="2" cm="1">
        <f t="array" aca="1" ref="AI52" ca="1">INDIRECT(ADDRESS(ROW(INDIRECT(AG51)),COLUMN(INDIRECT(AG50)),4))</f>
        <v>0</v>
      </c>
      <c r="AP52" s="2">
        <v>21</v>
      </c>
      <c r="AQ52" s="3">
        <f ca="1">AS52 + (AQ50-AS50)/(AT50-AS50)*(AT52-AS52)*0.5 + (AQ51-AS51)/(AT51-AS51)*(AT52-AS52)*0.5</f>
        <v>706.25</v>
      </c>
      <c r="AS52" s="2" cm="1">
        <f t="array" aca="1" ref="AS52" ca="1">INDIRECT(ADDRESS(ROW(INDIRECT(ADDRESS(ROW(INDIRECT(AR51))-1,COLUMN(INDIRECT(AR51)),4))),COLUMN(INDIRECT(ADDRESS(ROW(INDIRECT(AR50)),COLUMN(INDIRECT(AR50))-1,4))),4))</f>
        <v>600</v>
      </c>
      <c r="AT52" s="2" cm="1">
        <f t="array" aca="1" ref="AT52" ca="1">INDIRECT(ADDRESS(ROW(INDIRECT(AR51)),COLUMN(INDIRECT(AR50)),4))</f>
        <v>0</v>
      </c>
      <c r="AV52" s="2" cm="1">
        <f t="array" aca="1" ref="AV52" ca="1">INDIRECT(ADDRESS(ROW(INDIRECT(ADDRESS(ROW(INDIRECT(AU51))-1,COLUMN(INDIRECT(AU51)),4))),COLUMN(INDIRECT(ADDRESS(ROW(INDIRECT(AU50)),COLUMN(INDIRECT(AU50))-1,4))),4))</f>
        <v>600</v>
      </c>
      <c r="AW52" s="2" cm="1">
        <f t="array" aca="1" ref="AW52" ca="1">INDIRECT(ADDRESS(ROW(INDIRECT(AU51)),COLUMN(INDIRECT(AU50)),4))</f>
        <v>0</v>
      </c>
      <c r="AY52" s="2" cm="1">
        <f t="array" aca="1" ref="AY52" ca="1">INDIRECT(ADDRESS(ROW(INDIRECT(ADDRESS(ROW(INDIRECT(AX51))-1,COLUMN(INDIRECT(AX51)),4))),COLUMN(INDIRECT(ADDRESS(ROW(INDIRECT(AX50)),COLUMN(INDIRECT(AX50))-1,4))),4))</f>
        <v>0</v>
      </c>
      <c r="AZ52" s="2" cm="1">
        <f t="array" aca="1" ref="AZ52" ca="1">INDIRECT(ADDRESS(ROW(INDIRECT(AX51)),COLUMN(INDIRECT(AX50)),4))</f>
        <v>0</v>
      </c>
      <c r="BC52" s="2">
        <v>21</v>
      </c>
      <c r="BD52" s="3" t="e">
        <f ca="1">BF52 + (BD50-BF50)/(BG50-BF50)*(BG52-BF52)*0.5 + (BD51-BF51)/(BG51-BF51)*(BG52-BF52)*0.5</f>
        <v>#REF!</v>
      </c>
      <c r="BF52" s="2" t="e" cm="1">
        <f t="array" aca="1" ref="BF52" ca="1">INDIRECT(ADDRESS(ROW(INDIRECT(ADDRESS(ROW(INDIRECT(BE51))-1,COLUMN(INDIRECT(BE51)),4))),COLUMN(INDIRECT(ADDRESS(ROW(INDIRECT(BE50)),COLUMN(INDIRECT(BE50))-1,4))),4))</f>
        <v>#REF!</v>
      </c>
      <c r="BG52" s="2" t="e" cm="1">
        <f t="array" aca="1" ref="BG52" ca="1">INDIRECT(ADDRESS(ROW(INDIRECT(BE51)),COLUMN(INDIRECT(BE50)),4))</f>
        <v>#REF!</v>
      </c>
      <c r="BI52" s="2" t="e" cm="1">
        <f t="array" aca="1" ref="BI52" ca="1">INDIRECT(ADDRESS(ROW(INDIRECT(ADDRESS(ROW(INDIRECT(BH51))-1,COLUMN(INDIRECT(BH51)),4))),COLUMN(INDIRECT(ADDRESS(ROW(INDIRECT(BH50)),COLUMN(INDIRECT(BH50))-1,4))),4))</f>
        <v>#REF!</v>
      </c>
      <c r="BJ52" s="2" t="e" cm="1">
        <f t="array" aca="1" ref="BJ52" ca="1">INDIRECT(ADDRESS(ROW(INDIRECT(BH51)),COLUMN(INDIRECT(BH50)),4))</f>
        <v>#REF!</v>
      </c>
      <c r="BL52" s="2" cm="1">
        <f t="array" aca="1" ref="BL52" ca="1">INDIRECT(ADDRESS(ROW(INDIRECT(ADDRESS(ROW(INDIRECT(BK51))-1,COLUMN(INDIRECT(BK51)),4))),COLUMN(INDIRECT(ADDRESS(ROW(INDIRECT(BK50)),COLUMN(INDIRECT(BK50))-1,4))),4))</f>
        <v>0</v>
      </c>
      <c r="BM52" s="2" cm="1">
        <f t="array" aca="1" ref="BM52" ca="1">INDIRECT(ADDRESS(ROW(INDIRECT(BK51)),COLUMN(INDIRECT(BK50)),4))</f>
        <v>0</v>
      </c>
      <c r="BU52" s="2">
        <v>21</v>
      </c>
      <c r="BV52" s="3" t="e">
        <f ca="1">BX52 + (BV50-BX50)/(BY50-BX50)*(BY52-BX52)*0.5 + (BV51-BX51)/(BY51-BX51)*(BY52-BX52)*0.5</f>
        <v>#REF!</v>
      </c>
      <c r="BX52" s="2" t="e" cm="1">
        <f t="array" aca="1" ref="BX52" ca="1">INDIRECT(ADDRESS(ROW(INDIRECT(ADDRESS(ROW(INDIRECT(BW51))-1,COLUMN(INDIRECT(BW51)),4))),COLUMN(INDIRECT(ADDRESS(ROW(INDIRECT(BW50)),COLUMN(INDIRECT(BW50))-1,4))),4))</f>
        <v>#REF!</v>
      </c>
      <c r="BY52" s="2" t="e" cm="1">
        <f t="array" aca="1" ref="BY52" ca="1">INDIRECT(ADDRESS(ROW(INDIRECT(BW51)),COLUMN(INDIRECT(BW50)),4))</f>
        <v>#REF!</v>
      </c>
      <c r="CA52" s="2" t="e" cm="1">
        <f t="array" aca="1" ref="CA52" ca="1">INDIRECT(ADDRESS(ROW(INDIRECT(ADDRESS(ROW(INDIRECT(BZ51))-1,COLUMN(INDIRECT(BZ51)),4))),COLUMN(INDIRECT(ADDRESS(ROW(INDIRECT(BZ50)),COLUMN(INDIRECT(BZ50))-1,4))),4))</f>
        <v>#REF!</v>
      </c>
      <c r="CB52" s="2" t="e" cm="1">
        <f t="array" aca="1" ref="CB52" ca="1">INDIRECT(ADDRESS(ROW(INDIRECT(BZ51)),COLUMN(INDIRECT(BZ50)),4))</f>
        <v>#REF!</v>
      </c>
      <c r="CD52" s="2" cm="1">
        <f t="array" aca="1" ref="CD52" ca="1">INDIRECT(ADDRESS(ROW(INDIRECT(ADDRESS(ROW(INDIRECT(CC51))-1,COLUMN(INDIRECT(CC51)),4))),COLUMN(INDIRECT(ADDRESS(ROW(INDIRECT(CC50)),COLUMN(INDIRECT(CC50))-1,4))),4))</f>
        <v>0</v>
      </c>
      <c r="CE52" s="2" cm="1">
        <f t="array" aca="1" ref="CE52" ca="1">INDIRECT(ADDRESS(ROW(INDIRECT(CC51)),COLUMN(INDIRECT(CC50)),4))</f>
        <v>0</v>
      </c>
      <c r="CM52" s="2">
        <v>21</v>
      </c>
      <c r="CN52" s="3" t="e">
        <f ca="1">CP52 + (CN50-CP50)/(CQ50-CP50)*(CQ52-CP52)*0.5 + (CN51-CP51)/(CQ51-CP51)*(CQ52-CP52)*0.5</f>
        <v>#REF!</v>
      </c>
      <c r="CP52" s="2" t="e" cm="1">
        <f t="array" aca="1" ref="CP52" ca="1">INDIRECT(ADDRESS(ROW(INDIRECT(ADDRESS(ROW(INDIRECT(CO51))-1,COLUMN(INDIRECT(CO51)),4))),COLUMN(INDIRECT(ADDRESS(ROW(INDIRECT(CO50)),COLUMN(INDIRECT(CO50))-1,4))),4))</f>
        <v>#REF!</v>
      </c>
      <c r="CQ52" s="2" t="e" cm="1">
        <f t="array" aca="1" ref="CQ52" ca="1">INDIRECT(ADDRESS(ROW(INDIRECT(CO51)),COLUMN(INDIRECT(CO50)),4))</f>
        <v>#REF!</v>
      </c>
      <c r="CS52" s="2" t="e" cm="1">
        <f t="array" aca="1" ref="CS52" ca="1">INDIRECT(ADDRESS(ROW(INDIRECT(ADDRESS(ROW(INDIRECT(CR51))-1,COLUMN(INDIRECT(CR51)),4))),COLUMN(INDIRECT(ADDRESS(ROW(INDIRECT(CR50)),COLUMN(INDIRECT(CR50))-1,4))),4))</f>
        <v>#REF!</v>
      </c>
      <c r="CT52" s="2" t="e" cm="1">
        <f t="array" aca="1" ref="CT52" ca="1">INDIRECT(ADDRESS(ROW(INDIRECT(CR51)),COLUMN(INDIRECT(CR50)),4))</f>
        <v>#REF!</v>
      </c>
      <c r="CV52" s="2" cm="1">
        <f t="array" aca="1" ref="CV52" ca="1">INDIRECT(ADDRESS(ROW(INDIRECT(ADDRESS(ROW(INDIRECT(CU51))-1,COLUMN(INDIRECT(CU51)),4))),COLUMN(INDIRECT(ADDRESS(ROW(INDIRECT(CU50)),COLUMN(INDIRECT(CU50))-1,4))),4))</f>
        <v>0</v>
      </c>
      <c r="CW52" s="2" cm="1">
        <f t="array" aca="1" ref="CW52" ca="1">INDIRECT(ADDRESS(ROW(INDIRECT(CU51)),COLUMN(INDIRECT(CU50)),4))</f>
        <v>0</v>
      </c>
    </row>
    <row r="53" spans="1:101" x14ac:dyDescent="0.2">
      <c r="A53" s="3">
        <f ca="1">C53 + (A50-C50)/(D50-C50)*(D53-C53)*0.5 + (A51-C51)/(D51-C51)*(D53-C53)*0.5</f>
        <v>1.27</v>
      </c>
      <c r="C53" s="2" cm="1">
        <f t="array" aca="1" ref="C53" ca="1">INDEX(A:V, ROW(INDIRECT(F51))-1, COLUMN(INDIRECT(F50))-1)</f>
        <v>1.27</v>
      </c>
      <c r="D53" s="2" cm="1">
        <f t="array" aca="1" ref="D53" ca="1">INDEX(A:Z, ROW(INDIRECT(F51)), COLUMN(INDIRECT(F50)))</f>
        <v>1.27</v>
      </c>
      <c r="W53" s="2">
        <v>10.199999999999999</v>
      </c>
      <c r="X53" s="2">
        <v>22</v>
      </c>
      <c r="Y53" s="3">
        <f ca="1">AA53 + (Y50-AA50)/(AB50-AA50)*(AB53-AA53)*0.5 + (Y51-AA51)/(AB51-AA51)*(AB53-AA53)*0.5</f>
        <v>1.3243</v>
      </c>
      <c r="AA53" s="2" cm="1">
        <f t="array" aca="1" ref="AA53" ca="1">INDIRECT(ADDRESS(ROW(INDIRECT(ADDRESS(ROW(INDIRECT(AD51))-1,COLUMN(INDIRECT(AD51)),4))),COLUMN(INDIRECT(ADDRESS(ROW(INDIRECT(AD50)),COLUMN(INDIRECT(AD50))-1,4))),4))</f>
        <v>1.3219000000000001</v>
      </c>
      <c r="AB53" s="2" cm="1">
        <f t="array" aca="1" ref="AB53" ca="1">INDIRECT(ADDRESS(ROW(INDIRECT(AD51)),COLUMN(INDIRECT(AD50)),4))</f>
        <v>1.3243</v>
      </c>
      <c r="AP53" s="2">
        <v>22</v>
      </c>
      <c r="AQ53" s="3">
        <f ca="1">AS53 + (AQ50-AS50)/(AT50-AS50)*(AT53-AS53)*0.5 + (AQ51-AS51)/(AT51-AS51)*(AT53-AS53)*0.5</f>
        <v>706.25</v>
      </c>
      <c r="AS53" s="2" cm="1">
        <f t="array" aca="1" ref="AS53" ca="1">INDIRECT(ADDRESS(ROW(INDIRECT(ADDRESS(ROW(INDIRECT(AU51))-1,COLUMN(INDIRECT(AU51)),4))),COLUMN(INDIRECT(ADDRESS(ROW(INDIRECT(AU50)),COLUMN(INDIRECT(AU50))-1,4))),4))</f>
        <v>600</v>
      </c>
      <c r="AT53" s="2" cm="1">
        <f t="array" aca="1" ref="AT53" ca="1">INDIRECT(ADDRESS(ROW(INDIRECT(AU51)),COLUMN(INDIRECT(AU50)),4))</f>
        <v>0</v>
      </c>
      <c r="BC53" s="2">
        <v>22</v>
      </c>
      <c r="BD53" s="3" t="e">
        <f ca="1">BF53 + (BD50-BF50)/(BG50-BF50)*(BG53-BF53)*0.5 + (BD51-BF51)/(BG51-BF51)*(BG53-BF53)*0.5</f>
        <v>#REF!</v>
      </c>
      <c r="BF53" s="2" t="e" cm="1">
        <f t="array" aca="1" ref="BF53" ca="1">INDIRECT(ADDRESS(ROW(INDIRECT(ADDRESS(ROW(INDIRECT(BH51))-1,COLUMN(INDIRECT(BH51)),4))),COLUMN(INDIRECT(ADDRESS(ROW(INDIRECT(BH50)),COLUMN(INDIRECT(BH50))-1,4))),4))</f>
        <v>#REF!</v>
      </c>
      <c r="BG53" s="2" t="e" cm="1">
        <f t="array" aca="1" ref="BG53" ca="1">INDIRECT(ADDRESS(ROW(INDIRECT(BH51)),COLUMN(INDIRECT(BH50)),4))</f>
        <v>#REF!</v>
      </c>
      <c r="BU53" s="2">
        <v>22</v>
      </c>
      <c r="BV53" s="3" t="e">
        <f ca="1">BX53 + (BV50-BX50)/(BY50-BX50)*(BY53-BX53)*0.5 + (BV51-BX51)/(BY51-BX51)*(BY53-BX53)*0.5</f>
        <v>#REF!</v>
      </c>
      <c r="BX53" s="2" t="e" cm="1">
        <f t="array" aca="1" ref="BX53" ca="1">INDIRECT(ADDRESS(ROW(INDIRECT(ADDRESS(ROW(INDIRECT(BZ51))-1,COLUMN(INDIRECT(BZ51)),4))),COLUMN(INDIRECT(ADDRESS(ROW(INDIRECT(BZ50)),COLUMN(INDIRECT(BZ50))-1,4))),4))</f>
        <v>#REF!</v>
      </c>
      <c r="BY53" s="2" t="e" cm="1">
        <f t="array" aca="1" ref="BY53" ca="1">INDIRECT(ADDRESS(ROW(INDIRECT(BZ51)),COLUMN(INDIRECT(BZ50)),4))</f>
        <v>#REF!</v>
      </c>
      <c r="CM53" s="2">
        <v>22</v>
      </c>
      <c r="CN53" s="3" t="e">
        <f ca="1">CP53 + (CN50-CP50)/(CQ50-CP50)*(CQ53-CP53)*0.5 + (CN51-CP51)/(CQ51-CP51)*(CQ53-CP53)*0.5</f>
        <v>#REF!</v>
      </c>
      <c r="CP53" s="2" t="e" cm="1">
        <f t="array" aca="1" ref="CP53" ca="1">INDIRECT(ADDRESS(ROW(INDIRECT(ADDRESS(ROW(INDIRECT(CR51))-1,COLUMN(INDIRECT(CR51)),4))),COLUMN(INDIRECT(ADDRESS(ROW(INDIRECT(CR50)),COLUMN(INDIRECT(CR50))-1,4))),4))</f>
        <v>#REF!</v>
      </c>
      <c r="CQ53" s="2" t="e" cm="1">
        <f t="array" aca="1" ref="CQ53" ca="1">INDIRECT(ADDRESS(ROW(INDIRECT(CR51)),COLUMN(INDIRECT(CR50)),4))</f>
        <v>#REF!</v>
      </c>
    </row>
    <row r="54" spans="1:101" x14ac:dyDescent="0.2">
      <c r="A54" s="10">
        <f ca="1">C54 + (A50-C50)/(D50-C50)*(D54-C54)*0.5 + (A51-C51)/(D51-C51)*(D54-C54)*0.5</f>
        <v>1.6804599999999996</v>
      </c>
      <c r="C54" s="9">
        <f ca="1">J52</f>
        <v>1.1081399999999999</v>
      </c>
      <c r="D54" s="9">
        <f ca="1">K52</f>
        <v>1.6804599999999996</v>
      </c>
      <c r="W54" s="2">
        <v>15.7</v>
      </c>
      <c r="X54" s="2">
        <v>33</v>
      </c>
      <c r="Y54" s="10">
        <f ca="1">AA54 + (Y50-AA50)/(AB50-AA50)*(AB54-AA54)*0.5 + (Y51-AA51)/(AB51-AA51)*(AB54-AA54)*0.5</f>
        <v>0</v>
      </c>
      <c r="AA54" s="9">
        <f ca="1">AH52</f>
        <v>0</v>
      </c>
      <c r="AB54" s="9">
        <f ca="1">AI52</f>
        <v>0</v>
      </c>
      <c r="AP54" s="2">
        <v>33</v>
      </c>
      <c r="AQ54" s="10">
        <f ca="1">AS54 + (AQ50-AS50)/(AT50-AS50)*(AT54-AS54)*0.5 + (AQ51-AS51)/(AT51-AS51)*(AT54-AS54)*0.5</f>
        <v>0</v>
      </c>
      <c r="AS54" s="9">
        <f ca="1">AY52</f>
        <v>0</v>
      </c>
      <c r="AT54" s="9">
        <f ca="1">AZ52</f>
        <v>0</v>
      </c>
      <c r="AU54" s="9"/>
      <c r="AV54" s="9"/>
      <c r="AW54" s="9"/>
      <c r="AX54" s="9"/>
      <c r="AY54" s="9"/>
      <c r="AZ54" s="9"/>
      <c r="BA54" s="9"/>
      <c r="BC54" s="2">
        <v>33</v>
      </c>
      <c r="BD54" s="10" t="e">
        <f ca="1">BF54 + (BD50-BF50)/(BG50-BF50)*(BG54-BF54)*0.5 + (BD51-BF51)/(BG51-BF51)*(BG54-BF54)*0.5</f>
        <v>#REF!</v>
      </c>
      <c r="BF54" s="9">
        <f ca="1">BL52</f>
        <v>0</v>
      </c>
      <c r="BG54" s="9">
        <f ca="1">BM52</f>
        <v>0</v>
      </c>
      <c r="BH54" s="9"/>
      <c r="BI54" s="9"/>
      <c r="BJ54" s="9"/>
      <c r="BK54" s="9"/>
      <c r="BL54" s="9"/>
      <c r="BM54" s="9"/>
      <c r="BU54" s="2">
        <v>33</v>
      </c>
      <c r="BV54" s="10" t="e">
        <f ca="1">BX54 + (BV50-BX50)/(BY50-BX50)*(BY54-BX54)*0.5 + (BV51-BX51)/(BY51-BX51)*(BY54-BX54)*0.5</f>
        <v>#REF!</v>
      </c>
      <c r="BX54" s="9">
        <f ca="1">CD52</f>
        <v>0</v>
      </c>
      <c r="BY54" s="9">
        <f ca="1">CE52</f>
        <v>0</v>
      </c>
      <c r="BZ54" s="9"/>
      <c r="CA54" s="9"/>
      <c r="CB54" s="9"/>
      <c r="CC54" s="9"/>
      <c r="CD54" s="9"/>
      <c r="CE54" s="9"/>
      <c r="CM54" s="2">
        <v>33</v>
      </c>
      <c r="CN54" s="10" t="e">
        <f ca="1">CP54 + (CN50-CP50)/(CQ50-CP50)*(CQ54-CP54)*0.5 + (CN51-CP51)/(CQ51-CP51)*(CQ54-CP54)*0.5</f>
        <v>#REF!</v>
      </c>
      <c r="CP54" s="9">
        <f ca="1">CV52</f>
        <v>0</v>
      </c>
      <c r="CQ54" s="9">
        <f ca="1">CW52</f>
        <v>0</v>
      </c>
      <c r="CR54" s="9"/>
      <c r="CS54" s="9"/>
      <c r="CT54" s="9"/>
      <c r="CU54" s="9"/>
      <c r="CV54" s="9"/>
      <c r="CW54" s="9"/>
    </row>
    <row r="55" spans="1:101" x14ac:dyDescent="0.2">
      <c r="A55" s="3"/>
    </row>
    <row r="57" spans="1:101" x14ac:dyDescent="0.2">
      <c r="A57" s="1" t="s">
        <v>1</v>
      </c>
    </row>
    <row r="58" spans="1:101" ht="15.75" x14ac:dyDescent="0.3">
      <c r="A58" s="1" t="s">
        <v>8</v>
      </c>
      <c r="G58" s="2">
        <f>'Basis Radiator'!F10*((Gliederradiator!B8-Gliederradiator!B9)/'Basis Radiator'!B62)^Gliederradiator!B15</f>
        <v>24.135841372146224</v>
      </c>
    </row>
    <row r="59" spans="1:101" x14ac:dyDescent="0.2">
      <c r="E59" s="2">
        <v>75</v>
      </c>
      <c r="F59" s="2">
        <v>90</v>
      </c>
    </row>
    <row r="60" spans="1:101" ht="15.75" x14ac:dyDescent="0.3">
      <c r="A60" s="1" t="s">
        <v>9</v>
      </c>
      <c r="E60" s="2">
        <v>65</v>
      </c>
      <c r="F60" s="2">
        <v>70</v>
      </c>
    </row>
    <row r="61" spans="1:101" x14ac:dyDescent="0.2">
      <c r="E61" s="2">
        <v>20</v>
      </c>
      <c r="F61" s="2">
        <v>20</v>
      </c>
    </row>
    <row r="62" spans="1:101" ht="15.75" x14ac:dyDescent="0.3">
      <c r="A62" s="1" t="s">
        <v>10</v>
      </c>
      <c r="B62" s="2">
        <f>(E59-E60)/(LN((E59-E61)/(E60-E61)))</f>
        <v>49.83288654563971</v>
      </c>
      <c r="E62" s="11">
        <f>(E59-E60)/(LN((E59-E61)/(E60-E61)))</f>
        <v>49.83288654563971</v>
      </c>
      <c r="F62" s="11">
        <f>(F59-F60)/(LN((F59-F61)/(F60-F61)))</f>
        <v>59.440268239769239</v>
      </c>
    </row>
    <row r="64" spans="1:101" x14ac:dyDescent="0.2">
      <c r="A64" s="2" t="s">
        <v>5</v>
      </c>
    </row>
    <row r="65" spans="1:4" x14ac:dyDescent="0.2">
      <c r="A65" s="2" t="s">
        <v>7</v>
      </c>
      <c r="B65" s="2">
        <v>0.73</v>
      </c>
    </row>
    <row r="66" spans="1:4" x14ac:dyDescent="0.2">
      <c r="A66" s="2" t="s">
        <v>6</v>
      </c>
      <c r="B66" s="2">
        <v>4.38</v>
      </c>
      <c r="C66" s="2">
        <v>120</v>
      </c>
      <c r="D66" s="2" t="s">
        <v>12</v>
      </c>
    </row>
    <row r="87" spans="13:14" x14ac:dyDescent="0.2">
      <c r="M87" s="2">
        <v>0.56000000000000005</v>
      </c>
      <c r="N87" s="2">
        <v>0.06</v>
      </c>
    </row>
    <row r="88" spans="13:14" x14ac:dyDescent="0.2">
      <c r="M88" s="2">
        <v>0.63</v>
      </c>
      <c r="N88" s="2">
        <v>7.0000000000000007E-2</v>
      </c>
    </row>
    <row r="89" spans="13:14" x14ac:dyDescent="0.2">
      <c r="M89" s="2">
        <v>0.73</v>
      </c>
      <c r="N89" s="2">
        <v>0.08</v>
      </c>
    </row>
    <row r="90" spans="13:14" x14ac:dyDescent="0.2">
      <c r="M90" s="2">
        <v>0.83</v>
      </c>
      <c r="N90" s="2">
        <v>0.09</v>
      </c>
    </row>
    <row r="91" spans="13:14" x14ac:dyDescent="0.2">
      <c r="M91" s="2">
        <v>0.93</v>
      </c>
      <c r="N91" s="2">
        <v>0.1</v>
      </c>
    </row>
    <row r="92" spans="13:14" x14ac:dyDescent="0.2">
      <c r="M92" s="2">
        <v>1.03</v>
      </c>
      <c r="N92" s="2">
        <v>0.11</v>
      </c>
    </row>
    <row r="93" spans="13:14" x14ac:dyDescent="0.2">
      <c r="M93" s="2">
        <v>1.1299999999999999</v>
      </c>
      <c r="N93" s="2">
        <v>0.12</v>
      </c>
    </row>
    <row r="94" spans="13:14" x14ac:dyDescent="0.2">
      <c r="M94" s="2">
        <v>1.23</v>
      </c>
      <c r="N94" s="2">
        <v>0.14000000000000001</v>
      </c>
    </row>
    <row r="95" spans="13:14" x14ac:dyDescent="0.2">
      <c r="M95" s="2">
        <v>1.52</v>
      </c>
      <c r="N95" s="2">
        <v>0.17</v>
      </c>
    </row>
    <row r="96" spans="13:14" x14ac:dyDescent="0.2">
      <c r="M96" s="2">
        <v>1.81</v>
      </c>
      <c r="N96" s="2">
        <v>0.21</v>
      </c>
    </row>
    <row r="97" spans="13:14" x14ac:dyDescent="0.2">
      <c r="M97" s="2">
        <v>2.0099999999999998</v>
      </c>
      <c r="N97" s="2">
        <v>0.23</v>
      </c>
    </row>
    <row r="98" spans="13:14" x14ac:dyDescent="0.2">
      <c r="M98" s="2">
        <v>2.21</v>
      </c>
      <c r="N98" s="2">
        <v>0.25</v>
      </c>
    </row>
    <row r="99" spans="13:14" x14ac:dyDescent="0.2">
      <c r="M99" s="2">
        <v>2.4</v>
      </c>
      <c r="N99" s="2">
        <v>0.28000000000000003</v>
      </c>
    </row>
    <row r="100" spans="13:14" x14ac:dyDescent="0.2">
      <c r="M100" s="2">
        <v>2.99</v>
      </c>
      <c r="N100" s="2">
        <v>0.35</v>
      </c>
    </row>
    <row r="101" spans="13:14" x14ac:dyDescent="0.2">
      <c r="M101" s="2">
        <v>3.58</v>
      </c>
      <c r="N101" s="2">
        <v>0.42</v>
      </c>
    </row>
    <row r="102" spans="13:14" x14ac:dyDescent="0.2">
      <c r="M102" s="2">
        <v>3.97</v>
      </c>
      <c r="N102" s="2">
        <v>0.47</v>
      </c>
    </row>
    <row r="103" spans="13:14" x14ac:dyDescent="0.2">
      <c r="M103" s="2">
        <v>4.3600000000000003</v>
      </c>
      <c r="N103" s="2">
        <v>0.51</v>
      </c>
    </row>
    <row r="104" spans="13:14" x14ac:dyDescent="0.2">
      <c r="M104" s="2">
        <v>4.95</v>
      </c>
      <c r="N104" s="2">
        <v>0.57999999999999996</v>
      </c>
    </row>
    <row r="105" spans="13:14" x14ac:dyDescent="0.2">
      <c r="M105" s="2">
        <v>5.54</v>
      </c>
      <c r="N105" s="2">
        <v>0.65</v>
      </c>
    </row>
    <row r="106" spans="13:14" x14ac:dyDescent="0.2">
      <c r="M106" s="2">
        <v>5.93</v>
      </c>
      <c r="N106" s="2">
        <v>0.7</v>
      </c>
    </row>
    <row r="107" spans="13:14" x14ac:dyDescent="0.2">
      <c r="M107" s="2">
        <v>0.77</v>
      </c>
      <c r="N107" s="2">
        <v>0.08</v>
      </c>
    </row>
    <row r="108" spans="13:14" x14ac:dyDescent="0.2">
      <c r="M108" s="2">
        <v>0.88</v>
      </c>
      <c r="N108" s="2">
        <v>0.09</v>
      </c>
    </row>
    <row r="109" spans="13:14" x14ac:dyDescent="0.2">
      <c r="M109" s="2">
        <v>1.01</v>
      </c>
      <c r="N109" s="2">
        <v>0.11</v>
      </c>
    </row>
    <row r="110" spans="13:14" x14ac:dyDescent="0.2">
      <c r="M110" s="2">
        <v>1.1599999999999999</v>
      </c>
      <c r="N110" s="2">
        <v>0.12</v>
      </c>
    </row>
    <row r="111" spans="13:14" x14ac:dyDescent="0.2">
      <c r="M111" s="2">
        <v>1.29</v>
      </c>
      <c r="N111" s="2">
        <v>0.14000000000000001</v>
      </c>
    </row>
    <row r="112" spans="13:14" x14ac:dyDescent="0.2">
      <c r="M112" s="2">
        <v>1.42</v>
      </c>
      <c r="N112" s="2">
        <v>0.15</v>
      </c>
    </row>
    <row r="113" spans="13:14" x14ac:dyDescent="0.2">
      <c r="M113" s="2">
        <v>1.55</v>
      </c>
      <c r="N113" s="2">
        <v>0.17</v>
      </c>
    </row>
    <row r="114" spans="13:14" x14ac:dyDescent="0.2">
      <c r="M114" s="2">
        <v>1.67</v>
      </c>
      <c r="N114" s="2">
        <v>0.19</v>
      </c>
    </row>
    <row r="115" spans="13:14" x14ac:dyDescent="0.2">
      <c r="M115" s="2">
        <v>2.06</v>
      </c>
      <c r="N115" s="2">
        <v>0.23</v>
      </c>
    </row>
    <row r="116" spans="13:14" x14ac:dyDescent="0.2">
      <c r="M116" s="2">
        <v>2.4500000000000002</v>
      </c>
      <c r="N116" s="2">
        <v>0.28000000000000003</v>
      </c>
    </row>
    <row r="117" spans="13:14" x14ac:dyDescent="0.2">
      <c r="M117" s="2">
        <v>2.7</v>
      </c>
      <c r="N117" s="2">
        <v>0.31</v>
      </c>
    </row>
    <row r="118" spans="13:14" x14ac:dyDescent="0.2">
      <c r="M118" s="2">
        <v>2.96</v>
      </c>
      <c r="N118" s="2">
        <v>0.34</v>
      </c>
    </row>
    <row r="119" spans="13:14" x14ac:dyDescent="0.2">
      <c r="M119" s="2">
        <v>3.22</v>
      </c>
      <c r="N119" s="2">
        <v>0.37</v>
      </c>
    </row>
    <row r="120" spans="13:14" x14ac:dyDescent="0.2">
      <c r="M120" s="2">
        <v>3.99</v>
      </c>
      <c r="N120" s="2">
        <v>0.47</v>
      </c>
    </row>
    <row r="121" spans="13:14" x14ac:dyDescent="0.2">
      <c r="M121" s="2">
        <v>4.76</v>
      </c>
      <c r="N121" s="2">
        <v>0.56000000000000005</v>
      </c>
    </row>
    <row r="122" spans="13:14" x14ac:dyDescent="0.2">
      <c r="M122" s="2">
        <v>5.28</v>
      </c>
      <c r="N122" s="2">
        <v>0.63</v>
      </c>
    </row>
    <row r="123" spans="13:14" x14ac:dyDescent="0.2">
      <c r="M123" s="2">
        <v>5.79</v>
      </c>
      <c r="N123" s="2">
        <v>0.69</v>
      </c>
    </row>
    <row r="124" spans="13:14" x14ac:dyDescent="0.2">
      <c r="M124" s="2">
        <v>5.56</v>
      </c>
      <c r="N124" s="2">
        <v>0.78</v>
      </c>
    </row>
    <row r="125" spans="13:14" x14ac:dyDescent="0.2">
      <c r="M125" s="2">
        <v>7.33</v>
      </c>
      <c r="N125" s="2">
        <v>0.88</v>
      </c>
    </row>
    <row r="126" spans="13:14" x14ac:dyDescent="0.2">
      <c r="M126" s="2">
        <v>7.85</v>
      </c>
      <c r="N126" s="2">
        <v>0.94</v>
      </c>
    </row>
    <row r="127" spans="13:14" x14ac:dyDescent="0.2">
      <c r="M127" s="2">
        <v>0.88</v>
      </c>
      <c r="N127" s="2">
        <v>0.1</v>
      </c>
    </row>
    <row r="128" spans="13:14" x14ac:dyDescent="0.2">
      <c r="M128" s="2">
        <v>1.01</v>
      </c>
      <c r="N128" s="2">
        <v>0.12</v>
      </c>
    </row>
    <row r="129" spans="13:14" x14ac:dyDescent="0.2">
      <c r="M129" s="2">
        <v>1.18</v>
      </c>
      <c r="N129" s="2">
        <v>0.13</v>
      </c>
    </row>
    <row r="130" spans="13:14" x14ac:dyDescent="0.2">
      <c r="M130" s="2">
        <v>1.51</v>
      </c>
      <c r="N130" s="2">
        <v>0.15</v>
      </c>
    </row>
    <row r="131" spans="13:14" x14ac:dyDescent="0.2">
      <c r="M131" s="2">
        <v>1.67</v>
      </c>
      <c r="N131" s="2">
        <v>0.17</v>
      </c>
    </row>
    <row r="132" spans="13:14" x14ac:dyDescent="0.2">
      <c r="M132" s="2">
        <v>1.83</v>
      </c>
      <c r="N132" s="2">
        <v>0.19</v>
      </c>
    </row>
    <row r="133" spans="13:14" x14ac:dyDescent="0.2">
      <c r="M133" s="2">
        <v>2</v>
      </c>
      <c r="N133" s="2">
        <v>0.2</v>
      </c>
    </row>
    <row r="134" spans="13:14" x14ac:dyDescent="0.2">
      <c r="M134" s="2">
        <v>2.16</v>
      </c>
      <c r="N134" s="2">
        <v>0.23</v>
      </c>
    </row>
    <row r="135" spans="13:14" x14ac:dyDescent="0.2">
      <c r="M135" s="2">
        <v>2.65</v>
      </c>
      <c r="N135" s="2">
        <v>0.28999999999999998</v>
      </c>
    </row>
    <row r="136" spans="13:14" x14ac:dyDescent="0.2">
      <c r="M136" s="2">
        <v>3.14</v>
      </c>
      <c r="N136" s="2">
        <v>0.35</v>
      </c>
    </row>
    <row r="137" spans="13:14" x14ac:dyDescent="0.2">
      <c r="M137" s="2">
        <v>3.47</v>
      </c>
      <c r="N137" s="2">
        <v>0.39</v>
      </c>
    </row>
    <row r="138" spans="13:14" x14ac:dyDescent="0.2">
      <c r="M138" s="2">
        <v>3.79</v>
      </c>
      <c r="N138" s="2">
        <v>0.43</v>
      </c>
    </row>
    <row r="139" spans="13:14" x14ac:dyDescent="0.2">
      <c r="M139" s="2">
        <v>4.12</v>
      </c>
      <c r="N139" s="2">
        <v>0.47</v>
      </c>
    </row>
    <row r="140" spans="13:14" x14ac:dyDescent="0.2">
      <c r="M140" s="2">
        <v>5.0999999999999996</v>
      </c>
      <c r="N140" s="2">
        <v>0.59</v>
      </c>
    </row>
    <row r="141" spans="13:14" x14ac:dyDescent="0.2">
      <c r="M141" s="2">
        <v>6.08</v>
      </c>
      <c r="N141" s="2">
        <v>0.7</v>
      </c>
    </row>
    <row r="142" spans="13:14" x14ac:dyDescent="0.2">
      <c r="M142" s="2">
        <v>6.73</v>
      </c>
      <c r="N142" s="2">
        <v>0.78</v>
      </c>
    </row>
    <row r="143" spans="13:14" x14ac:dyDescent="0.2">
      <c r="M143" s="2">
        <v>7.39</v>
      </c>
      <c r="N143" s="2">
        <v>0.86</v>
      </c>
    </row>
    <row r="144" spans="13:14" x14ac:dyDescent="0.2">
      <c r="M144" s="2">
        <v>8.3699999999999992</v>
      </c>
      <c r="N144" s="2">
        <v>0.98</v>
      </c>
    </row>
    <row r="145" spans="13:14" x14ac:dyDescent="0.2">
      <c r="M145" s="2">
        <v>9.35</v>
      </c>
      <c r="N145" s="2">
        <v>1.1000000000000001</v>
      </c>
    </row>
    <row r="146" spans="13:14" x14ac:dyDescent="0.2">
      <c r="M146" s="2">
        <v>10</v>
      </c>
      <c r="N146" s="2">
        <v>1.18</v>
      </c>
    </row>
    <row r="147" spans="13:14" x14ac:dyDescent="0.2">
      <c r="M147" s="2">
        <v>1.26</v>
      </c>
      <c r="N147" s="2">
        <v>0.12</v>
      </c>
    </row>
    <row r="148" spans="13:14" x14ac:dyDescent="0.2">
      <c r="M148" s="2">
        <v>1.42</v>
      </c>
      <c r="N148" s="2">
        <v>0.14000000000000001</v>
      </c>
    </row>
    <row r="149" spans="13:14" x14ac:dyDescent="0.2">
      <c r="M149" s="2">
        <v>1.62</v>
      </c>
      <c r="N149" s="2">
        <v>0.16</v>
      </c>
    </row>
    <row r="150" spans="13:14" x14ac:dyDescent="0.2">
      <c r="M150" s="2">
        <v>1.79</v>
      </c>
      <c r="N150" s="2">
        <v>0.19</v>
      </c>
    </row>
    <row r="151" spans="13:14" x14ac:dyDescent="0.2">
      <c r="M151" s="2">
        <v>1.99</v>
      </c>
      <c r="N151" s="2">
        <v>0.21</v>
      </c>
    </row>
    <row r="152" spans="13:14" x14ac:dyDescent="0.2">
      <c r="M152" s="2">
        <v>2.19</v>
      </c>
      <c r="N152" s="2">
        <v>0.23</v>
      </c>
    </row>
    <row r="153" spans="13:14" x14ac:dyDescent="0.2">
      <c r="M153" s="2">
        <v>2.38</v>
      </c>
      <c r="N153" s="2">
        <v>0.26</v>
      </c>
    </row>
    <row r="154" spans="13:14" x14ac:dyDescent="0.2">
      <c r="M154" s="2">
        <v>2.58</v>
      </c>
      <c r="N154" s="2">
        <v>0.28000000000000003</v>
      </c>
    </row>
    <row r="155" spans="13:14" x14ac:dyDescent="0.2">
      <c r="M155" s="2">
        <v>3.17</v>
      </c>
      <c r="N155" s="2">
        <v>0.35</v>
      </c>
    </row>
    <row r="156" spans="13:14" x14ac:dyDescent="0.2">
      <c r="M156" s="2">
        <v>3.76</v>
      </c>
      <c r="N156" s="2">
        <v>0.42</v>
      </c>
    </row>
    <row r="157" spans="13:14" x14ac:dyDescent="0.2">
      <c r="M157" s="2">
        <v>4.16</v>
      </c>
      <c r="N157" s="2">
        <v>0.47</v>
      </c>
    </row>
    <row r="158" spans="13:14" x14ac:dyDescent="0.2">
      <c r="M158" s="2">
        <v>4.55</v>
      </c>
      <c r="N158" s="2">
        <v>0.52</v>
      </c>
    </row>
    <row r="159" spans="13:14" x14ac:dyDescent="0.2">
      <c r="M159" s="2">
        <v>4.95</v>
      </c>
      <c r="N159" s="2">
        <v>0.56000000000000005</v>
      </c>
    </row>
    <row r="160" spans="13:14" x14ac:dyDescent="0.2">
      <c r="M160" s="2">
        <v>6.13</v>
      </c>
      <c r="N160" s="2">
        <v>0.7</v>
      </c>
    </row>
    <row r="161" spans="13:14" x14ac:dyDescent="0.2">
      <c r="M161" s="2">
        <v>7.31</v>
      </c>
      <c r="N161" s="2">
        <v>0.85</v>
      </c>
    </row>
    <row r="162" spans="13:14" x14ac:dyDescent="0.2">
      <c r="M162" s="2">
        <v>8.1</v>
      </c>
      <c r="N162" s="2">
        <v>0.94</v>
      </c>
    </row>
    <row r="163" spans="13:14" x14ac:dyDescent="0.2">
      <c r="M163" s="2">
        <v>8.89</v>
      </c>
      <c r="N163" s="2">
        <v>1.03</v>
      </c>
    </row>
    <row r="164" spans="13:14" x14ac:dyDescent="0.2">
      <c r="M164" s="2">
        <v>10.07</v>
      </c>
      <c r="N164" s="2">
        <v>1.18</v>
      </c>
    </row>
    <row r="165" spans="13:14" x14ac:dyDescent="0.2">
      <c r="M165" s="2">
        <v>11.25</v>
      </c>
      <c r="N165" s="2">
        <v>1.33</v>
      </c>
    </row>
    <row r="166" spans="13:14" x14ac:dyDescent="0.2">
      <c r="M166" s="2">
        <v>12.04</v>
      </c>
      <c r="N166" s="2">
        <v>1.41</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d4fff6d-553b-433e-8a29-970d8b83476f" xsi:nil="true"/>
    <lcf76f155ced4ddcb4097134ff3c332f xmlns="3c5a779e-8ced-491a-9b09-1e9051d04b8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BC27F6FE4FB84147A570F5EF428AC5D9" ma:contentTypeVersion="10" ma:contentTypeDescription="Ein neues Dokument erstellen." ma:contentTypeScope="" ma:versionID="12813af2b0aeac1e855558c0def48102">
  <xsd:schema xmlns:xsd="http://www.w3.org/2001/XMLSchema" xmlns:xs="http://www.w3.org/2001/XMLSchema" xmlns:p="http://schemas.microsoft.com/office/2006/metadata/properties" xmlns:ns2="3c5a779e-8ced-491a-9b09-1e9051d04b81" xmlns:ns3="7d4fff6d-553b-433e-8a29-970d8b83476f" targetNamespace="http://schemas.microsoft.com/office/2006/metadata/properties" ma:root="true" ma:fieldsID="4a4565245ab668c22075c6758ea5c5e7" ns2:_="" ns3:_="">
    <xsd:import namespace="3c5a779e-8ced-491a-9b09-1e9051d04b81"/>
    <xsd:import namespace="7d4fff6d-553b-433e-8a29-970d8b8347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a779e-8ced-491a-9b09-1e9051d04b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9a48e02a-304b-44db-a51f-647cba8d1c2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4fff6d-553b-433e-8a29-970d8b83476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c6248b9-b5d7-47ad-8155-ccd803ff8308}" ma:internalName="TaxCatchAll" ma:showField="CatchAllData" ma:web="7d4fff6d-553b-433e-8a29-970d8b8347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C8F07A-B280-4C3A-964E-5B738EB982D1}">
  <ds:schemaRefs>
    <ds:schemaRef ds:uri="http://schemas.microsoft.com/sharepoint/v3/contenttype/forms"/>
  </ds:schemaRefs>
</ds:datastoreItem>
</file>

<file path=customXml/itemProps2.xml><?xml version="1.0" encoding="utf-8"?>
<ds:datastoreItem xmlns:ds="http://schemas.openxmlformats.org/officeDocument/2006/customXml" ds:itemID="{E9CA6952-C642-499A-8FB7-02C1722CFCC2}">
  <ds:schemaRef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purl.org/dc/dcmitype/"/>
    <ds:schemaRef ds:uri="3c5a779e-8ced-491a-9b09-1e9051d04b81"/>
    <ds:schemaRef ds:uri="7d4fff6d-553b-433e-8a29-970d8b83476f"/>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6EFBC716-614E-4018-AC17-2C58823BFA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5a779e-8ced-491a-9b09-1e9051d04b81"/>
    <ds:schemaRef ds:uri="7d4fff6d-553b-433e-8a29-970d8b8347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23</vt:i4>
      </vt:variant>
    </vt:vector>
  </HeadingPairs>
  <TitlesOfParts>
    <vt:vector size="23" baseType="lpstr">
      <vt:lpstr>Anleitung</vt:lpstr>
      <vt:lpstr>Gliederradiator</vt:lpstr>
      <vt:lpstr>Plattenradiator</vt:lpstr>
      <vt:lpstr>DIN 4720 4722</vt:lpstr>
      <vt:lpstr>Eigenschaften alle</vt:lpstr>
      <vt:lpstr>Leistung alle</vt:lpstr>
      <vt:lpstr>Emissionen alle</vt:lpstr>
      <vt:lpstr>Exponent alle</vt:lpstr>
      <vt:lpstr>Buch_Krupp</vt:lpstr>
      <vt:lpstr>Wärmetransfer_Krupp</vt:lpstr>
      <vt:lpstr>Arbonia Tabelle</vt:lpstr>
      <vt:lpstr>Arbonia Original</vt:lpstr>
      <vt:lpstr>Zehnder Charl. Tabelle</vt:lpstr>
      <vt:lpstr>Zehnder Charl. clinic Tabelle</vt:lpstr>
      <vt:lpstr>Zehnder Charleston</vt:lpstr>
      <vt:lpstr>Zehnder Mehrpreis</vt:lpstr>
      <vt:lpstr>Andere Länder</vt:lpstr>
      <vt:lpstr>IRSAP Tabelle</vt:lpstr>
      <vt:lpstr>IRSAP Original</vt:lpstr>
      <vt:lpstr>Cordivari Tabelle</vt:lpstr>
      <vt:lpstr>Cordivari</vt:lpstr>
      <vt:lpstr>FIR Iron</vt:lpstr>
      <vt:lpstr>Basis Radiator</vt:lpstr>
    </vt:vector>
  </TitlesOfParts>
  <Company>Ericsson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uabjonb</dc:creator>
  <cp:lastModifiedBy>Domingo Irigoyen Silvia HSLU T&amp;A</cp:lastModifiedBy>
  <cp:lastPrinted>2025-11-06T06:32:10Z</cp:lastPrinted>
  <dcterms:created xsi:type="dcterms:W3CDTF">2009-12-11T00:00:32Z</dcterms:created>
  <dcterms:modified xsi:type="dcterms:W3CDTF">2025-11-18T16:03:49Z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2025-09-26T03:25:17Z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559b844d-f7f7-4743-9237-90e1db71cdf2</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y fmtid="{D5CDD505-2E9C-101B-9397-08002B2CF9AE}" pid="10" name="ContentTypeId">
    <vt:lpwstr>0x010100BC27F6FE4FB84147A570F5EF428AC5D9</vt:lpwstr>
  </property>
  <property fmtid="{D5CDD505-2E9C-101B-9397-08002B2CF9AE}" pid="11" name="MediaServiceImageTags">
    <vt:lpwstr/>
  </property>
</Properties>
</file>