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sheetId="2" r:id="rId5"/>
    <sheet state="visible" name="VLOOKUP &amp; HLOOKUP  " sheetId="3" r:id="rId6"/>
    <sheet state="visible" name="XLOOKUP" sheetId="4" r:id="rId7"/>
    <sheet state="visible" name="INDEX(MATCH, MATCH)" sheetId="5" r:id="rId8"/>
    <sheet state="visible" name="Text &amp; Date Functions, Round &amp; " sheetId="6" r:id="rId9"/>
    <sheet state="visible" name="Practice" sheetId="7" r:id="rId10"/>
  </sheets>
  <definedNames>
    <definedName name="results_with_index">'INDEX(MATCH, MATCH)'!$C$2:$G$210</definedName>
    <definedName name="covid">'COVID-19 Raw Data'!$A$2:$T$52</definedName>
    <definedName name="iso_code">'COVID-19 Raw Data'!$A$2:$A$52</definedName>
    <definedName name="location">'COVID-19 Raw Data'!$C$3:$C$52</definedName>
    <definedName name="total_cases_with_index">'INDEX(MATCH, MATCH)'!$D$2:$D$210</definedName>
    <definedName name="columns">'COVID-19 Raw Data'!$A$2:$T$2</definedName>
    <definedName name="covid_vlookup">'COVID-19 Raw Data'!$C$2:$T$52</definedName>
    <definedName name="covid_hlookup">'COVID-19 Raw Data'!$C$2:$T$3</definedName>
  </definedNames>
  <calcPr/>
</workbook>
</file>

<file path=xl/sharedStrings.xml><?xml version="1.0" encoding="utf-8"?>
<sst xmlns="http://schemas.openxmlformats.org/spreadsheetml/2006/main" count="2925" uniqueCount="593">
  <si>
    <t>Source</t>
  </si>
  <si>
    <t>iso_code</t>
  </si>
  <si>
    <t>continent</t>
  </si>
  <si>
    <t>location</t>
  </si>
  <si>
    <t>total_cases</t>
  </si>
  <si>
    <t>total_deaths</t>
  </si>
  <si>
    <t>people_vaccinated</t>
  </si>
  <si>
    <t>people_fully_vaccinated</t>
  </si>
  <si>
    <t>total_vaccinations</t>
  </si>
  <si>
    <t>stringency_index</t>
  </si>
  <si>
    <t>population</t>
  </si>
  <si>
    <t>population_density</t>
  </si>
  <si>
    <t>median_age</t>
  </si>
  <si>
    <t>aged_65_older</t>
  </si>
  <si>
    <t>aged_70_older</t>
  </si>
  <si>
    <t>gdp_per_capita</t>
  </si>
  <si>
    <t>female_smokers</t>
  </si>
  <si>
    <t>male_smokers</t>
  </si>
  <si>
    <t>extreme_poverty</t>
  </si>
  <si>
    <t>human_development_index</t>
  </si>
  <si>
    <t>life_expectancy</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</si>
  <si>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</si>
  <si>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</si>
  <si>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</si>
  <si>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</si>
  <si>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</si>
  <si>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</si>
  <si>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</si>
  <si>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</si>
  <si>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</si>
  <si>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</si>
  <si>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</si>
  <si>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</si>
  <si>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</si>
  <si>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</si>
  <si>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</si>
  <si>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</si>
  <si>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</si>
  <si>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</si>
  <si>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</si>
  <si>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</si>
  <si>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</si>
  <si>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</si>
  <si>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</si>
  <si>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</si>
  <si>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</si>
  <si>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</si>
  <si>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</si>
  <si>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</si>
  <si>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</si>
  <si>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</si>
  <si>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</si>
  <si>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</si>
  <si>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</si>
  <si>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</si>
  <si>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</si>
  <si>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</si>
  <si>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</si>
  <si>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</si>
  <si>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</si>
  <si>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</si>
  <si>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</si>
  <si>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</si>
  <si>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</si>
  <si>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</si>
  <si>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</si>
  <si>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</si>
  <si>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</si>
  <si>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</si>
  <si>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</si>
  <si>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</si>
  <si>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</si>
  <si>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</si>
  <si>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</si>
  <si>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</si>
  <si>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</si>
  <si>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</si>
  <si>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</si>
  <si>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</si>
  <si>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</si>
  <si>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</si>
  <si>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</si>
  <si>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</si>
  <si>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</si>
  <si>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</si>
  <si>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</si>
  <si>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</si>
  <si>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</si>
  <si>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</si>
  <si>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</si>
  <si>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</si>
  <si>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</si>
  <si>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</si>
  <si>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</si>
  <si>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</si>
  <si>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</si>
  <si>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</si>
  <si>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</si>
  <si>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</si>
  <si>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</si>
  <si>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</si>
  <si>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</si>
  <si>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</si>
  <si>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</si>
  <si>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</si>
  <si>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</si>
  <si>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</si>
  <si>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</si>
  <si>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</si>
  <si>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</si>
  <si>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</si>
  <si>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</si>
  <si>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</si>
  <si>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</si>
  <si>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</si>
  <si>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</si>
  <si>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</si>
  <si>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</si>
  <si>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</si>
  <si>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</si>
  <si>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</si>
  <si>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</si>
  <si>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</si>
  <si>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</si>
  <si>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</si>
  <si>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</si>
  <si>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</si>
  <si>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</si>
  <si>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</si>
  <si>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</si>
  <si>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</si>
  <si>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</si>
  <si>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</si>
  <si>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</si>
  <si>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</si>
  <si>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</si>
  <si>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</si>
  <si>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</si>
  <si>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</si>
  <si>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</si>
  <si>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</si>
  <si>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</si>
  <si>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</si>
  <si>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</si>
  <si>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</si>
  <si>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</si>
  <si>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</si>
  <si>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</si>
  <si>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</si>
  <si>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</si>
  <si>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</si>
  <si>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</si>
  <si>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</si>
  <si>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</si>
  <si>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</si>
  <si>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</si>
  <si>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</si>
  <si>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</si>
  <si>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</si>
  <si>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</si>
  <si>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</si>
  <si>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</si>
  <si>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</si>
  <si>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</si>
  <si>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</si>
  <si>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</si>
  <si>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</si>
  <si>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</si>
  <si>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</si>
  <si>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</si>
  <si>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</si>
  <si>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</si>
  <si>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</si>
  <si>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</si>
  <si>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</si>
  <si>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</si>
  <si>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</si>
  <si>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</si>
  <si>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</si>
  <si>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</si>
  <si>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</si>
  <si>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</si>
  <si>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</si>
  <si>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</si>
  <si>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</si>
  <si>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</si>
  <si>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</si>
  <si>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</si>
  <si>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</si>
  <si>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</si>
  <si>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</si>
  <si>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</si>
  <si>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</si>
  <si>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</si>
  <si>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</si>
  <si>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</si>
  <si>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</si>
  <si>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</si>
  <si>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</si>
  <si>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</si>
  <si>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</si>
  <si>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</si>
  <si>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</si>
  <si>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</si>
  <si>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</si>
  <si>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</si>
  <si>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</si>
  <si>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</si>
  <si>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</si>
  <si>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</si>
  <si>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</si>
  <si>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</si>
  <si>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</si>
  <si>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</si>
  <si>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</si>
  <si>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</si>
  <si>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</si>
  <si>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</si>
  <si>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</si>
  <si>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</si>
  <si>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</si>
  <si>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</si>
  <si>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</si>
  <si>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</si>
  <si>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</si>
  <si>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</si>
  <si>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</si>
  <si>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</si>
  <si>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</si>
  <si>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</si>
  <si>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</si>
  <si>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</si>
  <si>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</si>
  <si>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</si>
  <si>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</si>
  <si>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</si>
  <si>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</si>
  <si>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</si>
  <si>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</si>
  <si>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</si>
  <si>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</si>
  <si>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</si>
  <si>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</si>
  <si>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</si>
  <si>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</si>
  <si>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</si>
  <si>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</si>
  <si>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</si>
  <si>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</si>
  <si>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</si>
  <si>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</si>
  <si>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</si>
  <si>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</si>
  <si>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</si>
  <si>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</si>
  <si>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</si>
  <si>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</si>
  <si>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</si>
  <si>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</si>
  <si>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</si>
  <si>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</si>
  <si>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</si>
  <si>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</si>
  <si>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</si>
  <si>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</si>
  <si>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</si>
  <si>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</si>
  <si>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</si>
  <si>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</si>
  <si>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</si>
  <si>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</si>
  <si>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</si>
  <si>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</si>
  <si>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</si>
  <si>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</si>
  <si>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</si>
  <si>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</si>
  <si>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</si>
  <si>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</si>
  <si>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</si>
  <si>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</si>
  <si>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</si>
  <si>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</si>
  <si>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</si>
  <si>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</si>
  <si>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OWID_KOS</t>
  </si>
  <si>
    <t>Kosovo</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</si>
  <si>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</si>
  <si>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</si>
  <si>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</si>
  <si>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</si>
  <si>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</si>
  <si>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</si>
  <si>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</si>
  <si>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</si>
  <si>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</si>
  <si>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</si>
  <si>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</si>
  <si>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</si>
  <si>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</si>
  <si>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</si>
  <si>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</si>
  <si>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</si>
  <si>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</si>
  <si>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</si>
  <si>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</si>
  <si>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</si>
  <si>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</si>
  <si>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</si>
  <si>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</si>
  <si>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</si>
  <si>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</si>
  <si>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</si>
  <si>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</si>
  <si>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</si>
  <si>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</si>
  <si>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</si>
  <si>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</si>
  <si>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</si>
  <si>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</si>
  <si>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</si>
  <si>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</si>
  <si>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</si>
  <si>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</si>
  <si>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</si>
  <si>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</si>
  <si>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</si>
  <si>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</si>
  <si>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</si>
  <si>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</si>
  <si>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</si>
  <si>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</si>
  <si>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</si>
  <si>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</si>
  <si>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</si>
  <si>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</si>
  <si>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</si>
  <si>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</si>
  <si>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</si>
  <si>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</si>
  <si>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</si>
  <si>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</si>
  <si>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</si>
  <si>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</si>
  <si>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</si>
  <si>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</si>
  <si>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</si>
  <si>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</si>
  <si>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</si>
  <si>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</si>
  <si>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</si>
  <si>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</si>
  <si>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</si>
  <si>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</si>
  <si>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</si>
  <si>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</si>
  <si>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</si>
  <si>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</si>
  <si>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</si>
  <si>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</si>
  <si>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</si>
  <si>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</si>
  <si>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</si>
  <si>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</si>
  <si>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</si>
  <si>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</si>
  <si>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</si>
  <si>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</si>
  <si>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</si>
  <si>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</si>
  <si>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</si>
  <si>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</si>
  <si>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</si>
  <si>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</si>
  <si>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</si>
  <si>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</si>
  <si>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</si>
  <si>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</si>
  <si>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</si>
  <si>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</si>
  <si>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</si>
  <si>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</si>
  <si>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</si>
  <si>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</si>
  <si>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</si>
  <si>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</si>
  <si>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</si>
  <si>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</si>
  <si>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</si>
  <si>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</si>
  <si>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</si>
  <si>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</si>
  <si>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</si>
  <si>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</si>
  <si>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</si>
  <si>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</si>
  <si>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</si>
  <si>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</si>
  <si>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</si>
  <si>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</si>
  <si>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</si>
  <si>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</si>
  <si>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</si>
  <si>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</si>
  <si>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</si>
  <si>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</si>
  <si>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</si>
  <si>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</si>
  <si>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</si>
  <si>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</si>
  <si>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</si>
  <si>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</si>
  <si>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</si>
  <si>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</si>
  <si>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</si>
  <si>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</si>
  <si>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</si>
  <si>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</si>
  <si>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</si>
  <si>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</si>
  <si>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</si>
  <si>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</si>
  <si>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</si>
  <si>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</si>
  <si>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</si>
  <si>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</si>
  <si>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</si>
  <si>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</si>
  <si>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</si>
  <si>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</si>
  <si>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</si>
  <si>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</si>
  <si>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</si>
  <si>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</si>
  <si>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</si>
  <si>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</si>
  <si>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</si>
  <si>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</si>
  <si>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</si>
  <si>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</si>
  <si>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</si>
  <si>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</si>
  <si>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</si>
  <si>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</si>
  <si>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</si>
  <si>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</si>
  <si>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</si>
  <si>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</si>
  <si>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</si>
  <si>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</si>
  <si>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</si>
  <si>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</si>
  <si>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CONCATENTATE, UPPER, LOWER, PROPER, LEFT, RIGHT, LEN, FIND/SEARCH, JOIN, TEXTJOIN, TRIM, SPLIT, and TRANSPOSE</t>
  </si>
  <si>
    <t>ROUND</t>
  </si>
  <si>
    <t>RAND</t>
  </si>
  <si>
    <t>RANDBETWEEN</t>
  </si>
  <si>
    <t>RANK</t>
  </si>
  <si>
    <t>%_death_per_cases</t>
  </si>
  <si>
    <t>Random Numbers</t>
  </si>
  <si>
    <t>Random Numbers 2</t>
  </si>
  <si>
    <t>Rank</t>
  </si>
  <si>
    <t>Groups</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</si>
  <si>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</si>
  <si>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</si>
  <si>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</si>
  <si>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</si>
  <si>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</si>
  <si>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</si>
  <si>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</si>
  <si>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</si>
  <si>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</si>
  <si>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</si>
  <si>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</si>
  <si>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</si>
  <si>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</si>
  <si>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</si>
  <si>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</si>
  <si>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</si>
  <si>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</si>
  <si>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</si>
  <si>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</si>
  <si>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</si>
  <si>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</si>
  <si>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</si>
  <si>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year, week, day, hour</t>
  </si>
  <si>
    <t>Group 4</t>
  </si>
  <si>
    <t xml:space="preserve">    Paul     Clarusway </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</si>
  <si>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</si>
  <si>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</si>
  <si>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</si>
  <si>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</si>
  <si>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</si>
  <si>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</si>
  <si>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</si>
  <si>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</si>
  <si>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</si>
  <si>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</si>
  <si>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</si>
  <si>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</si>
  <si>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</si>
  <si>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</si>
  <si>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</si>
  <si>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</si>
  <si>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</si>
  <si>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</si>
  <si>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</si>
  <si>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</si>
  <si>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</si>
  <si>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</si>
  <si>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</si>
  <si>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</si>
  <si>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</si>
  <si>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</si>
  <si>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</si>
  <si>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</si>
  <si>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</si>
  <si>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</si>
  <si>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</si>
  <si>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</si>
  <si>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</si>
  <si>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</si>
  <si>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</si>
  <si>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</si>
  <si>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</si>
  <si>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</si>
  <si>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</si>
  <si>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</si>
  <si>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</si>
  <si>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</si>
  <si>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</si>
  <si>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</si>
  <si>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</si>
  <si>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</si>
  <si>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</si>
  <si>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</si>
  <si>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</si>
  <si>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</si>
  <si>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</si>
  <si>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</si>
  <si>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</si>
  <si>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</si>
  <si>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</si>
  <si>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</si>
  <si>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</si>
  <si>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</si>
  <si>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</si>
  <si>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</si>
  <si>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</si>
  <si>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</si>
  <si>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</si>
  <si>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</si>
  <si>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</si>
  <si>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</si>
  <si>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</si>
  <si>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</si>
  <si>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</si>
  <si>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</si>
  <si>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</si>
  <si>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</si>
  <si>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</si>
  <si>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</si>
  <si>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</si>
  <si>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</si>
  <si>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</si>
  <si>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</si>
  <si>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</si>
  <si>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</si>
  <si>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</si>
  <si>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</si>
  <si>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</si>
  <si>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</si>
  <si>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</si>
  <si>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</si>
  <si>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</si>
  <si>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</si>
  <si>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</si>
  <si>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</si>
  <si>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</si>
  <si>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</si>
  <si>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</si>
  <si>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</si>
  <si>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</si>
  <si>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</si>
  <si>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</si>
  <si>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</si>
  <si>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</si>
  <si>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</si>
  <si>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</si>
  <si>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</si>
  <si>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</si>
  <si>
    <t>No Salary Data</t>
  </si>
  <si>
    <t>day</t>
  </si>
  <si>
    <t>year</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</si>
</sst>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quot;$&quot;#,##0.00"/>
    <numFmt numFmtId="165" formatCode="M/d/yyyy"/>
    <numFmt numFmtId="166" formatCode="m/d/yyyy h:mm:ss"/>
    <numFmt numFmtId="167" formatCode="dddd"/>
    <numFmt numFmtId="168" formatCode="dddd&quot;, &quot;mmmm&quot; &quot;d&quot;, &quot;yyyy&quot; at &quot;h&quot;:&quot;mm&quot;:&quot;ss&quot; &quot;am/pm"/>
    <numFmt numFmtId="169" formatCode="&quot; &quot;dddd"/>
    <numFmt numFmtId="170" formatCode="[$£]#,##0"/>
    <numFmt numFmtId="171" formatCode="&quot;$&quot;#,##0"/>
    <numFmt numFmtId="172" formatCode="m/d/yyyy"/>
  </numFmts>
  <fonts count="8">
    <font>
      <sz val="10.0"/>
      <color rgb="FF000000"/>
      <name val="Arial"/>
      <scheme val="minor"/>
    </font>
    <font>
      <u/>
      <color rgb="FF1155CC"/>
    </font>
    <font>
      <color theme="1"/>
      <name val="Arial"/>
      <scheme val="minor"/>
    </font>
    <font>
      <b/>
      <color theme="1"/>
      <name val="Arial"/>
      <scheme val="minor"/>
    </font>
    <font>
      <b/>
      <color theme="1"/>
      <name val="&quot;Source Sans Pro&quot;"/>
    </font>
    <font>
      <color theme="1"/>
      <name val="Arial"/>
    </font>
    <font>
      <color theme="1"/>
      <name val="&quot;Source Sans Pro&quot;"/>
    </font>
    <font>
      <b/>
      <color theme="1"/>
      <name val="Arial"/>
    </font>
  </fonts>
  <fills count="6">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
      <patternFill patternType="solid">
        <fgColor rgb="FFEFEFEF"/>
        <bgColor rgb="FFEFEFEF"/>
      </patternFill>
    </fill>
  </fills>
  <borders count="7">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3" xfId="0" applyAlignment="1" applyFont="1" applyNumberFormat="1">
      <alignment readingOrder="0" vertical="center"/>
    </xf>
    <xf borderId="0" fillId="0" fontId="2" numFmtId="10" xfId="0" applyAlignment="1" applyFont="1" applyNumberFormat="1">
      <alignment readingOrder="0" vertical="center"/>
    </xf>
    <xf borderId="0" fillId="0" fontId="2" numFmtId="164" xfId="0" applyAlignment="1" applyFont="1" applyNumberFormat="1">
      <alignment readingOrder="0" vertical="center"/>
    </xf>
    <xf borderId="0" fillId="0" fontId="2" numFmtId="164" xfId="0" applyAlignment="1" applyFont="1" applyNumberFormat="1">
      <alignment vertical="center"/>
    </xf>
    <xf borderId="0" fillId="0" fontId="2" numFmtId="4" xfId="0" applyAlignment="1" applyFont="1" applyNumberFormat="1">
      <alignment readingOrder="0" vertical="center"/>
    </xf>
    <xf borderId="0" fillId="0" fontId="2" numFmtId="10" xfId="0" applyAlignment="1" applyFont="1" applyNumberFormat="1">
      <alignment vertical="center"/>
    </xf>
    <xf borderId="0" fillId="2" fontId="3" numFmtId="0" xfId="0" applyAlignment="1" applyFill="1" applyFont="1">
      <alignment readingOrder="0" vertical="center"/>
    </xf>
    <xf borderId="0" fillId="0" fontId="2" numFmtId="3" xfId="0" applyAlignment="1" applyFont="1" applyNumberFormat="1">
      <alignment vertical="center"/>
    </xf>
    <xf borderId="0" fillId="2" fontId="3" numFmtId="0" xfId="0" applyAlignment="1" applyFont="1">
      <alignment readingOrder="0" vertical="center"/>
    </xf>
    <xf borderId="0" fillId="3" fontId="2" numFmtId="0" xfId="0" applyAlignment="1" applyFill="1" applyFont="1">
      <alignment vertical="center"/>
    </xf>
    <xf borderId="0" fillId="0" fontId="3" numFmtId="0" xfId="0" applyAlignment="1" applyFont="1">
      <alignment vertical="center"/>
    </xf>
    <xf borderId="0" fillId="0" fontId="3" numFmtId="0" xfId="0" applyAlignment="1" applyFont="1">
      <alignment readingOrder="0" vertical="center"/>
    </xf>
    <xf borderId="0" fillId="2" fontId="2" numFmtId="0" xfId="0" applyAlignment="1" applyFont="1">
      <alignment vertical="center"/>
    </xf>
    <xf borderId="0" fillId="0" fontId="4" numFmtId="0" xfId="0" applyAlignment="1" applyFont="1">
      <alignment horizontal="center" vertical="center"/>
    </xf>
    <xf borderId="1" fillId="4" fontId="5" numFmtId="0" xfId="0" applyAlignment="1" applyBorder="1" applyFill="1" applyFont="1">
      <alignment horizontal="center" readingOrder="0" vertical="center"/>
    </xf>
    <xf borderId="0" fillId="0" fontId="5" numFmtId="0" xfId="0" applyAlignment="1" applyFont="1">
      <alignment vertical="center"/>
    </xf>
    <xf borderId="1" fillId="4" fontId="6" numFmtId="0" xfId="0" applyAlignment="1" applyBorder="1" applyFont="1">
      <alignment horizontal="center" readingOrder="0" vertical="center"/>
    </xf>
    <xf borderId="0" fillId="0" fontId="2" numFmtId="0" xfId="0" applyFont="1"/>
    <xf borderId="0" fillId="0" fontId="2" numFmtId="3" xfId="0" applyFont="1" applyNumberFormat="1"/>
    <xf borderId="0" fillId="0" fontId="2" numFmtId="164" xfId="0" applyFont="1" applyNumberFormat="1"/>
    <xf borderId="0" fillId="5" fontId="3" numFmtId="0" xfId="0" applyAlignment="1" applyFill="1" applyFont="1">
      <alignment readingOrder="0" vertical="center"/>
    </xf>
    <xf borderId="0" fillId="5" fontId="2" numFmtId="0" xfId="0" applyAlignment="1" applyFont="1">
      <alignment readingOrder="0" vertical="center"/>
    </xf>
    <xf borderId="0" fillId="5" fontId="5" numFmtId="0" xfId="0" applyAlignment="1" applyFont="1">
      <alignment vertical="center"/>
    </xf>
    <xf borderId="0" fillId="3" fontId="5" numFmtId="0" xfId="0" applyAlignment="1" applyFont="1">
      <alignment vertical="center"/>
    </xf>
    <xf borderId="0" fillId="5" fontId="7" numFmtId="0" xfId="0" applyAlignment="1" applyFont="1">
      <alignment readingOrder="0" vertical="center"/>
    </xf>
    <xf borderId="0" fillId="5" fontId="7" numFmtId="0" xfId="0" applyAlignment="1" applyFont="1">
      <alignment vertical="center"/>
    </xf>
    <xf borderId="0" fillId="0" fontId="7" numFmtId="0" xfId="0" applyAlignment="1" applyFont="1">
      <alignment readingOrder="0" vertical="center"/>
    </xf>
    <xf borderId="0" fillId="0" fontId="2" numFmtId="0" xfId="0" applyAlignment="1" applyFont="1">
      <alignment readingOrder="0" vertical="center"/>
    </xf>
    <xf borderId="0" fillId="0" fontId="7" numFmtId="0" xfId="0" applyAlignment="1" applyFont="1">
      <alignment readingOrder="0" vertical="center"/>
    </xf>
    <xf borderId="0" fillId="2" fontId="7" numFmtId="0" xfId="0" applyAlignment="1" applyFont="1">
      <alignment readingOrder="0" vertical="center"/>
    </xf>
    <xf borderId="0" fillId="0" fontId="5" numFmtId="0" xfId="0" applyAlignment="1" applyFont="1">
      <alignment readingOrder="0" vertical="center"/>
    </xf>
    <xf borderId="0" fillId="0" fontId="5" numFmtId="10" xfId="0" applyAlignment="1" applyFont="1" applyNumberFormat="1">
      <alignment vertical="center"/>
    </xf>
    <xf borderId="2" fillId="0" fontId="3" numFmtId="0" xfId="0" applyAlignment="1" applyBorder="1" applyFont="1">
      <alignment readingOrder="0" vertical="center"/>
    </xf>
    <xf borderId="0" fillId="0" fontId="5" numFmtId="0" xfId="0" applyAlignment="1" applyFont="1">
      <alignment horizontal="center" vertical="center"/>
    </xf>
    <xf borderId="0" fillId="0" fontId="5" numFmtId="0" xfId="0" applyAlignment="1" applyFont="1">
      <alignment vertical="center"/>
    </xf>
    <xf borderId="1" fillId="2" fontId="5" numFmtId="0" xfId="0" applyAlignment="1" applyBorder="1" applyFont="1">
      <alignment horizontal="center" vertical="center"/>
    </xf>
    <xf borderId="3" fillId="2" fontId="5" numFmtId="0" xfId="0" applyAlignment="1" applyBorder="1" applyFont="1">
      <alignment readingOrder="0" vertical="center"/>
    </xf>
    <xf borderId="0" fillId="0" fontId="5" numFmtId="0" xfId="0" applyAlignment="1" applyFont="1">
      <alignment horizontal="center" readingOrder="0" vertical="center"/>
    </xf>
    <xf borderId="0" fillId="2" fontId="5" numFmtId="0" xfId="0" applyFont="1"/>
    <xf borderId="4" fillId="0" fontId="5" numFmtId="0" xfId="0" applyAlignment="1" applyBorder="1" applyFont="1">
      <alignment readingOrder="0" vertical="center"/>
    </xf>
    <xf borderId="5" fillId="0" fontId="5" numFmtId="0" xfId="0" applyAlignment="1" applyBorder="1" applyFont="1">
      <alignment readingOrder="0" vertical="center"/>
    </xf>
    <xf borderId="0" fillId="2" fontId="5" numFmtId="0" xfId="0" applyFont="1"/>
    <xf borderId="0" fillId="0" fontId="2" numFmtId="0" xfId="0" applyAlignment="1" applyFont="1">
      <alignment vertical="center"/>
    </xf>
    <xf borderId="0" fillId="0" fontId="2" numFmtId="0" xfId="0" applyAlignment="1" applyFont="1">
      <alignment readingOrder="0"/>
    </xf>
    <xf borderId="0" fillId="3" fontId="2" numFmtId="0" xfId="0" applyAlignment="1" applyFont="1">
      <alignment readingOrder="0" vertical="center"/>
    </xf>
    <xf borderId="5" fillId="0" fontId="5" numFmtId="0" xfId="0" applyAlignment="1" applyBorder="1" applyFont="1">
      <alignment vertical="center"/>
    </xf>
    <xf borderId="0" fillId="5" fontId="2" numFmtId="0" xfId="0" applyAlignment="1" applyFont="1">
      <alignment readingOrder="0" vertical="center"/>
    </xf>
    <xf borderId="0" fillId="5" fontId="2" numFmtId="0" xfId="0" applyAlignment="1" applyFont="1">
      <alignment vertical="center"/>
    </xf>
    <xf borderId="6" fillId="2" fontId="5" numFmtId="165" xfId="0" applyAlignment="1" applyBorder="1" applyFont="1" applyNumberFormat="1">
      <alignment horizontal="center"/>
    </xf>
    <xf borderId="6" fillId="2" fontId="5" numFmtId="166" xfId="0" applyAlignment="1" applyBorder="1" applyFont="1" applyNumberFormat="1">
      <alignment horizontal="right"/>
    </xf>
    <xf borderId="0" fillId="2" fontId="5" numFmtId="0" xfId="0" applyAlignment="1" applyFont="1">
      <alignment horizontal="right"/>
    </xf>
    <xf borderId="0" fillId="2" fontId="5" numFmtId="167" xfId="0" applyAlignment="1" applyFont="1" applyNumberFormat="1">
      <alignment horizontal="right"/>
    </xf>
    <xf borderId="0" fillId="0" fontId="2" numFmtId="168" xfId="0" applyAlignment="1" applyFont="1" applyNumberFormat="1">
      <alignment readingOrder="0" vertical="center"/>
    </xf>
    <xf borderId="0" fillId="0" fontId="5" numFmtId="0" xfId="0" applyFont="1"/>
    <xf borderId="0" fillId="2" fontId="5" numFmtId="0" xfId="0" applyAlignment="1" applyFont="1">
      <alignment horizontal="right"/>
    </xf>
    <xf borderId="0" fillId="0" fontId="5" numFmtId="0" xfId="0" applyFont="1"/>
    <xf borderId="0" fillId="2" fontId="5" numFmtId="14" xfId="0" applyAlignment="1" applyFont="1" applyNumberFormat="1">
      <alignment horizontal="right"/>
    </xf>
    <xf borderId="0" fillId="0" fontId="2" numFmtId="169" xfId="0" applyAlignment="1" applyFont="1" applyNumberFormat="1">
      <alignment readingOrder="0" vertical="center"/>
    </xf>
    <xf borderId="0" fillId="0" fontId="7" numFmtId="0" xfId="0" applyAlignment="1" applyFont="1">
      <alignment horizontal="center"/>
    </xf>
    <xf borderId="0" fillId="0" fontId="7" numFmtId="0" xfId="0" applyAlignment="1" applyFont="1">
      <alignment readingOrder="0"/>
    </xf>
    <xf borderId="0" fillId="2" fontId="7" numFmtId="0" xfId="0" applyAlignment="1" applyFont="1">
      <alignment readingOrder="0"/>
    </xf>
    <xf borderId="0" fillId="0" fontId="7" numFmtId="0" xfId="0" applyFont="1"/>
    <xf borderId="0" fillId="2" fontId="7" numFmtId="0" xfId="0" applyFont="1"/>
    <xf borderId="0" fillId="3" fontId="5" numFmtId="0" xfId="0" applyFont="1"/>
    <xf borderId="0" fillId="0" fontId="5" numFmtId="3" xfId="0" applyAlignment="1" applyFont="1" applyNumberFormat="1">
      <alignment horizontal="center" readingOrder="0"/>
    </xf>
    <xf borderId="0" fillId="0" fontId="5" numFmtId="0" xfId="0" applyFont="1"/>
    <xf borderId="0" fillId="0" fontId="5" numFmtId="14" xfId="0" applyFont="1" applyNumberFormat="1"/>
    <xf borderId="0" fillId="0" fontId="5" numFmtId="170" xfId="0" applyAlignment="1" applyFont="1" applyNumberFormat="1">
      <alignment horizontal="right"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shrinkToFit="0" wrapText="0"/>
    </xf>
    <xf borderId="0" fillId="0" fontId="5" numFmtId="0" xfId="0" applyFont="1"/>
    <xf borderId="0" fillId="0" fontId="5" numFmtId="0" xfId="0" applyAlignment="1" applyFont="1">
      <alignment vertical="bottom"/>
    </xf>
    <xf borderId="0" fillId="0" fontId="2" numFmtId="0" xfId="0" applyAlignment="1" applyFont="1">
      <alignment readingOrder="0" shrinkToFit="0" vertical="center" wrapText="0"/>
    </xf>
    <xf borderId="0" fillId="0" fontId="2" numFmtId="171" xfId="0" applyAlignment="1" applyFont="1" applyNumberFormat="1">
      <alignment vertical="center"/>
    </xf>
    <xf borderId="0" fillId="0" fontId="2" numFmtId="172"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wid/covid-19-data/tree/master/public/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9.13"/>
    <col customWidth="1" min="4" max="4" width="9.38"/>
    <col customWidth="1" min="5" max="5" width="10.13"/>
    <col customWidth="1" min="6" max="6" width="14.88"/>
    <col customWidth="1" min="7" max="7" width="18.75"/>
    <col customWidth="1" min="8" max="8" width="14.25"/>
    <col customWidth="1" min="9" max="9" width="13.5"/>
    <col customWidth="1" min="10" max="10" width="10.25"/>
    <col customWidth="1" min="11" max="11" width="14.88"/>
    <col customWidth="1" min="12" max="12" width="10.13"/>
    <col customWidth="1" min="13" max="14" width="12.13"/>
    <col customWidth="1" min="15" max="15" width="12.5"/>
    <col customWidth="1" min="16" max="16" width="13.25"/>
    <col customWidth="1" min="17" max="17" width="11.88"/>
    <col customWidth="1" min="18" max="18" width="13.38"/>
    <col customWidth="1" min="19" max="19" width="21.5"/>
    <col customWidth="1" min="20" max="20" width="12.5"/>
    <col customWidth="1" min="21" max="21" width="22.38"/>
  </cols>
  <sheetData>
    <row r="1">
      <c r="A1" s="1" t="s">
        <v>0</v>
      </c>
      <c r="B1" s="2"/>
      <c r="C1" s="2"/>
      <c r="D1" s="2"/>
      <c r="E1" s="3"/>
      <c r="F1" s="2"/>
      <c r="G1" s="3"/>
      <c r="H1" s="3"/>
      <c r="I1" s="2"/>
      <c r="J1" s="3"/>
      <c r="K1" s="2"/>
      <c r="L1" s="3"/>
      <c r="M1" s="3"/>
      <c r="N1" s="2"/>
      <c r="O1" s="3"/>
      <c r="P1" s="2"/>
      <c r="Q1" s="2"/>
      <c r="R1" s="3"/>
      <c r="S1" s="2"/>
      <c r="T1" s="3"/>
      <c r="U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row>
    <row r="3">
      <c r="A3" s="4" t="s">
        <v>21</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2"/>
    </row>
    <row r="4">
      <c r="A4" s="3" t="s">
        <v>22</v>
      </c>
      <c r="B4" s="3" t="s">
        <v>23</v>
      </c>
      <c r="C4" s="3" t="s">
        <v>24</v>
      </c>
      <c r="D4" s="7">
        <v>210224.0</v>
      </c>
      <c r="E4" s="7">
        <v>3217.0</v>
      </c>
      <c r="F4" s="7">
        <v>1141486.0</v>
      </c>
      <c r="G4" s="7">
        <v>1031132.0</v>
      </c>
      <c r="H4" s="7">
        <v>2316606.0</v>
      </c>
      <c r="I4" s="3">
        <v>56.230716418</v>
      </c>
      <c r="J4" s="7">
        <v>2872934.0</v>
      </c>
      <c r="K4" s="3">
        <v>104.871</v>
      </c>
      <c r="L4" s="3">
        <v>38.0</v>
      </c>
      <c r="M4" s="8">
        <v>0.13188</v>
      </c>
      <c r="N4" s="8">
        <v>0.08643</v>
      </c>
      <c r="O4" s="9">
        <v>11803.431</v>
      </c>
      <c r="P4" s="8">
        <v>0.071</v>
      </c>
      <c r="Q4" s="8">
        <v>0.512</v>
      </c>
      <c r="R4" s="8">
        <v>0.011000000000000001</v>
      </c>
      <c r="S4" s="3">
        <v>0.795</v>
      </c>
      <c r="T4" s="3">
        <v>78.57</v>
      </c>
      <c r="U4" s="2"/>
    </row>
    <row r="5">
      <c r="A5" s="3" t="s">
        <v>25</v>
      </c>
      <c r="B5" s="3" t="s">
        <v>23</v>
      </c>
      <c r="C5" s="3" t="s">
        <v>26</v>
      </c>
      <c r="D5" s="7">
        <v>23740.0</v>
      </c>
      <c r="E5" s="3">
        <v>140.0</v>
      </c>
      <c r="F5" s="7">
        <v>57085.0</v>
      </c>
      <c r="G5" s="7">
        <v>51392.0</v>
      </c>
      <c r="H5" s="7">
        <v>117246.0</v>
      </c>
      <c r="I5" s="3">
        <v>48.845731343</v>
      </c>
      <c r="J5" s="7">
        <v>77354.0</v>
      </c>
      <c r="K5" s="3">
        <v>163.755</v>
      </c>
      <c r="L5" s="2"/>
      <c r="M5" s="8"/>
      <c r="N5" s="8"/>
      <c r="O5" s="10"/>
      <c r="P5" s="8">
        <v>0.29</v>
      </c>
      <c r="Q5" s="8">
        <v>0.37799999999999995</v>
      </c>
      <c r="R5" s="8"/>
      <c r="S5" s="3">
        <v>0.868</v>
      </c>
      <c r="T5" s="3">
        <v>83.73</v>
      </c>
      <c r="U5" s="2"/>
    </row>
    <row r="6">
      <c r="A6" s="3" t="s">
        <v>27</v>
      </c>
      <c r="B6" s="3" t="s">
        <v>23</v>
      </c>
      <c r="C6" s="3" t="s">
        <v>28</v>
      </c>
      <c r="D6" s="7">
        <v>1278619.0</v>
      </c>
      <c r="E6" s="7">
        <v>13733.0</v>
      </c>
      <c r="F6" s="7">
        <v>6634815.0</v>
      </c>
      <c r="G6" s="7">
        <v>6497370.0</v>
      </c>
      <c r="H6" s="7">
        <v>1.6482194E7</v>
      </c>
      <c r="I6" s="3">
        <v>60.748920118</v>
      </c>
      <c r="J6" s="7">
        <v>9043072.0</v>
      </c>
      <c r="K6" s="3">
        <v>106.749</v>
      </c>
      <c r="L6" s="3">
        <v>44.4</v>
      </c>
      <c r="M6" s="8">
        <v>0.19202000000000002</v>
      </c>
      <c r="N6" s="8">
        <v>0.13748</v>
      </c>
      <c r="O6" s="9">
        <v>45436.686</v>
      </c>
      <c r="P6" s="8">
        <v>0.284</v>
      </c>
      <c r="Q6" s="8">
        <v>0.309</v>
      </c>
      <c r="R6" s="8">
        <v>0.006999999999999999</v>
      </c>
      <c r="S6" s="3">
        <v>0.922</v>
      </c>
      <c r="T6" s="3">
        <v>81.54</v>
      </c>
      <c r="U6" s="2"/>
    </row>
    <row r="7">
      <c r="A7" s="3" t="s">
        <v>29</v>
      </c>
      <c r="B7" s="3" t="s">
        <v>23</v>
      </c>
      <c r="C7" s="3" t="s">
        <v>30</v>
      </c>
      <c r="D7" s="7">
        <v>2105343.0</v>
      </c>
      <c r="E7" s="7">
        <v>28331.0</v>
      </c>
      <c r="F7" s="7">
        <v>8918988.0</v>
      </c>
      <c r="G7" s="7">
        <v>8808893.0</v>
      </c>
      <c r="H7" s="7">
        <v>2.1678254E7</v>
      </c>
      <c r="I7" s="3">
        <v>54.666743185</v>
      </c>
      <c r="J7" s="7">
        <v>1.1632334E7</v>
      </c>
      <c r="K7" s="3">
        <v>375.564</v>
      </c>
      <c r="L7" s="3">
        <v>41.8</v>
      </c>
      <c r="M7" s="8">
        <v>0.18571000000000001</v>
      </c>
      <c r="N7" s="8">
        <v>0.12849</v>
      </c>
      <c r="O7" s="9">
        <v>42658.576</v>
      </c>
      <c r="P7" s="8">
        <v>0.251</v>
      </c>
      <c r="Q7" s="8">
        <v>0.314</v>
      </c>
      <c r="R7" s="8">
        <v>0.002</v>
      </c>
      <c r="S7" s="3">
        <v>0.931</v>
      </c>
      <c r="T7" s="3">
        <v>81.63</v>
      </c>
      <c r="U7" s="2"/>
    </row>
    <row r="8">
      <c r="A8" s="3" t="s">
        <v>31</v>
      </c>
      <c r="B8" s="3" t="s">
        <v>23</v>
      </c>
      <c r="C8" s="3" t="s">
        <v>32</v>
      </c>
      <c r="D8" s="7">
        <v>747108.0</v>
      </c>
      <c r="E8" s="7">
        <v>30955.0</v>
      </c>
      <c r="F8" s="7">
        <v>1904143.0</v>
      </c>
      <c r="G8" s="7">
        <v>1914910.0</v>
      </c>
      <c r="H8" s="7">
        <v>3700660.0</v>
      </c>
      <c r="I8" s="3">
        <v>47.89121988</v>
      </c>
      <c r="J8" s="7">
        <v>6896655.0</v>
      </c>
      <c r="K8" s="3">
        <v>65.18</v>
      </c>
      <c r="L8" s="3">
        <v>44.7</v>
      </c>
      <c r="M8" s="8">
        <v>0.20800999999999997</v>
      </c>
      <c r="N8" s="8">
        <v>0.13272</v>
      </c>
      <c r="O8" s="9">
        <v>18563.307</v>
      </c>
      <c r="P8" s="8">
        <v>0.301</v>
      </c>
      <c r="Q8" s="8">
        <v>0.444</v>
      </c>
      <c r="R8" s="8">
        <v>0.015</v>
      </c>
      <c r="S8" s="3">
        <v>0.816</v>
      </c>
      <c r="T8" s="3">
        <v>75.05</v>
      </c>
      <c r="U8" s="2"/>
    </row>
    <row r="9">
      <c r="A9" s="3" t="s">
        <v>33</v>
      </c>
      <c r="B9" s="3" t="s">
        <v>23</v>
      </c>
      <c r="C9" s="3" t="s">
        <v>34</v>
      </c>
      <c r="D9" s="7">
        <v>291313.0</v>
      </c>
      <c r="E9" s="7">
        <v>13442.0</v>
      </c>
      <c r="F9" s="7">
        <v>882641.0</v>
      </c>
      <c r="G9" s="7">
        <v>720631.0</v>
      </c>
      <c r="H9" s="7">
        <v>1553874.0</v>
      </c>
      <c r="I9" s="3">
        <v>46.917406297</v>
      </c>
      <c r="J9" s="7">
        <v>3263459.0</v>
      </c>
      <c r="K9" s="3">
        <v>68.496</v>
      </c>
      <c r="L9" s="3">
        <v>42.5</v>
      </c>
      <c r="M9" s="8">
        <v>0.16569</v>
      </c>
      <c r="N9" s="8">
        <v>0.10711</v>
      </c>
      <c r="O9" s="9">
        <v>11713.895</v>
      </c>
      <c r="P9" s="8">
        <v>0.302</v>
      </c>
      <c r="Q9" s="8">
        <v>0.47700000000000004</v>
      </c>
      <c r="R9" s="8">
        <v>0.002</v>
      </c>
      <c r="S9" s="3">
        <v>0.78</v>
      </c>
      <c r="T9" s="3">
        <v>77.4</v>
      </c>
      <c r="U9" s="2"/>
    </row>
    <row r="10">
      <c r="A10" s="3" t="s">
        <v>35</v>
      </c>
      <c r="B10" s="3" t="s">
        <v>23</v>
      </c>
      <c r="C10" s="3" t="s">
        <v>36</v>
      </c>
      <c r="D10" s="7">
        <v>699110.0</v>
      </c>
      <c r="E10" s="7">
        <v>5578.0</v>
      </c>
      <c r="F10" s="7">
        <v>4356041.0</v>
      </c>
      <c r="G10" s="7">
        <v>3228165.0</v>
      </c>
      <c r="H10" s="7">
        <v>7708200.0</v>
      </c>
      <c r="I10" s="3">
        <v>32.126344725</v>
      </c>
      <c r="J10" s="7">
        <v>9442867.0</v>
      </c>
      <c r="K10" s="3">
        <v>46.858</v>
      </c>
      <c r="L10" s="3">
        <v>40.3</v>
      </c>
      <c r="M10" s="8">
        <v>0.14798999999999998</v>
      </c>
      <c r="N10" s="8">
        <v>0.09788000000000001</v>
      </c>
      <c r="O10" s="9">
        <v>17167.967</v>
      </c>
      <c r="P10" s="8">
        <v>0.105</v>
      </c>
      <c r="Q10" s="8">
        <v>0.461</v>
      </c>
      <c r="R10" s="8"/>
      <c r="S10" s="3">
        <v>0.823</v>
      </c>
      <c r="T10" s="3">
        <v>74.79</v>
      </c>
      <c r="U10" s="2"/>
    </row>
    <row r="11">
      <c r="A11" s="3" t="s">
        <v>37</v>
      </c>
      <c r="B11" s="3" t="s">
        <v>23</v>
      </c>
      <c r="C11" s="3" t="s">
        <v>38</v>
      </c>
      <c r="D11" s="7">
        <v>1332615.0</v>
      </c>
      <c r="E11" s="7">
        <v>12217.0</v>
      </c>
      <c r="F11" s="7">
        <v>5976038.0</v>
      </c>
      <c r="G11" s="7">
        <v>5830359.0</v>
      </c>
      <c r="H11" s="7">
        <v>1.3852728E7</v>
      </c>
      <c r="I11" s="3">
        <v>50.478298817</v>
      </c>
      <c r="J11" s="7">
        <v>8715494.0</v>
      </c>
      <c r="K11" s="3">
        <v>214.243</v>
      </c>
      <c r="L11" s="3">
        <v>43.1</v>
      </c>
      <c r="M11" s="8">
        <v>0.18436</v>
      </c>
      <c r="N11" s="8">
        <v>0.12644</v>
      </c>
      <c r="O11" s="9">
        <v>57410.166000001</v>
      </c>
      <c r="P11" s="8">
        <v>0.226</v>
      </c>
      <c r="Q11" s="8">
        <v>0.289</v>
      </c>
      <c r="R11" s="8"/>
      <c r="S11" s="3">
        <v>0.955</v>
      </c>
      <c r="T11" s="3">
        <v>83.78</v>
      </c>
      <c r="U11" s="2"/>
    </row>
    <row r="12">
      <c r="A12" s="3" t="s">
        <v>39</v>
      </c>
      <c r="B12" s="3" t="s">
        <v>23</v>
      </c>
      <c r="C12" s="3" t="s">
        <v>40</v>
      </c>
      <c r="D12" s="7">
        <v>2475729.0</v>
      </c>
      <c r="E12" s="7">
        <v>36129.0</v>
      </c>
      <c r="F12" s="7">
        <v>6826591.0</v>
      </c>
      <c r="G12" s="7">
        <v>6656389.0</v>
      </c>
      <c r="H12" s="7">
        <v>1.5488504E7</v>
      </c>
      <c r="I12" s="3">
        <v>50.921743666</v>
      </c>
      <c r="J12" s="7">
        <v>1.0724553E7</v>
      </c>
      <c r="K12" s="3">
        <v>137.176</v>
      </c>
      <c r="L12" s="3">
        <v>43.3</v>
      </c>
      <c r="M12" s="8">
        <v>0.19027000000000002</v>
      </c>
      <c r="N12" s="8">
        <v>0.1158</v>
      </c>
      <c r="O12" s="9">
        <v>32605.906</v>
      </c>
      <c r="P12" s="8">
        <v>0.305</v>
      </c>
      <c r="Q12" s="8">
        <v>0.38299999999999995</v>
      </c>
      <c r="R12" s="8"/>
      <c r="S12" s="3">
        <v>0.9</v>
      </c>
      <c r="T12" s="3">
        <v>79.38</v>
      </c>
      <c r="U12" s="2"/>
    </row>
    <row r="13">
      <c r="A13" s="3" t="s">
        <v>41</v>
      </c>
      <c r="B13" s="3" t="s">
        <v>23</v>
      </c>
      <c r="C13" s="3" t="s">
        <v>42</v>
      </c>
      <c r="D13" s="7">
        <v>7193186.0</v>
      </c>
      <c r="E13" s="7">
        <v>112111.0</v>
      </c>
      <c r="F13" s="7">
        <v>6.1781761E7</v>
      </c>
      <c r="G13" s="7">
        <v>5.9258299E7</v>
      </c>
      <c r="H13" s="7">
        <v>1.5014604E8</v>
      </c>
      <c r="I13" s="3">
        <v>62.422992908</v>
      </c>
      <c r="J13" s="7">
        <v>8.3900471E7</v>
      </c>
      <c r="K13" s="3">
        <v>237.016</v>
      </c>
      <c r="L13" s="3">
        <v>46.6</v>
      </c>
      <c r="M13" s="8">
        <v>0.21453</v>
      </c>
      <c r="N13" s="8">
        <v>0.15957000000000002</v>
      </c>
      <c r="O13" s="9">
        <v>45229.245</v>
      </c>
      <c r="P13" s="8">
        <v>0.282</v>
      </c>
      <c r="Q13" s="8">
        <v>0.331</v>
      </c>
      <c r="R13" s="8"/>
      <c r="S13" s="3">
        <v>0.947</v>
      </c>
      <c r="T13" s="3">
        <v>81.33</v>
      </c>
      <c r="U13" s="2"/>
    </row>
    <row r="14">
      <c r="A14" s="3" t="s">
        <v>43</v>
      </c>
      <c r="B14" s="3" t="s">
        <v>23</v>
      </c>
      <c r="C14" s="3" t="s">
        <v>44</v>
      </c>
      <c r="D14" s="7">
        <v>802397.0</v>
      </c>
      <c r="E14" s="7">
        <v>3207.0</v>
      </c>
      <c r="F14" s="7">
        <v>4803797.0</v>
      </c>
      <c r="G14" s="7">
        <v>4558768.0</v>
      </c>
      <c r="H14" s="7">
        <v>1.2122897E7</v>
      </c>
      <c r="I14" s="3">
        <v>49.28211731</v>
      </c>
      <c r="J14" s="7">
        <v>5813302.0</v>
      </c>
      <c r="K14" s="3">
        <v>136.52</v>
      </c>
      <c r="L14" s="3">
        <v>42.3</v>
      </c>
      <c r="M14" s="8">
        <v>0.19677</v>
      </c>
      <c r="N14" s="8">
        <v>0.12325</v>
      </c>
      <c r="O14" s="9">
        <v>46682.515</v>
      </c>
      <c r="P14" s="8">
        <v>0.193</v>
      </c>
      <c r="Q14" s="8">
        <v>0.188</v>
      </c>
      <c r="R14" s="8">
        <v>0.002</v>
      </c>
      <c r="S14" s="3">
        <v>0.94</v>
      </c>
      <c r="T14" s="3">
        <v>80.9</v>
      </c>
      <c r="U14" s="2"/>
    </row>
    <row r="15">
      <c r="A15" s="3" t="s">
        <v>45</v>
      </c>
      <c r="B15" s="3" t="s">
        <v>23</v>
      </c>
      <c r="C15" s="3" t="s">
        <v>46</v>
      </c>
      <c r="D15" s="7">
        <v>6294745.0</v>
      </c>
      <c r="E15" s="7">
        <v>89405.0</v>
      </c>
      <c r="F15" s="7">
        <v>3.9664717E7</v>
      </c>
      <c r="G15" s="7">
        <v>3.7869504E7</v>
      </c>
      <c r="H15" s="7">
        <v>8.3529796E7</v>
      </c>
      <c r="I15" s="3">
        <v>58.475928571</v>
      </c>
      <c r="J15" s="7">
        <v>4.6745211E7</v>
      </c>
      <c r="K15" s="3">
        <v>93.105</v>
      </c>
      <c r="L15" s="3">
        <v>45.5</v>
      </c>
      <c r="M15" s="8">
        <v>0.19436</v>
      </c>
      <c r="N15" s="8">
        <v>0.13799</v>
      </c>
      <c r="O15" s="9">
        <v>34272.36</v>
      </c>
      <c r="P15" s="8">
        <v>0.27399999999999997</v>
      </c>
      <c r="Q15" s="8">
        <v>0.314</v>
      </c>
      <c r="R15" s="8">
        <v>0.01</v>
      </c>
      <c r="S15" s="3">
        <v>0.904</v>
      </c>
      <c r="T15" s="3">
        <v>83.56</v>
      </c>
      <c r="U15" s="2"/>
    </row>
    <row r="16">
      <c r="A16" s="3" t="s">
        <v>47</v>
      </c>
      <c r="B16" s="3" t="s">
        <v>23</v>
      </c>
      <c r="C16" s="3" t="s">
        <v>48</v>
      </c>
      <c r="D16" s="7">
        <v>241408.0</v>
      </c>
      <c r="E16" s="7">
        <v>1932.0</v>
      </c>
      <c r="F16" s="7">
        <v>842315.0</v>
      </c>
      <c r="G16" s="7">
        <v>817281.0</v>
      </c>
      <c r="H16" s="7">
        <v>1517722.0</v>
      </c>
      <c r="I16" s="3">
        <v>39.334426934</v>
      </c>
      <c r="J16" s="7">
        <v>1325188.0</v>
      </c>
      <c r="K16" s="3">
        <v>31.033</v>
      </c>
      <c r="L16" s="3">
        <v>42.7</v>
      </c>
      <c r="M16" s="8">
        <v>0.19452000000000003</v>
      </c>
      <c r="N16" s="8">
        <v>0.13491</v>
      </c>
      <c r="O16" s="9">
        <v>29481.252</v>
      </c>
      <c r="P16" s="8">
        <v>0.245</v>
      </c>
      <c r="Q16" s="8">
        <v>0.39299999999999996</v>
      </c>
      <c r="R16" s="8">
        <v>0.005</v>
      </c>
      <c r="S16" s="3">
        <v>0.892</v>
      </c>
      <c r="T16" s="3">
        <v>78.74</v>
      </c>
      <c r="U16" s="2"/>
    </row>
    <row r="17">
      <c r="A17" s="3" t="s">
        <v>49</v>
      </c>
      <c r="B17" s="3" t="s">
        <v>23</v>
      </c>
      <c r="C17" s="3" t="s">
        <v>50</v>
      </c>
      <c r="D17" s="7">
        <v>260292.0</v>
      </c>
      <c r="E17" s="7">
        <v>1564.0</v>
      </c>
      <c r="F17" s="7">
        <v>4275263.0</v>
      </c>
      <c r="G17" s="7">
        <v>4085397.0</v>
      </c>
      <c r="H17" s="7">
        <v>9616819.0</v>
      </c>
      <c r="I17" s="3">
        <v>42.759359886</v>
      </c>
      <c r="J17" s="7">
        <v>5548361.0</v>
      </c>
      <c r="K17" s="3">
        <v>18.136</v>
      </c>
      <c r="L17" s="3">
        <v>42.8</v>
      </c>
      <c r="M17" s="8">
        <v>0.21228000000000002</v>
      </c>
      <c r="N17" s="8">
        <v>0.13263999999999998</v>
      </c>
      <c r="O17" s="9">
        <v>40585.721000001</v>
      </c>
      <c r="P17" s="8">
        <v>0.183</v>
      </c>
      <c r="Q17" s="8">
        <v>0.226</v>
      </c>
      <c r="R17" s="8"/>
      <c r="S17" s="3">
        <v>0.938</v>
      </c>
      <c r="T17" s="3">
        <v>81.91</v>
      </c>
      <c r="U17" s="2"/>
    </row>
    <row r="18">
      <c r="A18" s="3" t="s">
        <v>51</v>
      </c>
      <c r="B18" s="3" t="s">
        <v>23</v>
      </c>
      <c r="C18" s="3" t="s">
        <v>52</v>
      </c>
      <c r="D18" s="7">
        <v>1.041248E7</v>
      </c>
      <c r="E18" s="7">
        <v>123805.0</v>
      </c>
      <c r="F18" s="7">
        <v>5.3058533E7</v>
      </c>
      <c r="G18" s="7">
        <v>4.9535704E7</v>
      </c>
      <c r="H18" s="7">
        <v>1.2397791E8</v>
      </c>
      <c r="I18" s="3">
        <v>60.520564972</v>
      </c>
      <c r="J18" s="7">
        <v>6.7422E7</v>
      </c>
      <c r="K18" s="3">
        <v>122.578</v>
      </c>
      <c r="L18" s="3">
        <v>42.0</v>
      </c>
      <c r="M18" s="8">
        <v>0.19718</v>
      </c>
      <c r="N18" s="8">
        <v>0.13079000000000002</v>
      </c>
      <c r="O18" s="9">
        <v>38605.671</v>
      </c>
      <c r="P18" s="8">
        <v>0.301</v>
      </c>
      <c r="Q18" s="8">
        <v>0.35600000000000004</v>
      </c>
      <c r="R18" s="8"/>
      <c r="S18" s="3">
        <v>0.901</v>
      </c>
      <c r="T18" s="3">
        <v>82.66</v>
      </c>
      <c r="U18" s="2"/>
    </row>
    <row r="19">
      <c r="A19" s="3" t="s">
        <v>53</v>
      </c>
      <c r="B19" s="3" t="s">
        <v>23</v>
      </c>
      <c r="C19" s="3" t="s">
        <v>54</v>
      </c>
      <c r="D19" s="7">
        <v>5764.0</v>
      </c>
      <c r="E19" s="3">
        <v>14.0</v>
      </c>
      <c r="F19" s="7">
        <v>41437.0</v>
      </c>
      <c r="G19" s="7">
        <v>40528.0</v>
      </c>
      <c r="H19" s="7">
        <v>96235.0</v>
      </c>
      <c r="I19" s="3">
        <v>37.768383234</v>
      </c>
      <c r="J19" s="7">
        <v>49053.0</v>
      </c>
      <c r="K19" s="3">
        <v>35.308</v>
      </c>
      <c r="L19" s="2"/>
      <c r="M19" s="8"/>
      <c r="N19" s="8"/>
      <c r="O19" s="10"/>
      <c r="P19" s="8"/>
      <c r="Q19" s="8"/>
      <c r="R19" s="8"/>
      <c r="S19" s="2"/>
      <c r="T19" s="3">
        <v>80.67</v>
      </c>
      <c r="U19" s="2"/>
    </row>
    <row r="20">
      <c r="A20" s="3" t="s">
        <v>55</v>
      </c>
      <c r="B20" s="3" t="s">
        <v>23</v>
      </c>
      <c r="C20" s="3" t="s">
        <v>56</v>
      </c>
      <c r="D20" s="7">
        <v>1.2965393E7</v>
      </c>
      <c r="E20" s="7">
        <v>148737.0</v>
      </c>
      <c r="F20" s="7">
        <v>5.1786768E7</v>
      </c>
      <c r="G20" s="7">
        <v>4.7434251E7</v>
      </c>
      <c r="H20" s="7">
        <v>1.33312817E8</v>
      </c>
      <c r="I20" s="3">
        <v>60.142810271</v>
      </c>
      <c r="J20" s="7">
        <v>6.8207114E7</v>
      </c>
      <c r="K20" s="3">
        <v>272.898</v>
      </c>
      <c r="L20" s="3">
        <v>40.8</v>
      </c>
      <c r="M20" s="8">
        <v>0.18517</v>
      </c>
      <c r="N20" s="8">
        <v>0.12527</v>
      </c>
      <c r="O20" s="9">
        <v>39753.244</v>
      </c>
      <c r="P20" s="8">
        <v>0.2</v>
      </c>
      <c r="Q20" s="8">
        <v>0.247</v>
      </c>
      <c r="R20" s="8">
        <v>0.002</v>
      </c>
      <c r="S20" s="3">
        <v>0.932</v>
      </c>
      <c r="T20" s="3">
        <v>81.32</v>
      </c>
      <c r="U20" s="2"/>
    </row>
    <row r="21">
      <c r="A21" s="3" t="s">
        <v>57</v>
      </c>
      <c r="B21" s="3" t="s">
        <v>23</v>
      </c>
      <c r="C21" s="3" t="s">
        <v>58</v>
      </c>
      <c r="D21" s="2"/>
      <c r="E21" s="2"/>
      <c r="F21" s="7">
        <v>32969.0</v>
      </c>
      <c r="G21" s="7">
        <v>13618.0</v>
      </c>
      <c r="H21" s="7">
        <v>106109.0</v>
      </c>
      <c r="I21" s="2"/>
      <c r="J21" s="7">
        <v>63385.0</v>
      </c>
      <c r="K21" s="2"/>
      <c r="L21" s="2"/>
      <c r="M21" s="8"/>
      <c r="N21" s="8"/>
      <c r="O21" s="10"/>
      <c r="P21" s="8"/>
      <c r="Q21" s="8"/>
      <c r="R21" s="8"/>
      <c r="S21" s="2"/>
      <c r="T21" s="2"/>
      <c r="U21" s="2"/>
    </row>
    <row r="22">
      <c r="A22" s="3" t="s">
        <v>59</v>
      </c>
      <c r="B22" s="3" t="s">
        <v>23</v>
      </c>
      <c r="C22" s="3" t="s">
        <v>60</v>
      </c>
      <c r="D22" s="7">
        <v>8701.0</v>
      </c>
      <c r="E22" s="3">
        <v>100.0</v>
      </c>
      <c r="F22" s="7">
        <v>41173.0</v>
      </c>
      <c r="G22" s="7">
        <v>40065.0</v>
      </c>
      <c r="H22" s="7">
        <v>108323.0</v>
      </c>
      <c r="I22" s="2"/>
      <c r="J22" s="7">
        <v>33691.0</v>
      </c>
      <c r="K22" s="11">
        <v>3457.1</v>
      </c>
      <c r="L22" s="2"/>
      <c r="M22" s="8"/>
      <c r="N22" s="8"/>
      <c r="O22" s="10"/>
      <c r="P22" s="8"/>
      <c r="Q22" s="8"/>
      <c r="R22" s="8"/>
      <c r="S22" s="2"/>
      <c r="T22" s="3">
        <v>79.93</v>
      </c>
      <c r="U22" s="2"/>
    </row>
    <row r="23">
      <c r="A23" s="3" t="s">
        <v>61</v>
      </c>
      <c r="B23" s="3" t="s">
        <v>23</v>
      </c>
      <c r="C23" s="3" t="s">
        <v>62</v>
      </c>
      <c r="D23" s="7">
        <v>1210853.0</v>
      </c>
      <c r="E23" s="7">
        <v>20790.0</v>
      </c>
      <c r="F23" s="7">
        <v>7469043.0</v>
      </c>
      <c r="G23" s="7">
        <v>7011834.0</v>
      </c>
      <c r="H23" s="7">
        <v>1.7267126E7</v>
      </c>
      <c r="I23" s="3">
        <v>69.726356932</v>
      </c>
      <c r="J23" s="7">
        <v>1.0370747E7</v>
      </c>
      <c r="K23" s="3">
        <v>83.479</v>
      </c>
      <c r="L23" s="3">
        <v>45.3</v>
      </c>
      <c r="M23" s="8">
        <v>0.20396</v>
      </c>
      <c r="N23" s="8">
        <v>0.14523999999999998</v>
      </c>
      <c r="O23" s="9">
        <v>24574.382</v>
      </c>
      <c r="P23" s="8">
        <v>0.353</v>
      </c>
      <c r="Q23" s="8">
        <v>0.52</v>
      </c>
      <c r="R23" s="8">
        <v>0.015</v>
      </c>
      <c r="S23" s="3">
        <v>0.888</v>
      </c>
      <c r="T23" s="3">
        <v>82.24</v>
      </c>
      <c r="U23" s="2"/>
    </row>
    <row r="24">
      <c r="A24" s="3" t="s">
        <v>63</v>
      </c>
      <c r="B24" s="3" t="s">
        <v>23</v>
      </c>
      <c r="C24" s="3" t="s">
        <v>64</v>
      </c>
      <c r="D24" s="7">
        <v>715245.0</v>
      </c>
      <c r="E24" s="7">
        <v>12538.0</v>
      </c>
      <c r="F24" s="7">
        <v>2259393.0</v>
      </c>
      <c r="G24" s="7">
        <v>1953540.0</v>
      </c>
      <c r="H24" s="7">
        <v>4729751.0</v>
      </c>
      <c r="I24" s="3">
        <v>46.079852071</v>
      </c>
      <c r="J24" s="7">
        <v>4081657.0</v>
      </c>
      <c r="K24" s="3">
        <v>73.726</v>
      </c>
      <c r="L24" s="3">
        <v>44.0</v>
      </c>
      <c r="M24" s="8">
        <v>0.19724</v>
      </c>
      <c r="N24" s="8">
        <v>0.13053</v>
      </c>
      <c r="O24" s="9">
        <v>22669.797</v>
      </c>
      <c r="P24" s="8">
        <v>0.34299999999999997</v>
      </c>
      <c r="Q24" s="8">
        <v>0.39899999999999997</v>
      </c>
      <c r="R24" s="8">
        <v>0.006999999999999999</v>
      </c>
      <c r="S24" s="3">
        <v>0.851</v>
      </c>
      <c r="T24" s="3">
        <v>78.49</v>
      </c>
      <c r="U24" s="2"/>
    </row>
    <row r="25">
      <c r="A25" s="3" t="s">
        <v>65</v>
      </c>
      <c r="B25" s="3" t="s">
        <v>23</v>
      </c>
      <c r="C25" s="3" t="s">
        <v>66</v>
      </c>
      <c r="D25" s="7">
        <v>1256415.0</v>
      </c>
      <c r="E25" s="7">
        <v>39186.0</v>
      </c>
      <c r="F25" s="7">
        <v>6266064.0</v>
      </c>
      <c r="G25" s="7">
        <v>5981569.0</v>
      </c>
      <c r="H25" s="7">
        <v>1.5074636E7</v>
      </c>
      <c r="I25" s="3">
        <v>51.617488789</v>
      </c>
      <c r="J25" s="7">
        <v>9634162.0</v>
      </c>
      <c r="K25" s="3">
        <v>108.043</v>
      </c>
      <c r="L25" s="3">
        <v>43.4</v>
      </c>
      <c r="M25" s="8">
        <v>0.18577000000000002</v>
      </c>
      <c r="N25" s="8">
        <v>0.11976</v>
      </c>
      <c r="O25" s="9">
        <v>26777.561</v>
      </c>
      <c r="P25" s="8">
        <v>0.268</v>
      </c>
      <c r="Q25" s="8">
        <v>0.348</v>
      </c>
      <c r="R25" s="8">
        <v>0.005</v>
      </c>
      <c r="S25" s="3">
        <v>0.854</v>
      </c>
      <c r="T25" s="3">
        <v>76.88</v>
      </c>
      <c r="U25" s="2"/>
    </row>
    <row r="26">
      <c r="A26" s="3" t="s">
        <v>67</v>
      </c>
      <c r="B26" s="3" t="s">
        <v>23</v>
      </c>
      <c r="C26" s="3" t="s">
        <v>68</v>
      </c>
      <c r="D26" s="7">
        <v>13641.0</v>
      </c>
      <c r="E26" s="3">
        <v>67.0</v>
      </c>
      <c r="F26" s="7">
        <v>68790.0</v>
      </c>
      <c r="G26" s="7">
        <v>65454.0</v>
      </c>
      <c r="H26" s="7">
        <v>177816.0</v>
      </c>
      <c r="I26" s="2"/>
      <c r="J26" s="7">
        <v>85410.0</v>
      </c>
      <c r="K26" s="3">
        <v>147.872</v>
      </c>
      <c r="L26" s="2"/>
      <c r="M26" s="8"/>
      <c r="N26" s="8"/>
      <c r="O26" s="10"/>
      <c r="P26" s="8"/>
      <c r="Q26" s="8"/>
      <c r="R26" s="8"/>
      <c r="S26" s="2"/>
      <c r="T26" s="3">
        <v>81.4</v>
      </c>
      <c r="U26" s="2"/>
    </row>
    <row r="27">
      <c r="A27" s="3" t="s">
        <v>69</v>
      </c>
      <c r="B27" s="3" t="s">
        <v>23</v>
      </c>
      <c r="C27" s="3" t="s">
        <v>70</v>
      </c>
      <c r="D27" s="7">
        <v>788559.0</v>
      </c>
      <c r="E27" s="7">
        <v>5912.0</v>
      </c>
      <c r="F27" s="7">
        <v>3902188.0</v>
      </c>
      <c r="G27" s="7">
        <v>3846616.0</v>
      </c>
      <c r="H27" s="7">
        <v>9764027.0</v>
      </c>
      <c r="I27" s="3">
        <v>62.867083333</v>
      </c>
      <c r="J27" s="7">
        <v>4982904.0</v>
      </c>
      <c r="K27" s="3">
        <v>69.874</v>
      </c>
      <c r="L27" s="3">
        <v>38.7</v>
      </c>
      <c r="M27" s="8">
        <v>0.13928000000000001</v>
      </c>
      <c r="N27" s="8">
        <v>0.08678000000000001</v>
      </c>
      <c r="O27" s="9">
        <v>67335.293</v>
      </c>
      <c r="P27" s="8">
        <v>0.23</v>
      </c>
      <c r="Q27" s="8">
        <v>0.257</v>
      </c>
      <c r="R27" s="8">
        <v>0.002</v>
      </c>
      <c r="S27" s="3">
        <v>0.955</v>
      </c>
      <c r="T27" s="3">
        <v>82.3</v>
      </c>
      <c r="U27" s="2"/>
    </row>
    <row r="28">
      <c r="A28" s="3" t="s">
        <v>71</v>
      </c>
      <c r="B28" s="3" t="s">
        <v>23</v>
      </c>
      <c r="C28" s="3" t="s">
        <v>72</v>
      </c>
      <c r="D28" s="7">
        <v>27059.0</v>
      </c>
      <c r="E28" s="3">
        <v>37.0</v>
      </c>
      <c r="F28" s="7">
        <v>288241.0</v>
      </c>
      <c r="G28" s="7">
        <v>283920.0</v>
      </c>
      <c r="H28" s="7">
        <v>716926.0</v>
      </c>
      <c r="I28" s="3">
        <v>41.049376855</v>
      </c>
      <c r="J28" s="7">
        <v>368792.0</v>
      </c>
      <c r="K28" s="3">
        <v>3.404</v>
      </c>
      <c r="L28" s="3">
        <v>37.3</v>
      </c>
      <c r="M28" s="8">
        <v>0.14431</v>
      </c>
      <c r="N28" s="8">
        <v>0.09207000000000001</v>
      </c>
      <c r="O28" s="9">
        <v>46482.958</v>
      </c>
      <c r="P28" s="8">
        <v>0.14300000000000002</v>
      </c>
      <c r="Q28" s="8">
        <v>0.152</v>
      </c>
      <c r="R28" s="8">
        <v>0.002</v>
      </c>
      <c r="S28" s="3">
        <v>0.949</v>
      </c>
      <c r="T28" s="3">
        <v>82.99</v>
      </c>
      <c r="U28" s="2"/>
    </row>
    <row r="29">
      <c r="A29" s="3" t="s">
        <v>73</v>
      </c>
      <c r="B29" s="3" t="s">
        <v>23</v>
      </c>
      <c r="C29" s="3" t="s">
        <v>74</v>
      </c>
      <c r="D29" s="7">
        <v>6125683.0</v>
      </c>
      <c r="E29" s="7">
        <v>137402.0</v>
      </c>
      <c r="F29" s="7">
        <v>4.8325002E7</v>
      </c>
      <c r="G29" s="7">
        <v>4.4691274E7</v>
      </c>
      <c r="H29" s="7">
        <v>1.11146951E8</v>
      </c>
      <c r="I29" s="3">
        <v>71.140313837</v>
      </c>
      <c r="J29" s="7">
        <v>6.0367471E7</v>
      </c>
      <c r="K29" s="3">
        <v>205.859</v>
      </c>
      <c r="L29" s="3">
        <v>47.9</v>
      </c>
      <c r="M29" s="8">
        <v>0.23021</v>
      </c>
      <c r="N29" s="8">
        <v>0.1624</v>
      </c>
      <c r="O29" s="9">
        <v>35220.084</v>
      </c>
      <c r="P29" s="8">
        <v>0.198</v>
      </c>
      <c r="Q29" s="8">
        <v>0.278</v>
      </c>
      <c r="R29" s="8">
        <v>0.02</v>
      </c>
      <c r="S29" s="3">
        <v>0.892</v>
      </c>
      <c r="T29" s="3">
        <v>83.51</v>
      </c>
      <c r="U29" s="2"/>
    </row>
    <row r="30">
      <c r="A30" s="3" t="s">
        <v>75</v>
      </c>
      <c r="B30" s="3" t="s">
        <v>23</v>
      </c>
      <c r="C30" s="3" t="s">
        <v>76</v>
      </c>
      <c r="D30" s="2"/>
      <c r="E30" s="2"/>
      <c r="F30" s="7">
        <v>81467.0</v>
      </c>
      <c r="G30" s="7">
        <v>76997.0</v>
      </c>
      <c r="H30" s="7">
        <v>209935.0</v>
      </c>
      <c r="I30" s="2"/>
      <c r="J30" s="7">
        <v>101073.0</v>
      </c>
      <c r="K30" s="2"/>
      <c r="L30" s="2"/>
      <c r="M30" s="8"/>
      <c r="N30" s="8"/>
      <c r="O30" s="10"/>
      <c r="P30" s="8"/>
      <c r="Q30" s="8"/>
      <c r="R30" s="8"/>
      <c r="S30" s="2"/>
      <c r="T30" s="2"/>
      <c r="U30" s="2"/>
    </row>
    <row r="31">
      <c r="A31" s="3" t="s">
        <v>77</v>
      </c>
      <c r="B31" s="3" t="s">
        <v>23</v>
      </c>
      <c r="C31" s="3" t="s">
        <v>78</v>
      </c>
      <c r="D31" s="7">
        <v>6131.0</v>
      </c>
      <c r="E31" s="3">
        <v>69.0</v>
      </c>
      <c r="F31" s="7">
        <v>26153.0</v>
      </c>
      <c r="G31" s="7">
        <v>25601.0</v>
      </c>
      <c r="H31" s="7">
        <v>63007.0</v>
      </c>
      <c r="I31" s="3">
        <v>48.120479042</v>
      </c>
      <c r="J31" s="7">
        <v>38254.0</v>
      </c>
      <c r="K31" s="3">
        <v>237.012</v>
      </c>
      <c r="L31" s="2"/>
      <c r="M31" s="8"/>
      <c r="N31" s="8"/>
      <c r="O31" s="10"/>
      <c r="P31" s="8"/>
      <c r="Q31" s="8"/>
      <c r="R31" s="8"/>
      <c r="S31" s="3">
        <v>0.919</v>
      </c>
      <c r="T31" s="3">
        <v>82.49</v>
      </c>
      <c r="U31" s="2"/>
    </row>
    <row r="32">
      <c r="A32" s="3" t="s">
        <v>79</v>
      </c>
      <c r="B32" s="3" t="s">
        <v>23</v>
      </c>
      <c r="C32" s="3" t="s">
        <v>80</v>
      </c>
      <c r="D32" s="7">
        <v>519597.0</v>
      </c>
      <c r="E32" s="7">
        <v>7387.0</v>
      </c>
      <c r="F32" s="7">
        <v>1917643.0</v>
      </c>
      <c r="G32" s="7">
        <v>1832005.0</v>
      </c>
      <c r="H32" s="7">
        <v>4131174.0</v>
      </c>
      <c r="I32" s="3">
        <v>48.29735119</v>
      </c>
      <c r="J32" s="7">
        <v>2689862.0</v>
      </c>
      <c r="K32" s="3">
        <v>45.135</v>
      </c>
      <c r="L32" s="3">
        <v>43.5</v>
      </c>
      <c r="M32" s="8">
        <v>0.19002</v>
      </c>
      <c r="N32" s="8">
        <v>0.13778</v>
      </c>
      <c r="O32" s="9">
        <v>29524.265</v>
      </c>
      <c r="P32" s="8">
        <v>0.213</v>
      </c>
      <c r="Q32" s="8">
        <v>0.38</v>
      </c>
      <c r="R32" s="8">
        <v>0.006999999999999999</v>
      </c>
      <c r="S32" s="3">
        <v>0.882</v>
      </c>
      <c r="T32" s="3">
        <v>75.93</v>
      </c>
      <c r="U32" s="2"/>
    </row>
    <row r="33">
      <c r="A33" s="3" t="s">
        <v>81</v>
      </c>
      <c r="B33" s="3" t="s">
        <v>23</v>
      </c>
      <c r="C33" s="3" t="s">
        <v>82</v>
      </c>
      <c r="D33" s="7">
        <v>103766.0</v>
      </c>
      <c r="E33" s="3">
        <v>915.0</v>
      </c>
      <c r="F33" s="7">
        <v>464443.0</v>
      </c>
      <c r="G33" s="7">
        <v>429705.0</v>
      </c>
      <c r="H33" s="7">
        <v>1076365.0</v>
      </c>
      <c r="I33" s="3">
        <v>48.001063516</v>
      </c>
      <c r="J33" s="7">
        <v>634814.0</v>
      </c>
      <c r="K33" s="3">
        <v>231.447</v>
      </c>
      <c r="L33" s="3">
        <v>39.7</v>
      </c>
      <c r="M33" s="8">
        <v>0.14312</v>
      </c>
      <c r="N33" s="8">
        <v>0.09842000000000001</v>
      </c>
      <c r="O33" s="9">
        <v>94277.965000002</v>
      </c>
      <c r="P33" s="8">
        <v>0.209</v>
      </c>
      <c r="Q33" s="8">
        <v>0.26</v>
      </c>
      <c r="R33" s="8">
        <v>0.002</v>
      </c>
      <c r="S33" s="3">
        <v>0.916</v>
      </c>
      <c r="T33" s="3">
        <v>82.25</v>
      </c>
      <c r="U33" s="2"/>
    </row>
    <row r="34">
      <c r="A34" s="3" t="s">
        <v>83</v>
      </c>
      <c r="B34" s="3" t="s">
        <v>23</v>
      </c>
      <c r="C34" s="3" t="s">
        <v>84</v>
      </c>
      <c r="D34" s="7">
        <v>276674.0</v>
      </c>
      <c r="E34" s="7">
        <v>4570.0</v>
      </c>
      <c r="F34" s="7">
        <v>1314671.0</v>
      </c>
      <c r="G34" s="7">
        <v>1262464.0</v>
      </c>
      <c r="H34" s="7">
        <v>2555735.0</v>
      </c>
      <c r="I34" s="3">
        <v>49.951807407</v>
      </c>
      <c r="J34" s="7">
        <v>1866934.0</v>
      </c>
      <c r="K34" s="3">
        <v>31.212</v>
      </c>
      <c r="L34" s="3">
        <v>43.9</v>
      </c>
      <c r="M34" s="8">
        <v>0.19754000000000002</v>
      </c>
      <c r="N34" s="8">
        <v>0.14135999999999999</v>
      </c>
      <c r="O34" s="9">
        <v>25063.846</v>
      </c>
      <c r="P34" s="8">
        <v>0.256</v>
      </c>
      <c r="Q34" s="8">
        <v>0.51</v>
      </c>
      <c r="R34" s="8">
        <v>0.006999999999999999</v>
      </c>
      <c r="S34" s="3">
        <v>0.866</v>
      </c>
      <c r="T34" s="3">
        <v>75.29</v>
      </c>
      <c r="U34" s="2"/>
    </row>
    <row r="35">
      <c r="A35" s="3" t="s">
        <v>85</v>
      </c>
      <c r="B35" s="3" t="s">
        <v>23</v>
      </c>
      <c r="C35" s="3" t="s">
        <v>86</v>
      </c>
      <c r="D35" s="7">
        <v>4985.0</v>
      </c>
      <c r="E35" s="3">
        <v>38.0</v>
      </c>
      <c r="F35" s="7">
        <v>26672.0</v>
      </c>
      <c r="G35" s="7">
        <v>23308.0</v>
      </c>
      <c r="H35" s="7">
        <v>49980.0</v>
      </c>
      <c r="I35" s="3">
        <v>54.611994048</v>
      </c>
      <c r="J35" s="7">
        <v>39520.0</v>
      </c>
      <c r="K35" s="11">
        <v>19347.5</v>
      </c>
      <c r="L35" s="2"/>
      <c r="M35" s="8"/>
      <c r="N35" s="8"/>
      <c r="O35" s="10"/>
      <c r="P35" s="8"/>
      <c r="Q35" s="8"/>
      <c r="R35" s="8"/>
      <c r="S35" s="2"/>
      <c r="T35" s="3">
        <v>86.75</v>
      </c>
      <c r="U35" s="2"/>
    </row>
    <row r="36">
      <c r="A36" s="3" t="s">
        <v>87</v>
      </c>
      <c r="B36" s="3" t="s">
        <v>23</v>
      </c>
      <c r="C36" s="3" t="s">
        <v>88</v>
      </c>
      <c r="D36" s="7">
        <v>376155.0</v>
      </c>
      <c r="E36" s="7">
        <v>9690.0</v>
      </c>
      <c r="F36" s="7">
        <v>989897.0</v>
      </c>
      <c r="G36" s="7">
        <v>982152.0</v>
      </c>
      <c r="H36" s="7">
        <v>1776513.0</v>
      </c>
      <c r="I36" s="3">
        <v>55.712003012</v>
      </c>
      <c r="J36" s="7">
        <v>4024025.0</v>
      </c>
      <c r="K36" s="3">
        <v>123.655</v>
      </c>
      <c r="L36" s="3">
        <v>37.6</v>
      </c>
      <c r="M36" s="8">
        <v>0.10864000000000001</v>
      </c>
      <c r="N36" s="8">
        <v>0.06955</v>
      </c>
      <c r="O36" s="9">
        <v>5189.972</v>
      </c>
      <c r="P36" s="8">
        <v>0.059000000000000004</v>
      </c>
      <c r="Q36" s="8">
        <v>0.446</v>
      </c>
      <c r="R36" s="8">
        <v>0.002</v>
      </c>
      <c r="S36" s="3">
        <v>0.75</v>
      </c>
      <c r="T36" s="3">
        <v>71.9</v>
      </c>
      <c r="U36" s="2"/>
    </row>
    <row r="37">
      <c r="A37" s="3" t="s">
        <v>89</v>
      </c>
      <c r="B37" s="3" t="s">
        <v>23</v>
      </c>
      <c r="C37" s="3" t="s">
        <v>90</v>
      </c>
      <c r="D37" s="7">
        <v>225049.0</v>
      </c>
      <c r="E37" s="7">
        <v>7960.0</v>
      </c>
      <c r="F37" s="7">
        <v>842871.0</v>
      </c>
      <c r="G37" s="7">
        <v>816777.0</v>
      </c>
      <c r="H37" s="7">
        <v>1755026.0</v>
      </c>
      <c r="I37" s="2"/>
      <c r="J37" s="7">
        <v>2082661.0</v>
      </c>
      <c r="K37" s="3">
        <v>82.6</v>
      </c>
      <c r="L37" s="3">
        <v>39.1</v>
      </c>
      <c r="M37" s="8">
        <v>0.1326</v>
      </c>
      <c r="N37" s="8">
        <v>0.0816</v>
      </c>
      <c r="O37" s="9">
        <v>13111.214</v>
      </c>
      <c r="P37" s="8"/>
      <c r="Q37" s="8"/>
      <c r="R37" s="8">
        <v>0.05</v>
      </c>
      <c r="S37" s="3">
        <v>0.774</v>
      </c>
      <c r="T37" s="3">
        <v>75.8</v>
      </c>
      <c r="U37" s="2"/>
    </row>
    <row r="38">
      <c r="A38" s="3" t="s">
        <v>91</v>
      </c>
      <c r="B38" s="3" t="s">
        <v>23</v>
      </c>
      <c r="C38" s="3" t="s">
        <v>92</v>
      </c>
      <c r="D38" s="7">
        <v>52473.0</v>
      </c>
      <c r="E38" s="3">
        <v>476.0</v>
      </c>
      <c r="F38" s="7">
        <v>444615.0</v>
      </c>
      <c r="G38" s="7">
        <v>435874.0</v>
      </c>
      <c r="H38" s="7">
        <v>1072274.0</v>
      </c>
      <c r="I38" s="3">
        <v>53.037736132</v>
      </c>
      <c r="J38" s="7">
        <v>516100.0</v>
      </c>
      <c r="K38" s="11">
        <v>1454.037</v>
      </c>
      <c r="L38" s="3">
        <v>42.4</v>
      </c>
      <c r="M38" s="8">
        <v>0.19426</v>
      </c>
      <c r="N38" s="8">
        <v>0.11324</v>
      </c>
      <c r="O38" s="9">
        <v>36513.323</v>
      </c>
      <c r="P38" s="8">
        <v>0.209</v>
      </c>
      <c r="Q38" s="8">
        <v>0.302</v>
      </c>
      <c r="R38" s="8">
        <v>0.002</v>
      </c>
      <c r="S38" s="3">
        <v>0.895</v>
      </c>
      <c r="T38" s="3">
        <v>82.53</v>
      </c>
      <c r="U38" s="2"/>
    </row>
    <row r="39">
      <c r="A39" s="3" t="s">
        <v>93</v>
      </c>
      <c r="B39" s="3" t="s">
        <v>23</v>
      </c>
      <c r="C39" s="3" t="s">
        <v>94</v>
      </c>
      <c r="D39" s="7">
        <v>170034.0</v>
      </c>
      <c r="E39" s="7">
        <v>2411.0</v>
      </c>
      <c r="F39" s="7">
        <v>283884.0</v>
      </c>
      <c r="G39" s="7">
        <v>272853.0</v>
      </c>
      <c r="H39" s="7">
        <v>634517.0</v>
      </c>
      <c r="I39" s="2"/>
      <c r="J39" s="7">
        <v>628051.0</v>
      </c>
      <c r="K39" s="3">
        <v>46.28</v>
      </c>
      <c r="L39" s="3">
        <v>39.1</v>
      </c>
      <c r="M39" s="8">
        <v>0.14762</v>
      </c>
      <c r="N39" s="8">
        <v>0.09394999999999999</v>
      </c>
      <c r="O39" s="9">
        <v>16409.288</v>
      </c>
      <c r="P39" s="8">
        <v>0.44</v>
      </c>
      <c r="Q39" s="8">
        <v>0.479</v>
      </c>
      <c r="R39" s="8">
        <v>0.01</v>
      </c>
      <c r="S39" s="3">
        <v>0.829</v>
      </c>
      <c r="T39" s="3">
        <v>76.88</v>
      </c>
      <c r="U39" s="2"/>
    </row>
    <row r="40">
      <c r="A40" s="3" t="s">
        <v>95</v>
      </c>
      <c r="B40" s="3" t="s">
        <v>23</v>
      </c>
      <c r="C40" s="3" t="s">
        <v>96</v>
      </c>
      <c r="D40" s="7">
        <v>3137942.0</v>
      </c>
      <c r="E40" s="7">
        <v>20999.0</v>
      </c>
      <c r="F40" s="7">
        <v>1.3316328E7</v>
      </c>
      <c r="G40" s="7">
        <v>1.2224315E7</v>
      </c>
      <c r="H40" s="7">
        <v>2.7853098E7</v>
      </c>
      <c r="I40" s="3">
        <v>58.717833828</v>
      </c>
      <c r="J40" s="7">
        <v>1.7173094E7</v>
      </c>
      <c r="K40" s="3">
        <v>508.544</v>
      </c>
      <c r="L40" s="3">
        <v>43.2</v>
      </c>
      <c r="M40" s="8">
        <v>0.18779</v>
      </c>
      <c r="N40" s="8">
        <v>0.11881</v>
      </c>
      <c r="O40" s="9">
        <v>48472.545000001</v>
      </c>
      <c r="P40" s="8">
        <v>0.244</v>
      </c>
      <c r="Q40" s="8">
        <v>0.273</v>
      </c>
      <c r="R40" s="8"/>
      <c r="S40" s="3">
        <v>0.944</v>
      </c>
      <c r="T40" s="3">
        <v>82.28</v>
      </c>
      <c r="U40" s="2"/>
    </row>
    <row r="41">
      <c r="A41" s="3" t="s">
        <v>97</v>
      </c>
      <c r="B41" s="3" t="s">
        <v>23</v>
      </c>
      <c r="C41" s="3" t="s">
        <v>98</v>
      </c>
      <c r="D41" s="7">
        <v>394259.0</v>
      </c>
      <c r="E41" s="7">
        <v>1305.0</v>
      </c>
      <c r="F41" s="7">
        <v>4286516.0</v>
      </c>
      <c r="G41" s="7">
        <v>3923172.0</v>
      </c>
      <c r="H41" s="7">
        <v>9769935.0</v>
      </c>
      <c r="I41" s="3">
        <v>49.314955621</v>
      </c>
      <c r="J41" s="7">
        <v>5465629.0</v>
      </c>
      <c r="K41" s="3">
        <v>14.462</v>
      </c>
      <c r="L41" s="3">
        <v>39.7</v>
      </c>
      <c r="M41" s="8">
        <v>0.16821000000000003</v>
      </c>
      <c r="N41" s="8">
        <v>0.10813</v>
      </c>
      <c r="O41" s="9">
        <v>64800.056999999</v>
      </c>
      <c r="P41" s="8">
        <v>0.196</v>
      </c>
      <c r="Q41" s="8">
        <v>0.207</v>
      </c>
      <c r="R41" s="8">
        <v>0.002</v>
      </c>
      <c r="S41" s="3">
        <v>0.957</v>
      </c>
      <c r="T41" s="3">
        <v>82.4</v>
      </c>
      <c r="U41" s="2"/>
    </row>
    <row r="42">
      <c r="A42" s="3" t="s">
        <v>99</v>
      </c>
      <c r="B42" s="3" t="s">
        <v>23</v>
      </c>
      <c r="C42" s="3" t="s">
        <v>100</v>
      </c>
      <c r="D42" s="7">
        <v>4108215.0</v>
      </c>
      <c r="E42" s="7">
        <v>97054.0</v>
      </c>
      <c r="F42" s="7">
        <v>2.1673668E7</v>
      </c>
      <c r="G42" s="7">
        <v>2.10464E7</v>
      </c>
      <c r="H42" s="7">
        <v>4.6987401E7</v>
      </c>
      <c r="I42" s="3">
        <v>55.352350299</v>
      </c>
      <c r="J42" s="7">
        <v>3.7797E7</v>
      </c>
      <c r="K42" s="3">
        <v>124.027</v>
      </c>
      <c r="L42" s="3">
        <v>41.8</v>
      </c>
      <c r="M42" s="8">
        <v>0.16763000000000003</v>
      </c>
      <c r="N42" s="8">
        <v>0.10202</v>
      </c>
      <c r="O42" s="9">
        <v>27216.445</v>
      </c>
      <c r="P42" s="8">
        <v>0.233</v>
      </c>
      <c r="Q42" s="8">
        <v>0.331</v>
      </c>
      <c r="R42" s="8"/>
      <c r="S42" s="3">
        <v>0.88</v>
      </c>
      <c r="T42" s="3">
        <v>78.73</v>
      </c>
      <c r="U42" s="2"/>
    </row>
    <row r="43">
      <c r="A43" s="3" t="s">
        <v>101</v>
      </c>
      <c r="B43" s="3" t="s">
        <v>23</v>
      </c>
      <c r="C43" s="3" t="s">
        <v>102</v>
      </c>
      <c r="D43" s="7">
        <v>1389646.0</v>
      </c>
      <c r="E43" s="7">
        <v>18955.0</v>
      </c>
      <c r="F43" s="7">
        <v>9304557.0</v>
      </c>
      <c r="G43" s="7">
        <v>9103550.0</v>
      </c>
      <c r="H43" s="7">
        <v>1.9320364E7</v>
      </c>
      <c r="I43" s="3">
        <v>62.550342772</v>
      </c>
      <c r="J43" s="7">
        <v>1.0167923E7</v>
      </c>
      <c r="K43" s="3">
        <v>112.371</v>
      </c>
      <c r="L43" s="3">
        <v>46.2</v>
      </c>
      <c r="M43" s="8">
        <v>0.21502</v>
      </c>
      <c r="N43" s="8">
        <v>0.14923999999999998</v>
      </c>
      <c r="O43" s="9">
        <v>27936.896</v>
      </c>
      <c r="P43" s="8">
        <v>0.163</v>
      </c>
      <c r="Q43" s="8">
        <v>0.3</v>
      </c>
      <c r="R43" s="8">
        <v>0.005</v>
      </c>
      <c r="S43" s="3">
        <v>0.864</v>
      </c>
      <c r="T43" s="3">
        <v>82.05</v>
      </c>
      <c r="U43" s="2"/>
    </row>
    <row r="44">
      <c r="A44" s="3" t="s">
        <v>103</v>
      </c>
      <c r="B44" s="3" t="s">
        <v>23</v>
      </c>
      <c r="C44" s="3" t="s">
        <v>104</v>
      </c>
      <c r="D44" s="7">
        <v>1808891.0</v>
      </c>
      <c r="E44" s="7">
        <v>58752.0</v>
      </c>
      <c r="F44" s="7">
        <v>5478579.0</v>
      </c>
      <c r="G44" s="7">
        <v>7817215.0</v>
      </c>
      <c r="H44" s="7">
        <v>1.5850096E7</v>
      </c>
      <c r="I44" s="3">
        <v>57.340103704</v>
      </c>
      <c r="J44" s="7">
        <v>1.9127772E7</v>
      </c>
      <c r="K44" s="3">
        <v>85.129</v>
      </c>
      <c r="L44" s="3">
        <v>43.0</v>
      </c>
      <c r="M44" s="8">
        <v>0.17850000000000002</v>
      </c>
      <c r="N44" s="8">
        <v>0.11689999999999999</v>
      </c>
      <c r="O44" s="9">
        <v>23313.199</v>
      </c>
      <c r="P44" s="8">
        <v>0.22899999999999998</v>
      </c>
      <c r="Q44" s="8">
        <v>0.371</v>
      </c>
      <c r="R44" s="8">
        <v>0.057</v>
      </c>
      <c r="S44" s="3">
        <v>0.828</v>
      </c>
      <c r="T44" s="3">
        <v>76.05</v>
      </c>
      <c r="U44" s="2"/>
    </row>
    <row r="45">
      <c r="A45" s="3" t="s">
        <v>105</v>
      </c>
      <c r="B45" s="3" t="s">
        <v>23</v>
      </c>
      <c r="C45" s="3" t="s">
        <v>106</v>
      </c>
      <c r="D45" s="7">
        <v>1.0320405E7</v>
      </c>
      <c r="E45" s="7">
        <v>302671.0</v>
      </c>
      <c r="F45" s="7">
        <v>7.3824201E7</v>
      </c>
      <c r="G45" s="7">
        <v>6.6773441E7</v>
      </c>
      <c r="H45" s="7">
        <v>1.46364014E8</v>
      </c>
      <c r="I45" s="3">
        <v>49.767874465</v>
      </c>
      <c r="J45" s="7">
        <v>1.45912022E8</v>
      </c>
      <c r="K45" s="3">
        <v>8.823</v>
      </c>
      <c r="L45" s="3">
        <v>39.6</v>
      </c>
      <c r="M45" s="8">
        <v>0.14178000000000002</v>
      </c>
      <c r="N45" s="8">
        <v>0.09393000000000001</v>
      </c>
      <c r="O45" s="9">
        <v>24765.954</v>
      </c>
      <c r="P45" s="8">
        <v>0.23399999999999999</v>
      </c>
      <c r="Q45" s="8">
        <v>0.583</v>
      </c>
      <c r="R45" s="8">
        <v>0.001</v>
      </c>
      <c r="S45" s="3">
        <v>0.824</v>
      </c>
      <c r="T45" s="3">
        <v>72.58</v>
      </c>
      <c r="U45" s="2"/>
    </row>
    <row r="46">
      <c r="A46" s="3" t="s">
        <v>107</v>
      </c>
      <c r="B46" s="3" t="s">
        <v>23</v>
      </c>
      <c r="C46" s="3" t="s">
        <v>108</v>
      </c>
      <c r="D46" s="7">
        <v>8202.0</v>
      </c>
      <c r="E46" s="3">
        <v>100.0</v>
      </c>
      <c r="F46" s="7">
        <v>24306.0</v>
      </c>
      <c r="G46" s="7">
        <v>21625.0</v>
      </c>
      <c r="H46" s="7">
        <v>53942.0</v>
      </c>
      <c r="I46" s="3">
        <v>48.697738095</v>
      </c>
      <c r="J46" s="7">
        <v>34010.0</v>
      </c>
      <c r="K46" s="3">
        <v>556.667</v>
      </c>
      <c r="L46" s="2"/>
      <c r="M46" s="8"/>
      <c r="N46" s="8"/>
      <c r="O46" s="9">
        <v>56861.469999999</v>
      </c>
      <c r="P46" s="8"/>
      <c r="Q46" s="8"/>
      <c r="R46" s="8"/>
      <c r="S46" s="2"/>
      <c r="T46" s="3">
        <v>84.97</v>
      </c>
      <c r="U46" s="2"/>
    </row>
    <row r="47">
      <c r="A47" s="3" t="s">
        <v>109</v>
      </c>
      <c r="B47" s="3" t="s">
        <v>23</v>
      </c>
      <c r="C47" s="3" t="s">
        <v>110</v>
      </c>
      <c r="D47" s="7">
        <v>1299339.0</v>
      </c>
      <c r="E47" s="7">
        <v>12714.0</v>
      </c>
      <c r="F47" s="7">
        <v>3309157.0</v>
      </c>
      <c r="G47" s="7">
        <v>3207534.0</v>
      </c>
      <c r="H47" s="7">
        <v>8239799.0</v>
      </c>
      <c r="I47" s="3">
        <v>50.677777778</v>
      </c>
      <c r="J47" s="7">
        <v>6871547.0</v>
      </c>
      <c r="K47" s="3">
        <v>80.291</v>
      </c>
      <c r="L47" s="3">
        <v>41.2</v>
      </c>
      <c r="M47" s="8">
        <v>0.17366</v>
      </c>
      <c r="N47" s="8"/>
      <c r="O47" s="9">
        <v>14048.881</v>
      </c>
      <c r="P47" s="8">
        <v>0.377</v>
      </c>
      <c r="Q47" s="8">
        <v>0.402</v>
      </c>
      <c r="R47" s="8"/>
      <c r="S47" s="3">
        <v>0.806</v>
      </c>
      <c r="T47" s="3">
        <v>76.0</v>
      </c>
      <c r="U47" s="2"/>
    </row>
    <row r="48">
      <c r="A48" s="3" t="s">
        <v>111</v>
      </c>
      <c r="B48" s="3" t="s">
        <v>23</v>
      </c>
      <c r="C48" s="3" t="s">
        <v>112</v>
      </c>
      <c r="D48" s="7">
        <v>1371082.0</v>
      </c>
      <c r="E48" s="7">
        <v>16635.0</v>
      </c>
      <c r="F48" s="7">
        <v>2746875.0</v>
      </c>
      <c r="G48" s="7">
        <v>2617630.0</v>
      </c>
      <c r="H48" s="7">
        <v>6254823.0</v>
      </c>
      <c r="I48" s="3">
        <v>53.47966967</v>
      </c>
      <c r="J48" s="7">
        <v>5449270.0</v>
      </c>
      <c r="K48" s="3">
        <v>113.128</v>
      </c>
      <c r="L48" s="3">
        <v>41.2</v>
      </c>
      <c r="M48" s="8">
        <v>0.1507</v>
      </c>
      <c r="N48" s="8">
        <v>0.09167</v>
      </c>
      <c r="O48" s="9">
        <v>30155.152</v>
      </c>
      <c r="P48" s="8">
        <v>0.231</v>
      </c>
      <c r="Q48" s="8">
        <v>0.377</v>
      </c>
      <c r="R48" s="8">
        <v>0.006999999999999999</v>
      </c>
      <c r="S48" s="3">
        <v>0.86</v>
      </c>
      <c r="T48" s="3">
        <v>77.54</v>
      </c>
      <c r="U48" s="2"/>
    </row>
    <row r="49">
      <c r="A49" s="3" t="s">
        <v>113</v>
      </c>
      <c r="B49" s="3" t="s">
        <v>23</v>
      </c>
      <c r="C49" s="3" t="s">
        <v>114</v>
      </c>
      <c r="D49" s="7">
        <v>464048.0</v>
      </c>
      <c r="E49" s="7">
        <v>5589.0</v>
      </c>
      <c r="F49" s="7">
        <v>1250472.0</v>
      </c>
      <c r="G49" s="7">
        <v>1189664.0</v>
      </c>
      <c r="H49" s="7">
        <v>2761858.0</v>
      </c>
      <c r="I49" s="3">
        <v>53.30841954</v>
      </c>
      <c r="J49" s="7">
        <v>2078723.0</v>
      </c>
      <c r="K49" s="3">
        <v>102.619</v>
      </c>
      <c r="L49" s="3">
        <v>44.5</v>
      </c>
      <c r="M49" s="8">
        <v>0.19062</v>
      </c>
      <c r="N49" s="8">
        <v>0.1293</v>
      </c>
      <c r="O49" s="9">
        <v>31400.84</v>
      </c>
      <c r="P49" s="8">
        <v>0.201</v>
      </c>
      <c r="Q49" s="8">
        <v>0.25</v>
      </c>
      <c r="R49" s="8"/>
      <c r="S49" s="3">
        <v>0.917</v>
      </c>
      <c r="T49" s="3">
        <v>81.32</v>
      </c>
      <c r="U49" s="2"/>
    </row>
    <row r="50">
      <c r="A50" s="3" t="s">
        <v>115</v>
      </c>
      <c r="B50" s="3" t="s">
        <v>23</v>
      </c>
      <c r="C50" s="3" t="s">
        <v>116</v>
      </c>
      <c r="D50" s="7">
        <v>1314784.0</v>
      </c>
      <c r="E50" s="7">
        <v>15310.0</v>
      </c>
      <c r="F50" s="7">
        <v>7736260.0</v>
      </c>
      <c r="G50" s="7">
        <v>7385941.0</v>
      </c>
      <c r="H50" s="7">
        <v>1.7582457E7</v>
      </c>
      <c r="I50" s="3">
        <v>50.644657143</v>
      </c>
      <c r="J50" s="7">
        <v>1.0160159E7</v>
      </c>
      <c r="K50" s="3">
        <v>24.718</v>
      </c>
      <c r="L50" s="3">
        <v>41.0</v>
      </c>
      <c r="M50" s="8">
        <v>0.19985</v>
      </c>
      <c r="N50" s="8">
        <v>0.13433</v>
      </c>
      <c r="O50" s="9">
        <v>46949.283</v>
      </c>
      <c r="P50" s="8">
        <v>0.188</v>
      </c>
      <c r="Q50" s="8">
        <v>0.18899999999999997</v>
      </c>
      <c r="R50" s="8">
        <v>0.005</v>
      </c>
      <c r="S50" s="3">
        <v>0.945</v>
      </c>
      <c r="T50" s="3">
        <v>82.8</v>
      </c>
      <c r="U50" s="2"/>
    </row>
    <row r="51">
      <c r="A51" s="3" t="s">
        <v>117</v>
      </c>
      <c r="B51" s="3" t="s">
        <v>23</v>
      </c>
      <c r="C51" s="3" t="s">
        <v>118</v>
      </c>
      <c r="D51" s="7">
        <v>3847226.0</v>
      </c>
      <c r="E51" s="7">
        <v>102088.0</v>
      </c>
      <c r="F51" s="7">
        <v>1.4713309E7</v>
      </c>
      <c r="G51" s="7">
        <v>1.3755421E7</v>
      </c>
      <c r="H51" s="7">
        <v>2.844805E7</v>
      </c>
      <c r="I51" s="3">
        <v>60.315381166</v>
      </c>
      <c r="J51" s="7">
        <v>4.3466822E7</v>
      </c>
      <c r="K51" s="3">
        <v>77.39</v>
      </c>
      <c r="L51" s="3">
        <v>41.4</v>
      </c>
      <c r="M51" s="8">
        <v>0.16462</v>
      </c>
      <c r="N51" s="8">
        <v>0.11132999999999998</v>
      </c>
      <c r="O51" s="9">
        <v>7894.393</v>
      </c>
      <c r="P51" s="8">
        <v>0.135</v>
      </c>
      <c r="Q51" s="8">
        <v>0.474</v>
      </c>
      <c r="R51" s="8">
        <v>0.001</v>
      </c>
      <c r="S51" s="3">
        <v>0.779</v>
      </c>
      <c r="T51" s="3">
        <v>72.06</v>
      </c>
      <c r="U51" s="2"/>
    </row>
    <row r="52">
      <c r="A52" s="3" t="s">
        <v>119</v>
      </c>
      <c r="B52" s="3" t="s">
        <v>23</v>
      </c>
      <c r="C52" s="3" t="s">
        <v>120</v>
      </c>
      <c r="D52" s="3">
        <v>27.0</v>
      </c>
      <c r="E52" s="2"/>
      <c r="F52" s="2"/>
      <c r="G52" s="2"/>
      <c r="H52" s="2"/>
      <c r="I52" s="2"/>
      <c r="J52" s="3">
        <v>812.0</v>
      </c>
      <c r="K52" s="2"/>
      <c r="L52" s="2"/>
      <c r="M52" s="8"/>
      <c r="N52" s="12"/>
      <c r="O52" s="10"/>
      <c r="P52" s="12"/>
      <c r="Q52" s="12"/>
      <c r="R52" s="12"/>
      <c r="S52" s="2"/>
      <c r="T52" s="3">
        <v>75.12</v>
      </c>
      <c r="U5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 VLOOKUP($C2,covid_vlookup,2, FALSE), "No Data")</f>
        <v>No Data</v>
      </c>
      <c r="E2" s="14" t="str">
        <f>IFERROR( VLOOKUP($C2,covid_vlookup,3, FALSE), "No Data")</f>
        <v>No Data</v>
      </c>
      <c r="F2" s="14" t="str">
        <f>IFERROR( VLOOKUP($C2,covid_vlookup,8, FALSE), "No Data")</f>
        <v>No Data</v>
      </c>
      <c r="G2" s="14" t="str">
        <f>IFERROR( VLOOKUP($C2,covid_vlookup,13, FALSE), "No Data")</f>
        <v>No Data</v>
      </c>
      <c r="H2" s="2"/>
    </row>
    <row r="3">
      <c r="A3" s="3" t="s">
        <v>22</v>
      </c>
      <c r="B3" s="3" t="s">
        <v>23</v>
      </c>
      <c r="C3" s="3" t="s">
        <v>24</v>
      </c>
      <c r="D3" s="14">
        <f>IFERROR( VLOOKUP($C3,covid_vlookup,2, FALSE), "No Data")</f>
        <v>210224</v>
      </c>
      <c r="E3" s="14">
        <f>IFERROR( VLOOKUP($C3,covid_vlookup,3, FALSE), "No Data")</f>
        <v>3217</v>
      </c>
      <c r="F3" s="14">
        <f>IFERROR( VLOOKUP($C3,covid_vlookup,8, FALSE), "No Data")</f>
        <v>2872934</v>
      </c>
      <c r="G3" s="14">
        <f>IFERROR( VLOOKUP($C3,covid_vlookup,13, FALSE), "No Data")</f>
        <v>11803.431</v>
      </c>
      <c r="H3" s="2"/>
    </row>
    <row r="4">
      <c r="A4" s="3" t="s">
        <v>124</v>
      </c>
      <c r="B4" s="3" t="s">
        <v>125</v>
      </c>
      <c r="C4" s="3" t="s">
        <v>126</v>
      </c>
      <c r="D4" s="14" t="str">
        <f>IFERROR( VLOOKUP($C4,covid_vlookup,2, FALSE), "No Data")</f>
        <v>No Data</v>
      </c>
      <c r="E4" s="14" t="str">
        <f>IFERROR( VLOOKUP($C4,covid_vlookup,3, FALSE), "No Data")</f>
        <v>No Data</v>
      </c>
      <c r="F4" s="14" t="str">
        <f>IFERROR( VLOOKUP($C4,covid_vlookup,8, FALSE), "No Data")</f>
        <v>No Data</v>
      </c>
      <c r="G4" s="14" t="str">
        <f>IFERROR( VLOOKUP($C4,covid_vlookup,13, FALSE), "No Data")</f>
        <v>No Data</v>
      </c>
      <c r="H4" s="2"/>
    </row>
    <row r="5">
      <c r="A5" s="3" t="s">
        <v>25</v>
      </c>
      <c r="B5" s="3" t="s">
        <v>23</v>
      </c>
      <c r="C5" s="3" t="s">
        <v>26</v>
      </c>
      <c r="D5" s="14">
        <f>IFERROR( VLOOKUP($C5,covid_vlookup,2, FALSE), "No Data")</f>
        <v>23740</v>
      </c>
      <c r="E5" s="14">
        <f>IFERROR( VLOOKUP($C5,covid_vlookup,3, FALSE), "No Data")</f>
        <v>140</v>
      </c>
      <c r="F5" s="14">
        <f>IFERROR( VLOOKUP($C5,covid_vlookup,8, FALSE), "No Data")</f>
        <v>77354</v>
      </c>
      <c r="G5" s="14" t="str">
        <f>IFERROR( VLOOKUP($C5,covid_vlookup,13, FALSE), "No Data")</f>
        <v/>
      </c>
      <c r="H5" s="2"/>
    </row>
    <row r="6">
      <c r="A6" s="3" t="s">
        <v>127</v>
      </c>
      <c r="B6" s="3" t="s">
        <v>125</v>
      </c>
      <c r="C6" s="3" t="s">
        <v>128</v>
      </c>
      <c r="D6" s="14" t="str">
        <f>IFERROR( VLOOKUP($C6,covid_vlookup,2, 0), "No Data")</f>
        <v>No Data</v>
      </c>
      <c r="E6" s="14" t="str">
        <f>IFERROR( VLOOKUP($C6,covid_vlookup,3, FALSE), "No Data")</f>
        <v>No Data</v>
      </c>
      <c r="F6" s="14" t="str">
        <f>IFERROR( VLOOKUP($C6,covid_vlookup,8, FALSE), "No Data")</f>
        <v>No Data</v>
      </c>
      <c r="G6" s="14" t="str">
        <f>IFERROR( VLOOKUP($C6,covid_vlookup,13, FALSE), "No Data")</f>
        <v>No Data</v>
      </c>
      <c r="H6" s="2"/>
    </row>
    <row r="7">
      <c r="A7" s="3" t="s">
        <v>129</v>
      </c>
      <c r="B7" s="3" t="s">
        <v>130</v>
      </c>
      <c r="C7" s="3" t="s">
        <v>131</v>
      </c>
      <c r="D7" s="14" t="str">
        <f>IFERROR( VLOOKUP($C7,covid_vlookup,2, FALSE), "No Data")</f>
        <v>No Data</v>
      </c>
      <c r="E7" s="14" t="str">
        <f>IFERROR( VLOOKUP($C7,covid_vlookup,3, FALSE), "No Data")</f>
        <v>No Data</v>
      </c>
      <c r="F7" s="14" t="str">
        <f>IFERROR( VLOOKUP($C7,covid_vlookup,8, FALSE), "No Data")</f>
        <v>No Data</v>
      </c>
      <c r="G7" s="14" t="str">
        <f>IFERROR( VLOOKUP($C7,covid_vlookup,13, FALSE), "No Data")</f>
        <v>No Data</v>
      </c>
      <c r="H7" s="2"/>
    </row>
    <row r="8">
      <c r="A8" s="3" t="s">
        <v>132</v>
      </c>
      <c r="B8" s="3" t="s">
        <v>130</v>
      </c>
      <c r="C8" s="3" t="s">
        <v>133</v>
      </c>
      <c r="D8" s="14" t="str">
        <f>IFERROR( VLOOKUP($C8,covid_vlookup,2, FALSE), "No Data")</f>
        <v>No Data</v>
      </c>
      <c r="E8" s="14" t="str">
        <f>IFERROR( VLOOKUP($C8,covid_vlookup,3, FALSE), "No Data")</f>
        <v>No Data</v>
      </c>
      <c r="F8" s="14" t="str">
        <f>IFERROR( VLOOKUP($C8,covid_vlookup,8, FALSE), "No Data")</f>
        <v>No Data</v>
      </c>
      <c r="G8" s="14" t="str">
        <f>IFERROR( VLOOKUP($C8,covid_vlookup,13, FALSE), "No Data")</f>
        <v>No Data</v>
      </c>
      <c r="H8" s="2"/>
    </row>
    <row r="9">
      <c r="A9" s="3" t="s">
        <v>134</v>
      </c>
      <c r="B9" s="3" t="s">
        <v>135</v>
      </c>
      <c r="C9" s="3" t="s">
        <v>136</v>
      </c>
      <c r="D9" s="14" t="str">
        <f>IFERROR( VLOOKUP($C9,covid_vlookup,2, FALSE), "No Data")</f>
        <v>No Data</v>
      </c>
      <c r="E9" s="14" t="str">
        <f>IFERROR( VLOOKUP($C9,covid_vlookup,3, FALSE), "No Data")</f>
        <v>No Data</v>
      </c>
      <c r="F9" s="14" t="str">
        <f>IFERROR( VLOOKUP($C9,covid_vlookup,8, FALSE), "No Data")</f>
        <v>No Data</v>
      </c>
      <c r="G9" s="14" t="str">
        <f>IFERROR( VLOOKUP($C9,covid_vlookup,13, FALSE), "No Data")</f>
        <v>No Data</v>
      </c>
      <c r="H9" s="2"/>
    </row>
    <row r="10">
      <c r="A10" s="3" t="s">
        <v>137</v>
      </c>
      <c r="B10" s="3" t="s">
        <v>122</v>
      </c>
      <c r="C10" s="3" t="s">
        <v>138</v>
      </c>
      <c r="D10" s="14" t="str">
        <f>IFERROR( VLOOKUP($C10,covid_vlookup,2, FALSE), "No Data")</f>
        <v>No Data</v>
      </c>
      <c r="E10" s="14" t="str">
        <f>IFERROR( VLOOKUP($C10,covid_vlookup,3, FALSE), "No Data")</f>
        <v>No Data</v>
      </c>
      <c r="F10" s="14" t="str">
        <f>IFERROR( VLOOKUP($C10,covid_vlookup,8, FALSE), "No Data")</f>
        <v>No Data</v>
      </c>
      <c r="G10" s="14" t="str">
        <f>IFERROR( VLOOKUP($C10,covid_vlookup,13, FALSE), "No Data")</f>
        <v>No Data</v>
      </c>
      <c r="H10" s="2"/>
    </row>
    <row r="11">
      <c r="A11" s="3" t="s">
        <v>139</v>
      </c>
      <c r="B11" s="3" t="s">
        <v>130</v>
      </c>
      <c r="C11" s="3" t="s">
        <v>140</v>
      </c>
      <c r="D11" s="14" t="str">
        <f>IFERROR( VLOOKUP($C11,covid_vlookup,2, FALSE), "No Data")</f>
        <v>No Data</v>
      </c>
      <c r="E11" s="14" t="str">
        <f>IFERROR( VLOOKUP($C11,covid_vlookup,3, FALSE), "No Data")</f>
        <v>No Data</v>
      </c>
      <c r="F11" s="14" t="str">
        <f>IFERROR( VLOOKUP($C11,covid_vlookup,8, FALSE), "No Data")</f>
        <v>No Data</v>
      </c>
      <c r="G11" s="14" t="str">
        <f>IFERROR( VLOOKUP($C11,covid_vlookup,13, FALSE), "No Data")</f>
        <v>No Data</v>
      </c>
      <c r="H11" s="2"/>
    </row>
    <row r="12">
      <c r="A12" s="3" t="s">
        <v>141</v>
      </c>
      <c r="B12" s="3" t="s">
        <v>142</v>
      </c>
      <c r="C12" s="3" t="s">
        <v>143</v>
      </c>
      <c r="D12" s="14" t="str">
        <f>IFERROR( VLOOKUP($C12,covid_vlookup,2, FALSE), "No Data")</f>
        <v>No Data</v>
      </c>
      <c r="E12" s="14" t="str">
        <f>IFERROR( VLOOKUP($C12,covid_vlookup,3, FALSE), "No Data")</f>
        <v>No Data</v>
      </c>
      <c r="F12" s="14" t="str">
        <f>IFERROR( VLOOKUP($C12,covid_vlookup,8, FALSE), "No Data")</f>
        <v>No Data</v>
      </c>
      <c r="G12" s="14" t="str">
        <f>IFERROR( VLOOKUP($C12,covid_vlookup,13, FALSE), "No Data")</f>
        <v>No Data</v>
      </c>
      <c r="H12" s="2"/>
    </row>
    <row r="13">
      <c r="A13" s="3" t="s">
        <v>27</v>
      </c>
      <c r="B13" s="3" t="s">
        <v>23</v>
      </c>
      <c r="C13" s="3" t="s">
        <v>28</v>
      </c>
      <c r="D13" s="14">
        <f>IFERROR( VLOOKUP($C13,covid_vlookup,2, FALSE), "No Data")</f>
        <v>1278619</v>
      </c>
      <c r="E13" s="14">
        <f>IFERROR( VLOOKUP($C13,covid_vlookup,3, FALSE), "No Data")</f>
        <v>13733</v>
      </c>
      <c r="F13" s="14">
        <f>IFERROR( VLOOKUP($C13,covid_vlookup,8, FALSE), "No Data")</f>
        <v>9043072</v>
      </c>
      <c r="G13" s="14">
        <f>IFERROR( VLOOKUP($C13,covid_vlookup,13, FALSE), "No Data")</f>
        <v>45436.686</v>
      </c>
      <c r="H13" s="2"/>
    </row>
    <row r="14">
      <c r="A14" s="3" t="s">
        <v>144</v>
      </c>
      <c r="B14" s="3" t="s">
        <v>122</v>
      </c>
      <c r="C14" s="3" t="s">
        <v>145</v>
      </c>
      <c r="D14" s="14" t="str">
        <f>IFERROR( VLOOKUP($C14,covid_vlookup,2, FALSE), "No Data")</f>
        <v>No Data</v>
      </c>
      <c r="E14" s="14" t="str">
        <f>IFERROR( VLOOKUP($C14,covid_vlookup,3, FALSE), "No Data")</f>
        <v>No Data</v>
      </c>
      <c r="F14" s="14" t="str">
        <f>IFERROR( VLOOKUP($C14,covid_vlookup,8, FALSE), "No Data")</f>
        <v>No Data</v>
      </c>
      <c r="G14" s="14" t="str">
        <f>IFERROR( VLOOKUP($C14,covid_vlookup,13, FALSE), "No Data")</f>
        <v>No Data</v>
      </c>
      <c r="H14" s="2"/>
    </row>
    <row r="15">
      <c r="A15" s="3" t="s">
        <v>146</v>
      </c>
      <c r="B15" s="3" t="s">
        <v>130</v>
      </c>
      <c r="C15" s="3" t="s">
        <v>147</v>
      </c>
      <c r="D15" s="14" t="str">
        <f>IFERROR( VLOOKUP($C15,covid_vlookup,2, FALSE), "No Data")</f>
        <v>No Data</v>
      </c>
      <c r="E15" s="14" t="str">
        <f>IFERROR( VLOOKUP($C15,covid_vlookup,3, FALSE), "No Data")</f>
        <v>No Data</v>
      </c>
      <c r="F15" s="14" t="str">
        <f>IFERROR( VLOOKUP($C15,covid_vlookup,8, FALSE), "No Data")</f>
        <v>No Data</v>
      </c>
      <c r="G15" s="14" t="str">
        <f>IFERROR( VLOOKUP($C15,covid_vlookup,13, FALSE), "No Data")</f>
        <v>No Data</v>
      </c>
      <c r="H15" s="2"/>
    </row>
    <row r="16">
      <c r="A16" s="3" t="s">
        <v>148</v>
      </c>
      <c r="B16" s="3" t="s">
        <v>122</v>
      </c>
      <c r="C16" s="3" t="s">
        <v>149</v>
      </c>
      <c r="D16" s="14" t="str">
        <f>IFERROR( VLOOKUP($C16,covid_vlookup,2, FALSE), "No Data")</f>
        <v>No Data</v>
      </c>
      <c r="E16" s="14" t="str">
        <f>IFERROR( VLOOKUP($C16,covid_vlookup,3, FALSE), "No Data")</f>
        <v>No Data</v>
      </c>
      <c r="F16" s="14" t="str">
        <f>IFERROR( VLOOKUP($C16,covid_vlookup,8, FALSE), "No Data")</f>
        <v>No Data</v>
      </c>
      <c r="G16" s="14" t="str">
        <f>IFERROR( VLOOKUP($C16,covid_vlookup,13, FALSE), "No Data")</f>
        <v>No Data</v>
      </c>
      <c r="H16" s="2"/>
    </row>
    <row r="17">
      <c r="A17" s="3" t="s">
        <v>150</v>
      </c>
      <c r="B17" s="3" t="s">
        <v>122</v>
      </c>
      <c r="C17" s="3" t="s">
        <v>151</v>
      </c>
      <c r="D17" s="14" t="str">
        <f>IFERROR( VLOOKUP($C17,covid_vlookup,2, FALSE), "No Data")</f>
        <v>No Data</v>
      </c>
      <c r="E17" s="14" t="str">
        <f>IFERROR( VLOOKUP($C17,covid_vlookup,3, FALSE), "No Data")</f>
        <v>No Data</v>
      </c>
      <c r="F17" s="14" t="str">
        <f>IFERROR( VLOOKUP($C17,covid_vlookup,8, FALSE), "No Data")</f>
        <v>No Data</v>
      </c>
      <c r="G17" s="14" t="str">
        <f>IFERROR( VLOOKUP($C17,covid_vlookup,13, FALSE), "No Data")</f>
        <v>No Data</v>
      </c>
      <c r="H17" s="2"/>
    </row>
    <row r="18">
      <c r="A18" s="3" t="s">
        <v>152</v>
      </c>
      <c r="B18" s="3" t="s">
        <v>130</v>
      </c>
      <c r="C18" s="3" t="s">
        <v>153</v>
      </c>
      <c r="D18" s="14" t="str">
        <f>IFERROR( VLOOKUP($C18,covid_vlookup,2, FALSE), "No Data")</f>
        <v>No Data</v>
      </c>
      <c r="E18" s="14" t="str">
        <f>IFERROR( VLOOKUP($C18,covid_vlookup,3, FALSE), "No Data")</f>
        <v>No Data</v>
      </c>
      <c r="F18" s="14" t="str">
        <f>IFERROR( VLOOKUP($C18,covid_vlookup,8, FALSE), "No Data")</f>
        <v>No Data</v>
      </c>
      <c r="G18" s="14" t="str">
        <f>IFERROR( VLOOKUP($C18,covid_vlookup,13, FALSE), "No Data")</f>
        <v>No Data</v>
      </c>
      <c r="H18" s="2"/>
    </row>
    <row r="19">
      <c r="A19" s="3" t="s">
        <v>35</v>
      </c>
      <c r="B19" s="3" t="s">
        <v>23</v>
      </c>
      <c r="C19" s="3" t="s">
        <v>36</v>
      </c>
      <c r="D19" s="14">
        <f>IFERROR( VLOOKUP($C19,covid_vlookup,2, FALSE), "No Data")</f>
        <v>699110</v>
      </c>
      <c r="E19" s="14">
        <f>IFERROR( VLOOKUP($C19,covid_vlookup,3, FALSE), "No Data")</f>
        <v>5578</v>
      </c>
      <c r="F19" s="14">
        <f>IFERROR( VLOOKUP($C19,covid_vlookup,8, FALSE), "No Data")</f>
        <v>9442867</v>
      </c>
      <c r="G19" s="14">
        <f>IFERROR( VLOOKUP($C19,covid_vlookup,13, FALSE), "No Data")</f>
        <v>17167.967</v>
      </c>
      <c r="H19" s="2"/>
    </row>
    <row r="20">
      <c r="A20" s="3" t="s">
        <v>29</v>
      </c>
      <c r="B20" s="3" t="s">
        <v>23</v>
      </c>
      <c r="C20" s="3" t="s">
        <v>30</v>
      </c>
      <c r="D20" s="14">
        <f>IFERROR( VLOOKUP($C20,covid_vlookup,2, FALSE), "No Data")</f>
        <v>2105343</v>
      </c>
      <c r="E20" s="14">
        <f>IFERROR( VLOOKUP($C20,covid_vlookup,3, FALSE), "No Data")</f>
        <v>28331</v>
      </c>
      <c r="F20" s="14">
        <f>IFERROR( VLOOKUP($C20,covid_vlookup,8, FALSE), "No Data")</f>
        <v>11632334</v>
      </c>
      <c r="G20" s="14">
        <f>IFERROR( VLOOKUP($C20,covid_vlookup,13, FALSE), "No Data")</f>
        <v>42658.576</v>
      </c>
      <c r="H20" s="2"/>
    </row>
    <row r="21">
      <c r="A21" s="3" t="s">
        <v>154</v>
      </c>
      <c r="B21" s="3" t="s">
        <v>130</v>
      </c>
      <c r="C21" s="3" t="s">
        <v>155</v>
      </c>
      <c r="D21" s="14" t="str">
        <f>IFERROR( VLOOKUP($C21,covid_vlookup,2, FALSE), "No Data")</f>
        <v>No Data</v>
      </c>
      <c r="E21" s="14" t="str">
        <f>IFERROR( VLOOKUP($C21,covid_vlookup,3, FALSE), "No Data")</f>
        <v>No Data</v>
      </c>
      <c r="F21" s="14" t="str">
        <f>IFERROR( VLOOKUP($C21,covid_vlookup,8, FALSE), "No Data")</f>
        <v>No Data</v>
      </c>
      <c r="G21" s="14" t="str">
        <f>IFERROR( VLOOKUP($C21,covid_vlookup,13, FALSE), "No Data")</f>
        <v>No Data</v>
      </c>
      <c r="H21" s="2"/>
    </row>
    <row r="22">
      <c r="A22" s="3" t="s">
        <v>156</v>
      </c>
      <c r="B22" s="3" t="s">
        <v>125</v>
      </c>
      <c r="C22" s="3" t="s">
        <v>157</v>
      </c>
      <c r="D22" s="14" t="str">
        <f>IFERROR( VLOOKUP($C22,covid_vlookup,2, FALSE), "No Data")</f>
        <v>No Data</v>
      </c>
      <c r="E22" s="14" t="str">
        <f>IFERROR( VLOOKUP($C22,covid_vlookup,3, FALSE), "No Data")</f>
        <v>No Data</v>
      </c>
      <c r="F22" s="14" t="str">
        <f>IFERROR( VLOOKUP($C22,covid_vlookup,8, FALSE), "No Data")</f>
        <v>No Data</v>
      </c>
      <c r="G22" s="14" t="str">
        <f>IFERROR( VLOOKUP($C22,covid_vlookup,13, FALSE), "No Data")</f>
        <v>No Data</v>
      </c>
      <c r="H22" s="2"/>
    </row>
    <row r="23">
      <c r="A23" s="3" t="s">
        <v>158</v>
      </c>
      <c r="B23" s="3" t="s">
        <v>130</v>
      </c>
      <c r="C23" s="3" t="s">
        <v>159</v>
      </c>
      <c r="D23" s="14" t="str">
        <f>IFERROR( VLOOKUP($C23,covid_vlookup,2, FALSE), "No Data")</f>
        <v>No Data</v>
      </c>
      <c r="E23" s="14" t="str">
        <f>IFERROR( VLOOKUP($C23,covid_vlookup,3, FALSE), "No Data")</f>
        <v>No Data</v>
      </c>
      <c r="F23" s="14" t="str">
        <f>IFERROR( VLOOKUP($C23,covid_vlookup,8, FALSE), "No Data")</f>
        <v>No Data</v>
      </c>
      <c r="G23" s="14" t="str">
        <f>IFERROR( VLOOKUP($C23,covid_vlookup,13, FALSE), "No Data")</f>
        <v>No Data</v>
      </c>
      <c r="H23" s="2"/>
    </row>
    <row r="24">
      <c r="A24" s="3" t="s">
        <v>160</v>
      </c>
      <c r="B24" s="3" t="s">
        <v>122</v>
      </c>
      <c r="C24" s="3" t="s">
        <v>161</v>
      </c>
      <c r="D24" s="14" t="str">
        <f>IFERROR( VLOOKUP($C24,covid_vlookup,2, FALSE), "No Data")</f>
        <v>No Data</v>
      </c>
      <c r="E24" s="14" t="str">
        <f>IFERROR( VLOOKUP($C24,covid_vlookup,3, FALSE), "No Data")</f>
        <v>No Data</v>
      </c>
      <c r="F24" s="14" t="str">
        <f>IFERROR( VLOOKUP($C24,covid_vlookup,8, FALSE), "No Data")</f>
        <v>No Data</v>
      </c>
      <c r="G24" s="14" t="str">
        <f>IFERROR( VLOOKUP($C24,covid_vlookup,13, FALSE), "No Data")</f>
        <v>No Data</v>
      </c>
      <c r="H24" s="2"/>
    </row>
    <row r="25">
      <c r="A25" s="3" t="s">
        <v>162</v>
      </c>
      <c r="B25" s="3" t="s">
        <v>135</v>
      </c>
      <c r="C25" s="3" t="s">
        <v>163</v>
      </c>
      <c r="D25" s="14" t="str">
        <f>IFERROR( VLOOKUP($C25,covid_vlookup,2, FALSE), "No Data")</f>
        <v>No Data</v>
      </c>
      <c r="E25" s="14" t="str">
        <f>IFERROR( VLOOKUP($C25,covid_vlookup,3, FALSE), "No Data")</f>
        <v>No Data</v>
      </c>
      <c r="F25" s="14" t="str">
        <f>IFERROR( VLOOKUP($C25,covid_vlookup,8, FALSE), "No Data")</f>
        <v>No Data</v>
      </c>
      <c r="G25" s="14" t="str">
        <f>IFERROR( VLOOKUP($C25,covid_vlookup,13, FALSE), "No Data")</f>
        <v>No Data</v>
      </c>
      <c r="H25" s="2"/>
    </row>
    <row r="26">
      <c r="A26" s="3" t="s">
        <v>164</v>
      </c>
      <c r="B26" s="3" t="s">
        <v>130</v>
      </c>
      <c r="C26" s="3" t="s">
        <v>165</v>
      </c>
      <c r="D26" s="14" t="str">
        <f>IFERROR( VLOOKUP($C26,covid_vlookup,2, FALSE), "No Data")</f>
        <v>No Data</v>
      </c>
      <c r="E26" s="14" t="str">
        <f>IFERROR( VLOOKUP($C26,covid_vlookup,3, FALSE), "No Data")</f>
        <v>No Data</v>
      </c>
      <c r="F26" s="14" t="str">
        <f>IFERROR( VLOOKUP($C26,covid_vlookup,8, FALSE), "No Data")</f>
        <v>No Data</v>
      </c>
      <c r="G26" s="14" t="str">
        <f>IFERROR( VLOOKUP($C26,covid_vlookup,13, FALSE), "No Data")</f>
        <v>No Data</v>
      </c>
      <c r="H26" s="2"/>
    </row>
    <row r="27">
      <c r="A27" s="3" t="s">
        <v>33</v>
      </c>
      <c r="B27" s="3" t="s">
        <v>23</v>
      </c>
      <c r="C27" s="3" t="s">
        <v>34</v>
      </c>
      <c r="D27" s="14">
        <f>IFERROR( VLOOKUP($C27,covid_vlookup,2, FALSE), "No Data")</f>
        <v>291313</v>
      </c>
      <c r="E27" s="14">
        <f>IFERROR( VLOOKUP($C27,covid_vlookup,3, FALSE), "No Data")</f>
        <v>13442</v>
      </c>
      <c r="F27" s="14">
        <f>IFERROR( VLOOKUP($C27,covid_vlookup,8, FALSE), "No Data")</f>
        <v>3263459</v>
      </c>
      <c r="G27" s="14">
        <f>IFERROR( VLOOKUP($C27,covid_vlookup,13, FALSE), "No Data")</f>
        <v>11713.895</v>
      </c>
      <c r="H27" s="2"/>
    </row>
    <row r="28">
      <c r="A28" s="3" t="s">
        <v>166</v>
      </c>
      <c r="B28" s="3" t="s">
        <v>125</v>
      </c>
      <c r="C28" s="3" t="s">
        <v>167</v>
      </c>
      <c r="D28" s="14" t="str">
        <f>IFERROR( VLOOKUP($C28,covid_vlookup,2, FALSE), "No Data")</f>
        <v>No Data</v>
      </c>
      <c r="E28" s="14" t="str">
        <f>IFERROR( VLOOKUP($C28,covid_vlookup,3, FALSE), "No Data")</f>
        <v>No Data</v>
      </c>
      <c r="F28" s="14" t="str">
        <f>IFERROR( VLOOKUP($C28,covid_vlookup,8, FALSE), "No Data")</f>
        <v>No Data</v>
      </c>
      <c r="G28" s="14" t="str">
        <f>IFERROR( VLOOKUP($C28,covid_vlookup,13, FALSE), "No Data")</f>
        <v>No Data</v>
      </c>
      <c r="H28" s="2"/>
    </row>
    <row r="29">
      <c r="A29" s="3" t="s">
        <v>168</v>
      </c>
      <c r="B29" s="3" t="s">
        <v>135</v>
      </c>
      <c r="C29" s="3" t="s">
        <v>169</v>
      </c>
      <c r="D29" s="14" t="str">
        <f>IFERROR( VLOOKUP($C29,covid_vlookup,2, FALSE), "No Data")</f>
        <v>No Data</v>
      </c>
      <c r="E29" s="14" t="str">
        <f>IFERROR( VLOOKUP($C29,covid_vlookup,3, FALSE), "No Data")</f>
        <v>No Data</v>
      </c>
      <c r="F29" s="14" t="str">
        <f>IFERROR( VLOOKUP($C29,covid_vlookup,8, FALSE), "No Data")</f>
        <v>No Data</v>
      </c>
      <c r="G29" s="14" t="str">
        <f>IFERROR( VLOOKUP($C29,covid_vlookup,13, FALSE), "No Data")</f>
        <v>No Data</v>
      </c>
      <c r="H29" s="2"/>
    </row>
    <row r="30">
      <c r="A30" s="3" t="s">
        <v>170</v>
      </c>
      <c r="B30" s="3" t="s">
        <v>130</v>
      </c>
      <c r="C30" s="3" t="s">
        <v>171</v>
      </c>
      <c r="D30" s="14" t="str">
        <f>IFERROR( VLOOKUP($C30,covid_vlookup,2, FALSE), "No Data")</f>
        <v>No Data</v>
      </c>
      <c r="E30" s="14" t="str">
        <f>IFERROR( VLOOKUP($C30,covid_vlookup,3, FALSE), "No Data")</f>
        <v>No Data</v>
      </c>
      <c r="F30" s="14" t="str">
        <f>IFERROR( VLOOKUP($C30,covid_vlookup,8, FALSE), "No Data")</f>
        <v>No Data</v>
      </c>
      <c r="G30" s="14" t="str">
        <f>IFERROR( VLOOKUP($C30,covid_vlookup,13, FALSE), "No Data")</f>
        <v>No Data</v>
      </c>
      <c r="H30" s="2"/>
    </row>
    <row r="31">
      <c r="A31" s="3" t="s">
        <v>172</v>
      </c>
      <c r="B31" s="3" t="s">
        <v>122</v>
      </c>
      <c r="C31" s="3" t="s">
        <v>173</v>
      </c>
      <c r="D31" s="14" t="str">
        <f>IFERROR( VLOOKUP($C31,covid_vlookup,2, FALSE), "No Data")</f>
        <v>No Data</v>
      </c>
      <c r="E31" s="14" t="str">
        <f>IFERROR( VLOOKUP($C31,covid_vlookup,3, FALSE), "No Data")</f>
        <v>No Data</v>
      </c>
      <c r="F31" s="14" t="str">
        <f>IFERROR( VLOOKUP($C31,covid_vlookup,8, FALSE), "No Data")</f>
        <v>No Data</v>
      </c>
      <c r="G31" s="14" t="str">
        <f>IFERROR( VLOOKUP($C31,covid_vlookup,13, FALSE), "No Data")</f>
        <v>No Data</v>
      </c>
      <c r="H31" s="2"/>
    </row>
    <row r="32">
      <c r="A32" s="3" t="s">
        <v>31</v>
      </c>
      <c r="B32" s="3" t="s">
        <v>23</v>
      </c>
      <c r="C32" s="3" t="s">
        <v>32</v>
      </c>
      <c r="D32" s="14">
        <f>IFERROR( VLOOKUP($C32,covid_vlookup,2, FALSE), "No Data")</f>
        <v>747108</v>
      </c>
      <c r="E32" s="14">
        <f>IFERROR( VLOOKUP($C32,covid_vlookup,3, FALSE), "No Data")</f>
        <v>30955</v>
      </c>
      <c r="F32" s="14">
        <f>IFERROR( VLOOKUP($C32,covid_vlookup,8, FALSE), "No Data")</f>
        <v>6896655</v>
      </c>
      <c r="G32" s="14">
        <f>IFERROR( VLOOKUP($C32,covid_vlookup,13, FALSE), "No Data")</f>
        <v>18563.307</v>
      </c>
      <c r="H32" s="2"/>
    </row>
    <row r="33">
      <c r="A33" s="3" t="s">
        <v>174</v>
      </c>
      <c r="B33" s="3" t="s">
        <v>125</v>
      </c>
      <c r="C33" s="3" t="s">
        <v>175</v>
      </c>
      <c r="D33" s="14" t="str">
        <f>IFERROR( VLOOKUP($C33,covid_vlookup,2, FALSE), "No Data")</f>
        <v>No Data</v>
      </c>
      <c r="E33" s="14" t="str">
        <f>IFERROR( VLOOKUP($C33,covid_vlookup,3, FALSE), "No Data")</f>
        <v>No Data</v>
      </c>
      <c r="F33" s="14" t="str">
        <f>IFERROR( VLOOKUP($C33,covid_vlookup,8, FALSE), "No Data")</f>
        <v>No Data</v>
      </c>
      <c r="G33" s="14" t="str">
        <f>IFERROR( VLOOKUP($C33,covid_vlookup,13, FALSE), "No Data")</f>
        <v>No Data</v>
      </c>
      <c r="H33" s="2"/>
    </row>
    <row r="34">
      <c r="A34" s="3" t="s">
        <v>176</v>
      </c>
      <c r="B34" s="3" t="s">
        <v>125</v>
      </c>
      <c r="C34" s="3" t="s">
        <v>177</v>
      </c>
      <c r="D34" s="14" t="str">
        <f>IFERROR( VLOOKUP($C34,covid_vlookup,2, FALSE), "No Data")</f>
        <v>No Data</v>
      </c>
      <c r="E34" s="14" t="str">
        <f>IFERROR( VLOOKUP($C34,covid_vlookup,3, FALSE), "No Data")</f>
        <v>No Data</v>
      </c>
      <c r="F34" s="14" t="str">
        <f>IFERROR( VLOOKUP($C34,covid_vlookup,8, FALSE), "No Data")</f>
        <v>No Data</v>
      </c>
      <c r="G34" s="14" t="str">
        <f>IFERROR( VLOOKUP($C34,covid_vlookup,13, FALSE), "No Data")</f>
        <v>No Data</v>
      </c>
      <c r="H34" s="2"/>
    </row>
    <row r="35">
      <c r="A35" s="3" t="s">
        <v>178</v>
      </c>
      <c r="B35" s="3" t="s">
        <v>122</v>
      </c>
      <c r="C35" s="3" t="s">
        <v>179</v>
      </c>
      <c r="D35" s="14" t="str">
        <f>IFERROR( VLOOKUP($C35,covid_vlookup,2, FALSE), "No Data")</f>
        <v>No Data</v>
      </c>
      <c r="E35" s="14" t="str">
        <f>IFERROR( VLOOKUP($C35,covid_vlookup,3, FALSE), "No Data")</f>
        <v>No Data</v>
      </c>
      <c r="F35" s="14" t="str">
        <f>IFERROR( VLOOKUP($C35,covid_vlookup,8, FALSE), "No Data")</f>
        <v>No Data</v>
      </c>
      <c r="G35" s="14" t="str">
        <f>IFERROR( VLOOKUP($C35,covid_vlookup,13, FALSE), "No Data")</f>
        <v>No Data</v>
      </c>
      <c r="H35" s="2"/>
    </row>
    <row r="36">
      <c r="A36" s="3" t="s">
        <v>180</v>
      </c>
      <c r="B36" s="3" t="s">
        <v>125</v>
      </c>
      <c r="C36" s="3" t="s">
        <v>181</v>
      </c>
      <c r="D36" s="14" t="str">
        <f>IFERROR( VLOOKUP($C36,covid_vlookup,2, FALSE), "No Data")</f>
        <v>No Data</v>
      </c>
      <c r="E36" s="14" t="str">
        <f>IFERROR( VLOOKUP($C36,covid_vlookup,3, FALSE), "No Data")</f>
        <v>No Data</v>
      </c>
      <c r="F36" s="14" t="str">
        <f>IFERROR( VLOOKUP($C36,covid_vlookup,8, FALSE), "No Data")</f>
        <v>No Data</v>
      </c>
      <c r="G36" s="14" t="str">
        <f>IFERROR( VLOOKUP($C36,covid_vlookup,13, FALSE), "No Data")</f>
        <v>No Data</v>
      </c>
      <c r="H36" s="2"/>
    </row>
    <row r="37">
      <c r="A37" s="3" t="s">
        <v>182</v>
      </c>
      <c r="B37" s="3" t="s">
        <v>130</v>
      </c>
      <c r="C37" s="3" t="s">
        <v>183</v>
      </c>
      <c r="D37" s="14" t="str">
        <f>IFERROR( VLOOKUP($C37,covid_vlookup,2, FALSE), "No Data")</f>
        <v>No Data</v>
      </c>
      <c r="E37" s="14" t="str">
        <f>IFERROR( VLOOKUP($C37,covid_vlookup,3, FALSE), "No Data")</f>
        <v>No Data</v>
      </c>
      <c r="F37" s="14" t="str">
        <f>IFERROR( VLOOKUP($C37,covid_vlookup,8, FALSE), "No Data")</f>
        <v>No Data</v>
      </c>
      <c r="G37" s="14" t="str">
        <f>IFERROR( VLOOKUP($C37,covid_vlookup,13, FALSE), "No Data")</f>
        <v>No Data</v>
      </c>
      <c r="H37" s="2"/>
    </row>
    <row r="38">
      <c r="A38" s="3" t="s">
        <v>184</v>
      </c>
      <c r="B38" s="3" t="s">
        <v>125</v>
      </c>
      <c r="C38" s="3" t="s">
        <v>185</v>
      </c>
      <c r="D38" s="14" t="str">
        <f>IFERROR( VLOOKUP($C38,covid_vlookup,2, FALSE), "No Data")</f>
        <v>No Data</v>
      </c>
      <c r="E38" s="14" t="str">
        <f>IFERROR( VLOOKUP($C38,covid_vlookup,3, FALSE), "No Data")</f>
        <v>No Data</v>
      </c>
      <c r="F38" s="14" t="str">
        <f>IFERROR( VLOOKUP($C38,covid_vlookup,8, FALSE), "No Data")</f>
        <v>No Data</v>
      </c>
      <c r="G38" s="14" t="str">
        <f>IFERROR( VLOOKUP($C38,covid_vlookup,13, FALSE), "No Data")</f>
        <v>No Data</v>
      </c>
      <c r="H38" s="2"/>
    </row>
    <row r="39">
      <c r="A39" s="3" t="s">
        <v>186</v>
      </c>
      <c r="B39" s="3" t="s">
        <v>130</v>
      </c>
      <c r="C39" s="3" t="s">
        <v>187</v>
      </c>
      <c r="D39" s="14" t="str">
        <f>IFERROR( VLOOKUP($C39,covid_vlookup,2, FALSE), "No Data")</f>
        <v>No Data</v>
      </c>
      <c r="E39" s="14" t="str">
        <f>IFERROR( VLOOKUP($C39,covid_vlookup,3, FALSE), "No Data")</f>
        <v>No Data</v>
      </c>
      <c r="F39" s="14" t="str">
        <f>IFERROR( VLOOKUP($C39,covid_vlookup,8, FALSE), "No Data")</f>
        <v>No Data</v>
      </c>
      <c r="G39" s="14" t="str">
        <f>IFERROR( VLOOKUP($C39,covid_vlookup,13, FALSE), "No Data")</f>
        <v>No Data</v>
      </c>
      <c r="H39" s="2"/>
    </row>
    <row r="40">
      <c r="A40" s="3" t="s">
        <v>188</v>
      </c>
      <c r="B40" s="3" t="s">
        <v>125</v>
      </c>
      <c r="C40" s="3" t="s">
        <v>189</v>
      </c>
      <c r="D40" s="14" t="str">
        <f>IFERROR( VLOOKUP($C40,covid_vlookup,2, FALSE), "No Data")</f>
        <v>No Data</v>
      </c>
      <c r="E40" s="14" t="str">
        <f>IFERROR( VLOOKUP($C40,covid_vlookup,3, FALSE), "No Data")</f>
        <v>No Data</v>
      </c>
      <c r="F40" s="14" t="str">
        <f>IFERROR( VLOOKUP($C40,covid_vlookup,8, FALSE), "No Data")</f>
        <v>No Data</v>
      </c>
      <c r="G40" s="14" t="str">
        <f>IFERROR( VLOOKUP($C40,covid_vlookup,13, FALSE), "No Data")</f>
        <v>No Data</v>
      </c>
      <c r="H40" s="2"/>
    </row>
    <row r="41">
      <c r="A41" s="3" t="s">
        <v>190</v>
      </c>
      <c r="B41" s="3" t="s">
        <v>125</v>
      </c>
      <c r="C41" s="3" t="s">
        <v>191</v>
      </c>
      <c r="D41" s="14" t="str">
        <f>IFERROR( VLOOKUP($C41,covid_vlookup,2, FALSE), "No Data")</f>
        <v>No Data</v>
      </c>
      <c r="E41" s="14" t="str">
        <f>IFERROR( VLOOKUP($C41,covid_vlookup,3, FALSE), "No Data")</f>
        <v>No Data</v>
      </c>
      <c r="F41" s="14" t="str">
        <f>IFERROR( VLOOKUP($C41,covid_vlookup,8, FALSE), "No Data")</f>
        <v>No Data</v>
      </c>
      <c r="G41" s="14" t="str">
        <f>IFERROR( VLOOKUP($C41,covid_vlookup,13, FALSE), "No Data")</f>
        <v>No Data</v>
      </c>
      <c r="H41" s="2"/>
    </row>
    <row r="42">
      <c r="A42" s="3" t="s">
        <v>192</v>
      </c>
      <c r="B42" s="3" t="s">
        <v>135</v>
      </c>
      <c r="C42" s="3" t="s">
        <v>193</v>
      </c>
      <c r="D42" s="14" t="str">
        <f>IFERROR( VLOOKUP($C42,covid_vlookup,2, FALSE), "No Data")</f>
        <v>No Data</v>
      </c>
      <c r="E42" s="14" t="str">
        <f>IFERROR( VLOOKUP($C42,covid_vlookup,3, FALSE), "No Data")</f>
        <v>No Data</v>
      </c>
      <c r="F42" s="14" t="str">
        <f>IFERROR( VLOOKUP($C42,covid_vlookup,8, FALSE), "No Data")</f>
        <v>No Data</v>
      </c>
      <c r="G42" s="14" t="str">
        <f>IFERROR( VLOOKUP($C42,covid_vlookup,13, FALSE), "No Data")</f>
        <v>No Data</v>
      </c>
      <c r="H42" s="2"/>
    </row>
    <row r="43">
      <c r="A43" s="3" t="s">
        <v>194</v>
      </c>
      <c r="B43" s="3" t="s">
        <v>122</v>
      </c>
      <c r="C43" s="3" t="s">
        <v>195</v>
      </c>
      <c r="D43" s="14" t="str">
        <f>IFERROR( VLOOKUP($C43,covid_vlookup,2, FALSE), "No Data")</f>
        <v>No Data</v>
      </c>
      <c r="E43" s="14" t="str">
        <f>IFERROR( VLOOKUP($C43,covid_vlookup,3, FALSE), "No Data")</f>
        <v>No Data</v>
      </c>
      <c r="F43" s="14" t="str">
        <f>IFERROR( VLOOKUP($C43,covid_vlookup,8, FALSE), "No Data")</f>
        <v>No Data</v>
      </c>
      <c r="G43" s="14" t="str">
        <f>IFERROR( VLOOKUP($C43,covid_vlookup,13, FALSE), "No Data")</f>
        <v>No Data</v>
      </c>
      <c r="H43" s="2"/>
    </row>
    <row r="44">
      <c r="A44" s="3" t="s">
        <v>196</v>
      </c>
      <c r="B44" s="3" t="s">
        <v>135</v>
      </c>
      <c r="C44" s="3" t="s">
        <v>197</v>
      </c>
      <c r="D44" s="14" t="str">
        <f>IFERROR( VLOOKUP($C44,covid_vlookup,2, FALSE), "No Data")</f>
        <v>No Data</v>
      </c>
      <c r="E44" s="14" t="str">
        <f>IFERROR( VLOOKUP($C44,covid_vlookup,3, FALSE), "No Data")</f>
        <v>No Data</v>
      </c>
      <c r="F44" s="14" t="str">
        <f>IFERROR( VLOOKUP($C44,covid_vlookup,8, FALSE), "No Data")</f>
        <v>No Data</v>
      </c>
      <c r="G44" s="14" t="str">
        <f>IFERROR( VLOOKUP($C44,covid_vlookup,13, FALSE), "No Data")</f>
        <v>No Data</v>
      </c>
      <c r="H44" s="2"/>
    </row>
    <row r="45">
      <c r="A45" s="3" t="s">
        <v>198</v>
      </c>
      <c r="B45" s="3" t="s">
        <v>125</v>
      </c>
      <c r="C45" s="3" t="s">
        <v>199</v>
      </c>
      <c r="D45" s="14" t="str">
        <f>IFERROR( VLOOKUP($C45,covid_vlookup,2, FALSE), "No Data")</f>
        <v>No Data</v>
      </c>
      <c r="E45" s="14" t="str">
        <f>IFERROR( VLOOKUP($C45,covid_vlookup,3, FALSE), "No Data")</f>
        <v>No Data</v>
      </c>
      <c r="F45" s="14" t="str">
        <f>IFERROR( VLOOKUP($C45,covid_vlookup,8, FALSE), "No Data")</f>
        <v>No Data</v>
      </c>
      <c r="G45" s="14" t="str">
        <f>IFERROR( VLOOKUP($C45,covid_vlookup,13, FALSE), "No Data")</f>
        <v>No Data</v>
      </c>
      <c r="H45" s="2"/>
    </row>
    <row r="46">
      <c r="A46" s="3" t="s">
        <v>200</v>
      </c>
      <c r="B46" s="3" t="s">
        <v>125</v>
      </c>
      <c r="C46" s="3" t="s">
        <v>201</v>
      </c>
      <c r="D46" s="14" t="str">
        <f>IFERROR( VLOOKUP($C46,covid_vlookup,2, FALSE), "No Data")</f>
        <v>No Data</v>
      </c>
      <c r="E46" s="14" t="str">
        <f>IFERROR( VLOOKUP($C46,covid_vlookup,3, FALSE), "No Data")</f>
        <v>No Data</v>
      </c>
      <c r="F46" s="14" t="str">
        <f>IFERROR( VLOOKUP($C46,covid_vlookup,8, FALSE), "No Data")</f>
        <v>No Data</v>
      </c>
      <c r="G46" s="14" t="str">
        <f>IFERROR( VLOOKUP($C46,covid_vlookup,13, FALSE), "No Data")</f>
        <v>No Data</v>
      </c>
      <c r="H46" s="2"/>
    </row>
    <row r="47">
      <c r="A47" s="3" t="s">
        <v>202</v>
      </c>
      <c r="B47" s="3" t="s">
        <v>130</v>
      </c>
      <c r="C47" s="3" t="s">
        <v>203</v>
      </c>
      <c r="D47" s="14" t="str">
        <f>IFERROR( VLOOKUP($C47,covid_vlookup,2, FALSE), "No Data")</f>
        <v>No Data</v>
      </c>
      <c r="E47" s="14" t="str">
        <f>IFERROR( VLOOKUP($C47,covid_vlookup,3, FALSE), "No Data")</f>
        <v>No Data</v>
      </c>
      <c r="F47" s="14" t="str">
        <f>IFERROR( VLOOKUP($C47,covid_vlookup,8, FALSE), "No Data")</f>
        <v>No Data</v>
      </c>
      <c r="G47" s="14" t="str">
        <f>IFERROR( VLOOKUP($C47,covid_vlookup,13, FALSE), "No Data")</f>
        <v>No Data</v>
      </c>
      <c r="H47" s="2"/>
    </row>
    <row r="48">
      <c r="A48" s="3" t="s">
        <v>204</v>
      </c>
      <c r="B48" s="3" t="s">
        <v>125</v>
      </c>
      <c r="C48" s="3" t="s">
        <v>205</v>
      </c>
      <c r="D48" s="14" t="str">
        <f>IFERROR( VLOOKUP($C48,covid_vlookup,2, FALSE), "No Data")</f>
        <v>No Data</v>
      </c>
      <c r="E48" s="14" t="str">
        <f>IFERROR( VLOOKUP($C48,covid_vlookup,3, FALSE), "No Data")</f>
        <v>No Data</v>
      </c>
      <c r="F48" s="14" t="str">
        <f>IFERROR( VLOOKUP($C48,covid_vlookup,8, FALSE), "No Data")</f>
        <v>No Data</v>
      </c>
      <c r="G48" s="14" t="str">
        <f>IFERROR( VLOOKUP($C48,covid_vlookup,13, FALSE), "No Data")</f>
        <v>No Data</v>
      </c>
      <c r="H48" s="2"/>
    </row>
    <row r="49">
      <c r="A49" s="3" t="s">
        <v>63</v>
      </c>
      <c r="B49" s="3" t="s">
        <v>23</v>
      </c>
      <c r="C49" s="3" t="s">
        <v>64</v>
      </c>
      <c r="D49" s="14">
        <f>IFERROR( VLOOKUP($C49,covid_vlookup,2, FALSE), "No Data")</f>
        <v>715245</v>
      </c>
      <c r="E49" s="14">
        <f>IFERROR( VLOOKUP($C49,covid_vlookup,3, FALSE), "No Data")</f>
        <v>12538</v>
      </c>
      <c r="F49" s="14">
        <f>IFERROR( VLOOKUP($C49,covid_vlookup,8, FALSE), "No Data")</f>
        <v>4081657</v>
      </c>
      <c r="G49" s="14">
        <f>IFERROR( VLOOKUP($C49,covid_vlookup,13, FALSE), "No Data")</f>
        <v>22669.797</v>
      </c>
      <c r="H49" s="2"/>
    </row>
    <row r="50">
      <c r="A50" s="3" t="s">
        <v>206</v>
      </c>
      <c r="B50" s="3" t="s">
        <v>130</v>
      </c>
      <c r="C50" s="3" t="s">
        <v>207</v>
      </c>
      <c r="D50" s="14" t="str">
        <f>IFERROR( VLOOKUP($C50,covid_vlookup,2, FALSE), "No Data")</f>
        <v>No Data</v>
      </c>
      <c r="E50" s="14" t="str">
        <f>IFERROR( VLOOKUP($C50,covid_vlookup,3, FALSE), "No Data")</f>
        <v>No Data</v>
      </c>
      <c r="F50" s="14" t="str">
        <f>IFERROR( VLOOKUP($C50,covid_vlookup,8, FALSE), "No Data")</f>
        <v>No Data</v>
      </c>
      <c r="G50" s="14" t="str">
        <f>IFERROR( VLOOKUP($C50,covid_vlookup,13, FALSE), "No Data")</f>
        <v>No Data</v>
      </c>
      <c r="H50" s="2"/>
    </row>
    <row r="51">
      <c r="A51" s="3" t="s">
        <v>208</v>
      </c>
      <c r="B51" s="3" t="s">
        <v>130</v>
      </c>
      <c r="C51" s="3" t="s">
        <v>209</v>
      </c>
      <c r="D51" s="14" t="str">
        <f>IFERROR( VLOOKUP($C51,covid_vlookup,2, FALSE), "No Data")</f>
        <v>No Data</v>
      </c>
      <c r="E51" s="14" t="str">
        <f>IFERROR( VLOOKUP($C51,covid_vlookup,3, FALSE), "No Data")</f>
        <v>No Data</v>
      </c>
      <c r="F51" s="14" t="str">
        <f>IFERROR( VLOOKUP($C51,covid_vlookup,8, FALSE), "No Data")</f>
        <v>No Data</v>
      </c>
      <c r="G51" s="14" t="str">
        <f>IFERROR( VLOOKUP($C51,covid_vlookup,13, FALSE), "No Data")</f>
        <v>No Data</v>
      </c>
      <c r="H51" s="2"/>
    </row>
    <row r="52">
      <c r="A52" s="3" t="s">
        <v>39</v>
      </c>
      <c r="B52" s="3" t="s">
        <v>23</v>
      </c>
      <c r="C52" s="3" t="s">
        <v>210</v>
      </c>
      <c r="D52" s="14" t="str">
        <f>IFERROR( VLOOKUP($C52,covid_vlookup,2, FALSE), "No Data")</f>
        <v>No Data</v>
      </c>
      <c r="E52" s="14" t="str">
        <f>IFERROR( VLOOKUP($C52,covid_vlookup,3, FALSE), "No Data")</f>
        <v>No Data</v>
      </c>
      <c r="F52" s="14" t="str">
        <f>IFERROR( VLOOKUP($C52,covid_vlookup,8, FALSE), "No Data")</f>
        <v>No Data</v>
      </c>
      <c r="G52" s="14" t="str">
        <f>IFERROR( VLOOKUP($C52,covid_vlookup,13, FALSE), "No Data")</f>
        <v>No Data</v>
      </c>
      <c r="H52" s="2"/>
    </row>
    <row r="53">
      <c r="A53" s="3" t="s">
        <v>211</v>
      </c>
      <c r="B53" s="3" t="s">
        <v>125</v>
      </c>
      <c r="C53" s="3" t="s">
        <v>212</v>
      </c>
      <c r="D53" s="14" t="str">
        <f>IFERROR( VLOOKUP($C53,covid_vlookup,2, FALSE), "No Data")</f>
        <v>No Data</v>
      </c>
      <c r="E53" s="14" t="str">
        <f>IFERROR( VLOOKUP($C53,covid_vlookup,3, FALSE), "No Data")</f>
        <v>No Data</v>
      </c>
      <c r="F53" s="14" t="str">
        <f>IFERROR( VLOOKUP($C53,covid_vlookup,8, FALSE), "No Data")</f>
        <v>No Data</v>
      </c>
      <c r="G53" s="14" t="str">
        <f>IFERROR( VLOOKUP($C53,covid_vlookup,13, FALSE), "No Data")</f>
        <v>No Data</v>
      </c>
      <c r="H53" s="2"/>
    </row>
    <row r="54">
      <c r="A54" s="3" t="s">
        <v>43</v>
      </c>
      <c r="B54" s="3" t="s">
        <v>23</v>
      </c>
      <c r="C54" s="3" t="s">
        <v>44</v>
      </c>
      <c r="D54" s="14">
        <f>IFERROR( VLOOKUP($C54,covid_vlookup,2, FALSE), "No Data")</f>
        <v>802397</v>
      </c>
      <c r="E54" s="14">
        <f>IFERROR( VLOOKUP($C54,covid_vlookup,3, FALSE), "No Data")</f>
        <v>3207</v>
      </c>
      <c r="F54" s="14">
        <f>IFERROR( VLOOKUP($C54,covid_vlookup,8, FALSE), "No Data")</f>
        <v>5813302</v>
      </c>
      <c r="G54" s="14">
        <f>IFERROR( VLOOKUP($C54,covid_vlookup,13, FALSE), "No Data")</f>
        <v>46682.515</v>
      </c>
      <c r="H54" s="2"/>
    </row>
    <row r="55">
      <c r="A55" s="3" t="s">
        <v>213</v>
      </c>
      <c r="B55" s="3" t="s">
        <v>125</v>
      </c>
      <c r="C55" s="3" t="s">
        <v>214</v>
      </c>
      <c r="D55" s="14" t="str">
        <f>IFERROR( VLOOKUP($C55,covid_vlookup,2, FALSE), "No Data")</f>
        <v>No Data</v>
      </c>
      <c r="E55" s="14" t="str">
        <f>IFERROR( VLOOKUP($C55,covid_vlookup,3, FALSE), "No Data")</f>
        <v>No Data</v>
      </c>
      <c r="F55" s="14" t="str">
        <f>IFERROR( VLOOKUP($C55,covid_vlookup,8, FALSE), "No Data")</f>
        <v>No Data</v>
      </c>
      <c r="G55" s="14" t="str">
        <f>IFERROR( VLOOKUP($C55,covid_vlookup,13, FALSE), "No Data")</f>
        <v>No Data</v>
      </c>
      <c r="H55" s="2"/>
    </row>
    <row r="56">
      <c r="A56" s="3" t="s">
        <v>215</v>
      </c>
      <c r="B56" s="3" t="s">
        <v>130</v>
      </c>
      <c r="C56" s="3" t="s">
        <v>216</v>
      </c>
      <c r="D56" s="14" t="str">
        <f>IFERROR( VLOOKUP($C56,covid_vlookup,2, FALSE), "No Data")</f>
        <v>No Data</v>
      </c>
      <c r="E56" s="14" t="str">
        <f>IFERROR( VLOOKUP($C56,covid_vlookup,3, FALSE), "No Data")</f>
        <v>No Data</v>
      </c>
      <c r="F56" s="14" t="str">
        <f>IFERROR( VLOOKUP($C56,covid_vlookup,8, FALSE), "No Data")</f>
        <v>No Data</v>
      </c>
      <c r="G56" s="14" t="str">
        <f>IFERROR( VLOOKUP($C56,covid_vlookup,13, FALSE), "No Data")</f>
        <v>No Data</v>
      </c>
      <c r="H56" s="2"/>
    </row>
    <row r="57">
      <c r="A57" s="3" t="s">
        <v>217</v>
      </c>
      <c r="B57" s="3" t="s">
        <v>130</v>
      </c>
      <c r="C57" s="3" t="s">
        <v>218</v>
      </c>
      <c r="D57" s="14" t="str">
        <f>IFERROR( VLOOKUP($C57,covid_vlookup,2, FALSE), "No Data")</f>
        <v>No Data</v>
      </c>
      <c r="E57" s="14" t="str">
        <f>IFERROR( VLOOKUP($C57,covid_vlookup,3, FALSE), "No Data")</f>
        <v>No Data</v>
      </c>
      <c r="F57" s="14" t="str">
        <f>IFERROR( VLOOKUP($C57,covid_vlookup,8, FALSE), "No Data")</f>
        <v>No Data</v>
      </c>
      <c r="G57" s="14" t="str">
        <f>IFERROR( VLOOKUP($C57,covid_vlookup,13, FALSE), "No Data")</f>
        <v>No Data</v>
      </c>
      <c r="H57" s="2"/>
    </row>
    <row r="58">
      <c r="A58" s="3" t="s">
        <v>219</v>
      </c>
      <c r="B58" s="3" t="s">
        <v>135</v>
      </c>
      <c r="C58" s="3" t="s">
        <v>220</v>
      </c>
      <c r="D58" s="14" t="str">
        <f>IFERROR( VLOOKUP($C58,covid_vlookup,2, FALSE), "No Data")</f>
        <v>No Data</v>
      </c>
      <c r="E58" s="14" t="str">
        <f>IFERROR( VLOOKUP($C58,covid_vlookup,3, FALSE), "No Data")</f>
        <v>No Data</v>
      </c>
      <c r="F58" s="14" t="str">
        <f>IFERROR( VLOOKUP($C58,covid_vlookup,8, FALSE), "No Data")</f>
        <v>No Data</v>
      </c>
      <c r="G58" s="14" t="str">
        <f>IFERROR( VLOOKUP($C58,covid_vlookup,13, FALSE), "No Data")</f>
        <v>No Data</v>
      </c>
      <c r="H58" s="2"/>
    </row>
    <row r="59">
      <c r="A59" s="3" t="s">
        <v>221</v>
      </c>
      <c r="B59" s="3" t="s">
        <v>125</v>
      </c>
      <c r="C59" s="3" t="s">
        <v>222</v>
      </c>
      <c r="D59" s="14" t="str">
        <f>IFERROR( VLOOKUP($C59,covid_vlookup,2, FALSE), "No Data")</f>
        <v>No Data</v>
      </c>
      <c r="E59" s="14" t="str">
        <f>IFERROR( VLOOKUP($C59,covid_vlookup,3, FALSE), "No Data")</f>
        <v>No Data</v>
      </c>
      <c r="F59" s="14" t="str">
        <f>IFERROR( VLOOKUP($C59,covid_vlookup,8, FALSE), "No Data")</f>
        <v>No Data</v>
      </c>
      <c r="G59" s="14" t="str">
        <f>IFERROR( VLOOKUP($C59,covid_vlookup,13, FALSE), "No Data")</f>
        <v>No Data</v>
      </c>
      <c r="H59" s="2"/>
    </row>
    <row r="60">
      <c r="A60" s="3" t="s">
        <v>223</v>
      </c>
      <c r="B60" s="3" t="s">
        <v>130</v>
      </c>
      <c r="C60" s="3" t="s">
        <v>224</v>
      </c>
      <c r="D60" s="14" t="str">
        <f>IFERROR( VLOOKUP($C60,covid_vlookup,2, FALSE), "No Data")</f>
        <v>No Data</v>
      </c>
      <c r="E60" s="14" t="str">
        <f>IFERROR( VLOOKUP($C60,covid_vlookup,3, FALSE), "No Data")</f>
        <v>No Data</v>
      </c>
      <c r="F60" s="14" t="str">
        <f>IFERROR( VLOOKUP($C60,covid_vlookup,8, FALSE), "No Data")</f>
        <v>No Data</v>
      </c>
      <c r="G60" s="14" t="str">
        <f>IFERROR( VLOOKUP($C60,covid_vlookup,13, FALSE), "No Data")</f>
        <v>No Data</v>
      </c>
      <c r="H60" s="2"/>
    </row>
    <row r="61">
      <c r="A61" s="3" t="s">
        <v>225</v>
      </c>
      <c r="B61" s="3" t="s">
        <v>125</v>
      </c>
      <c r="C61" s="3" t="s">
        <v>226</v>
      </c>
      <c r="D61" s="14" t="str">
        <f>IFERROR( VLOOKUP($C61,covid_vlookup,2, FALSE), "No Data")</f>
        <v>No Data</v>
      </c>
      <c r="E61" s="14" t="str">
        <f>IFERROR( VLOOKUP($C61,covid_vlookup,3, FALSE), "No Data")</f>
        <v>No Data</v>
      </c>
      <c r="F61" s="14" t="str">
        <f>IFERROR( VLOOKUP($C61,covid_vlookup,8, FALSE), "No Data")</f>
        <v>No Data</v>
      </c>
      <c r="G61" s="14" t="str">
        <f>IFERROR( VLOOKUP($C61,covid_vlookup,13, FALSE), "No Data")</f>
        <v>No Data</v>
      </c>
      <c r="H61" s="2"/>
    </row>
    <row r="62">
      <c r="A62" s="3" t="s">
        <v>227</v>
      </c>
      <c r="B62" s="3" t="s">
        <v>125</v>
      </c>
      <c r="C62" s="3" t="s">
        <v>228</v>
      </c>
      <c r="D62" s="14" t="str">
        <f>IFERROR( VLOOKUP($C62,covid_vlookup,2, FALSE), "No Data")</f>
        <v>No Data</v>
      </c>
      <c r="E62" s="14" t="str">
        <f>IFERROR( VLOOKUP($C62,covid_vlookup,3, FALSE), "No Data")</f>
        <v>No Data</v>
      </c>
      <c r="F62" s="14" t="str">
        <f>IFERROR( VLOOKUP($C62,covid_vlookup,8, FALSE), "No Data")</f>
        <v>No Data</v>
      </c>
      <c r="G62" s="14" t="str">
        <f>IFERROR( VLOOKUP($C62,covid_vlookup,13, FALSE), "No Data")</f>
        <v>No Data</v>
      </c>
      <c r="H62" s="2"/>
    </row>
    <row r="63">
      <c r="A63" s="3" t="s">
        <v>47</v>
      </c>
      <c r="B63" s="3" t="s">
        <v>23</v>
      </c>
      <c r="C63" s="3" t="s">
        <v>48</v>
      </c>
      <c r="D63" s="14">
        <f>IFERROR( VLOOKUP($C63,covid_vlookup,2, FALSE), "No Data")</f>
        <v>241408</v>
      </c>
      <c r="E63" s="14">
        <f>IFERROR( VLOOKUP($C63,covid_vlookup,3, FALSE), "No Data")</f>
        <v>1932</v>
      </c>
      <c r="F63" s="14">
        <f>IFERROR( VLOOKUP($C63,covid_vlookup,8, FALSE), "No Data")</f>
        <v>1325188</v>
      </c>
      <c r="G63" s="14">
        <f>IFERROR( VLOOKUP($C63,covid_vlookup,13, FALSE), "No Data")</f>
        <v>29481.252</v>
      </c>
      <c r="H63" s="2"/>
    </row>
    <row r="64">
      <c r="A64" s="3" t="s">
        <v>229</v>
      </c>
      <c r="B64" s="3" t="s">
        <v>125</v>
      </c>
      <c r="C64" s="3" t="s">
        <v>230</v>
      </c>
      <c r="D64" s="14" t="str">
        <f>IFERROR( VLOOKUP($C64,covid_vlookup,2, FALSE), "No Data")</f>
        <v>No Data</v>
      </c>
      <c r="E64" s="14" t="str">
        <f>IFERROR( VLOOKUP($C64,covid_vlookup,3, FALSE), "No Data")</f>
        <v>No Data</v>
      </c>
      <c r="F64" s="14" t="str">
        <f>IFERROR( VLOOKUP($C64,covid_vlookup,8, FALSE), "No Data")</f>
        <v>No Data</v>
      </c>
      <c r="G64" s="14" t="str">
        <f>IFERROR( VLOOKUP($C64,covid_vlookup,13, FALSE), "No Data")</f>
        <v>No Data</v>
      </c>
      <c r="H64" s="2"/>
    </row>
    <row r="65">
      <c r="A65" s="3" t="s">
        <v>53</v>
      </c>
      <c r="B65" s="3" t="s">
        <v>23</v>
      </c>
      <c r="C65" s="3" t="s">
        <v>54</v>
      </c>
      <c r="D65" s="14">
        <f>IFERROR( VLOOKUP($C65,covid_vlookup,2, FALSE), "No Data")</f>
        <v>5764</v>
      </c>
      <c r="E65" s="14">
        <f>IFERROR( VLOOKUP($C65,covid_vlookup,3, FALSE), "No Data")</f>
        <v>14</v>
      </c>
      <c r="F65" s="14">
        <f>IFERROR( VLOOKUP($C65,covid_vlookup,8, FALSE), "No Data")</f>
        <v>49053</v>
      </c>
      <c r="G65" s="14" t="str">
        <f>IFERROR( VLOOKUP($C65,covid_vlookup,13, FALSE), "No Data")</f>
        <v/>
      </c>
      <c r="H65" s="2"/>
    </row>
    <row r="66">
      <c r="A66" s="3" t="s">
        <v>231</v>
      </c>
      <c r="B66" s="3" t="s">
        <v>135</v>
      </c>
      <c r="C66" s="3" t="s">
        <v>232</v>
      </c>
      <c r="D66" s="14" t="str">
        <f>IFERROR( VLOOKUP($C66,covid_vlookup,2, FALSE), "No Data")</f>
        <v>No Data</v>
      </c>
      <c r="E66" s="14" t="str">
        <f>IFERROR( VLOOKUP($C66,covid_vlookup,3, FALSE), "No Data")</f>
        <v>No Data</v>
      </c>
      <c r="F66" s="14" t="str">
        <f>IFERROR( VLOOKUP($C66,covid_vlookup,8, FALSE), "No Data")</f>
        <v>No Data</v>
      </c>
      <c r="G66" s="14" t="str">
        <f>IFERROR( VLOOKUP($C66,covid_vlookup,13, FALSE), "No Data")</f>
        <v>No Data</v>
      </c>
      <c r="H66" s="2"/>
    </row>
    <row r="67">
      <c r="A67" s="3" t="s">
        <v>233</v>
      </c>
      <c r="B67" s="3" t="s">
        <v>142</v>
      </c>
      <c r="C67" s="3" t="s">
        <v>234</v>
      </c>
      <c r="D67" s="14" t="str">
        <f>IFERROR( VLOOKUP($C67,covid_vlookup,2, FALSE), "No Data")</f>
        <v>No Data</v>
      </c>
      <c r="E67" s="14" t="str">
        <f>IFERROR( VLOOKUP($C67,covid_vlookup,3, FALSE), "No Data")</f>
        <v>No Data</v>
      </c>
      <c r="F67" s="14" t="str">
        <f>IFERROR( VLOOKUP($C67,covid_vlookup,8, FALSE), "No Data")</f>
        <v>No Data</v>
      </c>
      <c r="G67" s="14" t="str">
        <f>IFERROR( VLOOKUP($C67,covid_vlookup,13, FALSE), "No Data")</f>
        <v>No Data</v>
      </c>
      <c r="H67" s="2"/>
    </row>
    <row r="68">
      <c r="A68" s="3" t="s">
        <v>49</v>
      </c>
      <c r="B68" s="3" t="s">
        <v>23</v>
      </c>
      <c r="C68" s="3" t="s">
        <v>50</v>
      </c>
      <c r="D68" s="14">
        <f>IFERROR( VLOOKUP($C68,covid_vlookup,2, FALSE), "No Data")</f>
        <v>260292</v>
      </c>
      <c r="E68" s="14">
        <f>IFERROR( VLOOKUP($C68,covid_vlookup,3, FALSE), "No Data")</f>
        <v>1564</v>
      </c>
      <c r="F68" s="14">
        <f>IFERROR( VLOOKUP($C68,covid_vlookup,8, FALSE), "No Data")</f>
        <v>5548361</v>
      </c>
      <c r="G68" s="14">
        <f>IFERROR( VLOOKUP($C68,covid_vlookup,13, FALSE), "No Data")</f>
        <v>40585.721</v>
      </c>
      <c r="H68" s="2"/>
    </row>
    <row r="69">
      <c r="A69" s="3" t="s">
        <v>51</v>
      </c>
      <c r="B69" s="3" t="s">
        <v>23</v>
      </c>
      <c r="C69" s="3" t="s">
        <v>52</v>
      </c>
      <c r="D69" s="14">
        <f>IFERROR( VLOOKUP($C69,covid_vlookup,2, FALSE), "No Data")</f>
        <v>10412480</v>
      </c>
      <c r="E69" s="14">
        <f>IFERROR( VLOOKUP($C69,covid_vlookup,3, FALSE), "No Data")</f>
        <v>123805</v>
      </c>
      <c r="F69" s="14">
        <f>IFERROR( VLOOKUP($C69,covid_vlookup,8, FALSE), "No Data")</f>
        <v>67422000</v>
      </c>
      <c r="G69" s="14">
        <f>IFERROR( VLOOKUP($C69,covid_vlookup,13, FALSE), "No Data")</f>
        <v>38605.671</v>
      </c>
      <c r="H69" s="2"/>
    </row>
    <row r="70">
      <c r="A70" s="3" t="s">
        <v>235</v>
      </c>
      <c r="B70" s="3" t="s">
        <v>142</v>
      </c>
      <c r="C70" s="3" t="s">
        <v>236</v>
      </c>
      <c r="D70" s="14" t="str">
        <f>IFERROR( VLOOKUP($C70,covid_vlookup,2, FALSE), "No Data")</f>
        <v>No Data</v>
      </c>
      <c r="E70" s="14" t="str">
        <f>IFERROR( VLOOKUP($C70,covid_vlookup,3, FALSE), "No Data")</f>
        <v>No Data</v>
      </c>
      <c r="F70" s="14" t="str">
        <f>IFERROR( VLOOKUP($C70,covid_vlookup,8, FALSE), "No Data")</f>
        <v>No Data</v>
      </c>
      <c r="G70" s="14" t="str">
        <f>IFERROR( VLOOKUP($C70,covid_vlookup,13, FALSE), "No Data")</f>
        <v>No Data</v>
      </c>
      <c r="H70" s="2"/>
    </row>
    <row r="71">
      <c r="A71" s="3" t="s">
        <v>237</v>
      </c>
      <c r="B71" s="3" t="s">
        <v>125</v>
      </c>
      <c r="C71" s="3" t="s">
        <v>238</v>
      </c>
      <c r="D71" s="14" t="str">
        <f>IFERROR( VLOOKUP($C71,covid_vlookup,2, FALSE), "No Data")</f>
        <v>No Data</v>
      </c>
      <c r="E71" s="14" t="str">
        <f>IFERROR( VLOOKUP($C71,covid_vlookup,3, FALSE), "No Data")</f>
        <v>No Data</v>
      </c>
      <c r="F71" s="14" t="str">
        <f>IFERROR( VLOOKUP($C71,covid_vlookup,8, FALSE), "No Data")</f>
        <v>No Data</v>
      </c>
      <c r="G71" s="14" t="str">
        <f>IFERROR( VLOOKUP($C71,covid_vlookup,13, FALSE), "No Data")</f>
        <v>No Data</v>
      </c>
      <c r="H71" s="2"/>
    </row>
    <row r="72">
      <c r="A72" s="3" t="s">
        <v>239</v>
      </c>
      <c r="B72" s="3" t="s">
        <v>125</v>
      </c>
      <c r="C72" s="3" t="s">
        <v>240</v>
      </c>
      <c r="D72" s="14" t="str">
        <f>IFERROR( VLOOKUP($C72,covid_vlookup,2, FALSE), "No Data")</f>
        <v>No Data</v>
      </c>
      <c r="E72" s="14" t="str">
        <f>IFERROR( VLOOKUP($C72,covid_vlookup,3, FALSE), "No Data")</f>
        <v>No Data</v>
      </c>
      <c r="F72" s="14" t="str">
        <f>IFERROR( VLOOKUP($C72,covid_vlookup,8, FALSE), "No Data")</f>
        <v>No Data</v>
      </c>
      <c r="G72" s="14" t="str">
        <f>IFERROR( VLOOKUP($C72,covid_vlookup,13, FALSE), "No Data")</f>
        <v>No Data</v>
      </c>
      <c r="H72" s="2"/>
    </row>
    <row r="73">
      <c r="A73" s="3" t="s">
        <v>241</v>
      </c>
      <c r="B73" s="3" t="s">
        <v>122</v>
      </c>
      <c r="C73" s="3" t="s">
        <v>242</v>
      </c>
      <c r="D73" s="14" t="str">
        <f>IFERROR( VLOOKUP($C73,covid_vlookup,2, FALSE), "No Data")</f>
        <v>No Data</v>
      </c>
      <c r="E73" s="14" t="str">
        <f>IFERROR( VLOOKUP($C73,covid_vlookup,3, FALSE), "No Data")</f>
        <v>No Data</v>
      </c>
      <c r="F73" s="14" t="str">
        <f>IFERROR( VLOOKUP($C73,covid_vlookup,8, FALSE), "No Data")</f>
        <v>No Data</v>
      </c>
      <c r="G73" s="14" t="str">
        <f>IFERROR( VLOOKUP($C73,covid_vlookup,13, FALSE), "No Data")</f>
        <v>No Data</v>
      </c>
      <c r="H73" s="2"/>
    </row>
    <row r="74">
      <c r="A74" s="3" t="s">
        <v>41</v>
      </c>
      <c r="B74" s="3" t="s">
        <v>23</v>
      </c>
      <c r="C74" s="3" t="s">
        <v>42</v>
      </c>
      <c r="D74" s="14">
        <f>IFERROR( VLOOKUP($C74,covid_vlookup,2, FALSE), "No Data")</f>
        <v>7193186</v>
      </c>
      <c r="E74" s="14">
        <f>IFERROR( VLOOKUP($C74,covid_vlookup,3, FALSE), "No Data")</f>
        <v>112111</v>
      </c>
      <c r="F74" s="14">
        <f>IFERROR( VLOOKUP($C74,covid_vlookup,8, FALSE), "No Data")</f>
        <v>83900471</v>
      </c>
      <c r="G74" s="14">
        <f>IFERROR( VLOOKUP($C74,covid_vlookup,13, FALSE), "No Data")</f>
        <v>45229.245</v>
      </c>
      <c r="H74" s="2"/>
    </row>
    <row r="75">
      <c r="A75" s="3" t="s">
        <v>243</v>
      </c>
      <c r="B75" s="3" t="s">
        <v>125</v>
      </c>
      <c r="C75" s="3" t="s">
        <v>244</v>
      </c>
      <c r="D75" s="14" t="str">
        <f>IFERROR( VLOOKUP($C75,covid_vlookup,2, FALSE), "No Data")</f>
        <v>No Data</v>
      </c>
      <c r="E75" s="14" t="str">
        <f>IFERROR( VLOOKUP($C75,covid_vlookup,3, FALSE), "No Data")</f>
        <v>No Data</v>
      </c>
      <c r="F75" s="14" t="str">
        <f>IFERROR( VLOOKUP($C75,covid_vlookup,8, FALSE), "No Data")</f>
        <v>No Data</v>
      </c>
      <c r="G75" s="14" t="str">
        <f>IFERROR( VLOOKUP($C75,covid_vlookup,13, FALSE), "No Data")</f>
        <v>No Data</v>
      </c>
      <c r="H75" s="2"/>
    </row>
    <row r="76">
      <c r="A76" s="3" t="s">
        <v>59</v>
      </c>
      <c r="B76" s="3" t="s">
        <v>23</v>
      </c>
      <c r="C76" s="3" t="s">
        <v>60</v>
      </c>
      <c r="D76" s="14">
        <f>IFERROR( VLOOKUP($C76,covid_vlookup,2, FALSE), "No Data")</f>
        <v>8701</v>
      </c>
      <c r="E76" s="14">
        <f>IFERROR( VLOOKUP($C76,covid_vlookup,3, FALSE), "No Data")</f>
        <v>100</v>
      </c>
      <c r="F76" s="14">
        <f>IFERROR( VLOOKUP($C76,covid_vlookup,8, FALSE), "No Data")</f>
        <v>33691</v>
      </c>
      <c r="G76" s="14" t="str">
        <f>IFERROR( VLOOKUP($C76,covid_vlookup,13, FALSE), "No Data")</f>
        <v/>
      </c>
      <c r="H76" s="2"/>
    </row>
    <row r="77">
      <c r="A77" s="3" t="s">
        <v>61</v>
      </c>
      <c r="B77" s="3" t="s">
        <v>23</v>
      </c>
      <c r="C77" s="3" t="s">
        <v>62</v>
      </c>
      <c r="D77" s="14">
        <f>IFERROR( VLOOKUP($C77,covid_vlookup,2, FALSE), "No Data")</f>
        <v>1210853</v>
      </c>
      <c r="E77" s="14">
        <f>IFERROR( VLOOKUP($C77,covid_vlookup,3, FALSE), "No Data")</f>
        <v>20790</v>
      </c>
      <c r="F77" s="14">
        <f>IFERROR( VLOOKUP($C77,covid_vlookup,8, FALSE), "No Data")</f>
        <v>10370747</v>
      </c>
      <c r="G77" s="14">
        <f>IFERROR( VLOOKUP($C77,covid_vlookup,13, FALSE), "No Data")</f>
        <v>24574.382</v>
      </c>
      <c r="H77" s="2"/>
    </row>
    <row r="78">
      <c r="A78" s="3" t="s">
        <v>245</v>
      </c>
      <c r="B78" s="3" t="s">
        <v>130</v>
      </c>
      <c r="C78" s="3" t="s">
        <v>246</v>
      </c>
      <c r="D78" s="14" t="str">
        <f>IFERROR( VLOOKUP($C78,covid_vlookup,2, FALSE), "No Data")</f>
        <v>No Data</v>
      </c>
      <c r="E78" s="14" t="str">
        <f>IFERROR( VLOOKUP($C78,covid_vlookup,3, FALSE), "No Data")</f>
        <v>No Data</v>
      </c>
      <c r="F78" s="14" t="str">
        <f>IFERROR( VLOOKUP($C78,covid_vlookup,8, FALSE), "No Data")</f>
        <v>No Data</v>
      </c>
      <c r="G78" s="14" t="str">
        <f>IFERROR( VLOOKUP($C78,covid_vlookup,13, FALSE), "No Data")</f>
        <v>No Data</v>
      </c>
      <c r="H78" s="2"/>
    </row>
    <row r="79">
      <c r="A79" s="3" t="s">
        <v>247</v>
      </c>
      <c r="B79" s="3" t="s">
        <v>130</v>
      </c>
      <c r="C79" s="3" t="s">
        <v>248</v>
      </c>
      <c r="D79" s="14" t="str">
        <f>IFERROR( VLOOKUP($C79,covid_vlookup,2, FALSE), "No Data")</f>
        <v>No Data</v>
      </c>
      <c r="E79" s="14" t="str">
        <f>IFERROR( VLOOKUP($C79,covid_vlookup,3, FALSE), "No Data")</f>
        <v>No Data</v>
      </c>
      <c r="F79" s="14" t="str">
        <f>IFERROR( VLOOKUP($C79,covid_vlookup,8, FALSE), "No Data")</f>
        <v>No Data</v>
      </c>
      <c r="G79" s="14" t="str">
        <f>IFERROR( VLOOKUP($C79,covid_vlookup,13, FALSE), "No Data")</f>
        <v>No Data</v>
      </c>
      <c r="H79" s="2"/>
    </row>
    <row r="80">
      <c r="A80" s="3" t="s">
        <v>249</v>
      </c>
      <c r="B80" s="3" t="s">
        <v>142</v>
      </c>
      <c r="C80" s="3" t="s">
        <v>250</v>
      </c>
      <c r="D80" s="14" t="str">
        <f>IFERROR( VLOOKUP($C80,covid_vlookup,2, FALSE), "No Data")</f>
        <v>No Data</v>
      </c>
      <c r="E80" s="14" t="str">
        <f>IFERROR( VLOOKUP($C80,covid_vlookup,3, FALSE), "No Data")</f>
        <v>No Data</v>
      </c>
      <c r="F80" s="14" t="str">
        <f>IFERROR( VLOOKUP($C80,covid_vlookup,8, FALSE), "No Data")</f>
        <v>No Data</v>
      </c>
      <c r="G80" s="14" t="str">
        <f>IFERROR( VLOOKUP($C80,covid_vlookup,13, FALSE), "No Data")</f>
        <v>No Data</v>
      </c>
      <c r="H80" s="2"/>
    </row>
    <row r="81">
      <c r="A81" s="3" t="s">
        <v>251</v>
      </c>
      <c r="B81" s="3" t="s">
        <v>130</v>
      </c>
      <c r="C81" s="3" t="s">
        <v>252</v>
      </c>
      <c r="D81" s="14" t="str">
        <f>IFERROR( VLOOKUP($C81,covid_vlookup,2, FALSE), "No Data")</f>
        <v>No Data</v>
      </c>
      <c r="E81" s="14" t="str">
        <f>IFERROR( VLOOKUP($C81,covid_vlookup,3, FALSE), "No Data")</f>
        <v>No Data</v>
      </c>
      <c r="F81" s="14" t="str">
        <f>IFERROR( VLOOKUP($C81,covid_vlookup,8, FALSE), "No Data")</f>
        <v>No Data</v>
      </c>
      <c r="G81" s="14" t="str">
        <f>IFERROR( VLOOKUP($C81,covid_vlookup,13, FALSE), "No Data")</f>
        <v>No Data</v>
      </c>
      <c r="H81" s="2"/>
    </row>
    <row r="82">
      <c r="A82" s="3" t="s">
        <v>57</v>
      </c>
      <c r="B82" s="3" t="s">
        <v>23</v>
      </c>
      <c r="C82" s="3" t="s">
        <v>58</v>
      </c>
      <c r="D82" s="14" t="str">
        <f>IFERROR( VLOOKUP($C82,covid_vlookup,2, FALSE), "No Data")</f>
        <v/>
      </c>
      <c r="E82" s="14" t="str">
        <f>IFERROR( VLOOKUP($C82,covid_vlookup,3, FALSE), "No Data")</f>
        <v/>
      </c>
      <c r="F82" s="14">
        <f>IFERROR( VLOOKUP($C82,covid_vlookup,8, FALSE), "No Data")</f>
        <v>63385</v>
      </c>
      <c r="G82" s="14" t="str">
        <f>IFERROR( VLOOKUP($C82,covid_vlookup,13, FALSE), "No Data")</f>
        <v/>
      </c>
      <c r="H82" s="2"/>
    </row>
    <row r="83">
      <c r="A83" s="3" t="s">
        <v>253</v>
      </c>
      <c r="B83" s="3" t="s">
        <v>125</v>
      </c>
      <c r="C83" s="3" t="s">
        <v>254</v>
      </c>
      <c r="D83" s="14" t="str">
        <f>IFERROR( VLOOKUP($C83,covid_vlookup,2, FALSE), "No Data")</f>
        <v>No Data</v>
      </c>
      <c r="E83" s="14" t="str">
        <f>IFERROR( VLOOKUP($C83,covid_vlookup,3, FALSE), "No Data")</f>
        <v>No Data</v>
      </c>
      <c r="F83" s="14" t="str">
        <f>IFERROR( VLOOKUP($C83,covid_vlookup,8, FALSE), "No Data")</f>
        <v>No Data</v>
      </c>
      <c r="G83" s="14" t="str">
        <f>IFERROR( VLOOKUP($C83,covid_vlookup,13, FALSE), "No Data")</f>
        <v>No Data</v>
      </c>
      <c r="H83" s="2"/>
    </row>
    <row r="84">
      <c r="A84" s="3" t="s">
        <v>255</v>
      </c>
      <c r="B84" s="3" t="s">
        <v>125</v>
      </c>
      <c r="C84" s="3" t="s">
        <v>256</v>
      </c>
      <c r="D84" s="14" t="str">
        <f>IFERROR( VLOOKUP($C84,covid_vlookup,2, FALSE), "No Data")</f>
        <v>No Data</v>
      </c>
      <c r="E84" s="14" t="str">
        <f>IFERROR( VLOOKUP($C84,covid_vlookup,3, FALSE), "No Data")</f>
        <v>No Data</v>
      </c>
      <c r="F84" s="14" t="str">
        <f>IFERROR( VLOOKUP($C84,covid_vlookup,8, FALSE), "No Data")</f>
        <v>No Data</v>
      </c>
      <c r="G84" s="14" t="str">
        <f>IFERROR( VLOOKUP($C84,covid_vlookup,13, FALSE), "No Data")</f>
        <v>No Data</v>
      </c>
      <c r="H84" s="2"/>
    </row>
    <row r="85">
      <c r="A85" s="3" t="s">
        <v>257</v>
      </c>
      <c r="B85" s="3" t="s">
        <v>135</v>
      </c>
      <c r="C85" s="3" t="s">
        <v>258</v>
      </c>
      <c r="D85" s="14" t="str">
        <f>IFERROR( VLOOKUP($C85,covid_vlookup,2, FALSE), "No Data")</f>
        <v>No Data</v>
      </c>
      <c r="E85" s="14" t="str">
        <f>IFERROR( VLOOKUP($C85,covid_vlookup,3, FALSE), "No Data")</f>
        <v>No Data</v>
      </c>
      <c r="F85" s="14" t="str">
        <f>IFERROR( VLOOKUP($C85,covid_vlookup,8, FALSE), "No Data")</f>
        <v>No Data</v>
      </c>
      <c r="G85" s="14" t="str">
        <f>IFERROR( VLOOKUP($C85,covid_vlookup,13, FALSE), "No Data")</f>
        <v>No Data</v>
      </c>
      <c r="H85" s="2"/>
    </row>
    <row r="86">
      <c r="A86" s="3" t="s">
        <v>259</v>
      </c>
      <c r="B86" s="3" t="s">
        <v>130</v>
      </c>
      <c r="C86" s="3" t="s">
        <v>260</v>
      </c>
      <c r="D86" s="14" t="str">
        <f>IFERROR( VLOOKUP($C86,covid_vlookup,2, FALSE), "No Data")</f>
        <v>No Data</v>
      </c>
      <c r="E86" s="14" t="str">
        <f>IFERROR( VLOOKUP($C86,covid_vlookup,3, FALSE), "No Data")</f>
        <v>No Data</v>
      </c>
      <c r="F86" s="14" t="str">
        <f>IFERROR( VLOOKUP($C86,covid_vlookup,8, FALSE), "No Data")</f>
        <v>No Data</v>
      </c>
      <c r="G86" s="14" t="str">
        <f>IFERROR( VLOOKUP($C86,covid_vlookup,13, FALSE), "No Data")</f>
        <v>No Data</v>
      </c>
      <c r="H86" s="2"/>
    </row>
    <row r="87">
      <c r="A87" s="3" t="s">
        <v>261</v>
      </c>
      <c r="B87" s="3" t="s">
        <v>130</v>
      </c>
      <c r="C87" s="3" t="s">
        <v>262</v>
      </c>
      <c r="D87" s="14" t="str">
        <f>IFERROR( VLOOKUP($C87,covid_vlookup,2, FALSE), "No Data")</f>
        <v>No Data</v>
      </c>
      <c r="E87" s="14" t="str">
        <f>IFERROR( VLOOKUP($C87,covid_vlookup,3, FALSE), "No Data")</f>
        <v>No Data</v>
      </c>
      <c r="F87" s="14" t="str">
        <f>IFERROR( VLOOKUP($C87,covid_vlookup,8, FALSE), "No Data")</f>
        <v>No Data</v>
      </c>
      <c r="G87" s="14" t="str">
        <f>IFERROR( VLOOKUP($C87,covid_vlookup,13, FALSE), "No Data")</f>
        <v>No Data</v>
      </c>
      <c r="H87" s="2"/>
    </row>
    <row r="88">
      <c r="A88" s="3" t="s">
        <v>263</v>
      </c>
      <c r="B88" s="3" t="s">
        <v>122</v>
      </c>
      <c r="C88" s="3" t="s">
        <v>264</v>
      </c>
      <c r="D88" s="14" t="str">
        <f>IFERROR( VLOOKUP($C88,covid_vlookup,2, FALSE), "No Data")</f>
        <v>No Data</v>
      </c>
      <c r="E88" s="14" t="str">
        <f>IFERROR( VLOOKUP($C88,covid_vlookup,3, FALSE), "No Data")</f>
        <v>No Data</v>
      </c>
      <c r="F88" s="14" t="str">
        <f>IFERROR( VLOOKUP($C88,covid_vlookup,8, FALSE), "No Data")</f>
        <v>No Data</v>
      </c>
      <c r="G88" s="14" t="str">
        <f>IFERROR( VLOOKUP($C88,covid_vlookup,13, FALSE), "No Data")</f>
        <v>No Data</v>
      </c>
      <c r="H88" s="2"/>
    </row>
    <row r="89">
      <c r="A89" s="3" t="s">
        <v>65</v>
      </c>
      <c r="B89" s="3" t="s">
        <v>23</v>
      </c>
      <c r="C89" s="3" t="s">
        <v>66</v>
      </c>
      <c r="D89" s="14">
        <f>IFERROR( VLOOKUP($C89,covid_vlookup,2, FALSE), "No Data")</f>
        <v>1256415</v>
      </c>
      <c r="E89" s="14">
        <f>IFERROR( VLOOKUP($C89,covid_vlookup,3, FALSE), "No Data")</f>
        <v>39186</v>
      </c>
      <c r="F89" s="14">
        <f>IFERROR( VLOOKUP($C89,covid_vlookup,8, FALSE), "No Data")</f>
        <v>9634162</v>
      </c>
      <c r="G89" s="14">
        <f>IFERROR( VLOOKUP($C89,covid_vlookup,13, FALSE), "No Data")</f>
        <v>26777.561</v>
      </c>
      <c r="H89" s="2"/>
    </row>
    <row r="90">
      <c r="A90" s="3" t="s">
        <v>71</v>
      </c>
      <c r="B90" s="3" t="s">
        <v>23</v>
      </c>
      <c r="C90" s="3" t="s">
        <v>72</v>
      </c>
      <c r="D90" s="14">
        <f>IFERROR( VLOOKUP($C90,covid_vlookup,2, FALSE), "No Data")</f>
        <v>27059</v>
      </c>
      <c r="E90" s="14">
        <f>IFERROR( VLOOKUP($C90,covid_vlookup,3, FALSE), "No Data")</f>
        <v>37</v>
      </c>
      <c r="F90" s="14">
        <f>IFERROR( VLOOKUP($C90,covid_vlookup,8, FALSE), "No Data")</f>
        <v>368792</v>
      </c>
      <c r="G90" s="14">
        <f>IFERROR( VLOOKUP($C90,covid_vlookup,13, FALSE), "No Data")</f>
        <v>46482.958</v>
      </c>
      <c r="H90" s="2"/>
    </row>
    <row r="91">
      <c r="A91" s="3" t="s">
        <v>265</v>
      </c>
      <c r="B91" s="3" t="s">
        <v>122</v>
      </c>
      <c r="C91" s="3" t="s">
        <v>266</v>
      </c>
      <c r="D91" s="14" t="str">
        <f>IFERROR( VLOOKUP($C91,covid_vlookup,2, FALSE), "No Data")</f>
        <v>No Data</v>
      </c>
      <c r="E91" s="14" t="str">
        <f>IFERROR( VLOOKUP($C91,covid_vlookup,3, FALSE), "No Data")</f>
        <v>No Data</v>
      </c>
      <c r="F91" s="14" t="str">
        <f>IFERROR( VLOOKUP($C91,covid_vlookup,8, FALSE), "No Data")</f>
        <v>No Data</v>
      </c>
      <c r="G91" s="14" t="str">
        <f>IFERROR( VLOOKUP($C91,covid_vlookup,13, FALSE), "No Data")</f>
        <v>No Data</v>
      </c>
      <c r="H91" s="2"/>
    </row>
    <row r="92">
      <c r="A92" s="3" t="s">
        <v>267</v>
      </c>
      <c r="B92" s="3" t="s">
        <v>122</v>
      </c>
      <c r="C92" s="3" t="s">
        <v>268</v>
      </c>
      <c r="D92" s="14" t="str">
        <f>IFERROR( VLOOKUP($C92,covid_vlookup,2, FALSE), "No Data")</f>
        <v>No Data</v>
      </c>
      <c r="E92" s="14" t="str">
        <f>IFERROR( VLOOKUP($C92,covid_vlookup,3, FALSE), "No Data")</f>
        <v>No Data</v>
      </c>
      <c r="F92" s="14" t="str">
        <f>IFERROR( VLOOKUP($C92,covid_vlookup,8, FALSE), "No Data")</f>
        <v>No Data</v>
      </c>
      <c r="G92" s="14" t="str">
        <f>IFERROR( VLOOKUP($C92,covid_vlookup,13, FALSE), "No Data")</f>
        <v>No Data</v>
      </c>
      <c r="H92" s="2"/>
    </row>
    <row r="93">
      <c r="A93" s="3" t="s">
        <v>269</v>
      </c>
      <c r="B93" s="3" t="s">
        <v>122</v>
      </c>
      <c r="C93" s="3" t="s">
        <v>270</v>
      </c>
      <c r="D93" s="14" t="str">
        <f>IFERROR( VLOOKUP($C93,covid_vlookup,2, FALSE), "No Data")</f>
        <v>No Data</v>
      </c>
      <c r="E93" s="14" t="str">
        <f>IFERROR( VLOOKUP($C93,covid_vlookup,3, FALSE), "No Data")</f>
        <v>No Data</v>
      </c>
      <c r="F93" s="14" t="str">
        <f>IFERROR( VLOOKUP($C93,covid_vlookup,8, FALSE), "No Data")</f>
        <v>No Data</v>
      </c>
      <c r="G93" s="14" t="str">
        <f>IFERROR( VLOOKUP($C93,covid_vlookup,13, FALSE), "No Data")</f>
        <v>No Data</v>
      </c>
      <c r="H93" s="2"/>
    </row>
    <row r="94">
      <c r="A94" s="3" t="s">
        <v>271</v>
      </c>
      <c r="B94" s="3" t="s">
        <v>122</v>
      </c>
      <c r="C94" s="3" t="s">
        <v>272</v>
      </c>
      <c r="D94" s="14" t="str">
        <f>IFERROR( VLOOKUP($C94,covid_vlookup,2, FALSE), "No Data")</f>
        <v>No Data</v>
      </c>
      <c r="E94" s="14" t="str">
        <f>IFERROR( VLOOKUP($C94,covid_vlookup,3, FALSE), "No Data")</f>
        <v>No Data</v>
      </c>
      <c r="F94" s="14" t="str">
        <f>IFERROR( VLOOKUP($C94,covid_vlookup,8, FALSE), "No Data")</f>
        <v>No Data</v>
      </c>
      <c r="G94" s="14" t="str">
        <f>IFERROR( VLOOKUP($C94,covid_vlookup,13, FALSE), "No Data")</f>
        <v>No Data</v>
      </c>
      <c r="H94" s="2"/>
    </row>
    <row r="95">
      <c r="A95" s="3" t="s">
        <v>69</v>
      </c>
      <c r="B95" s="3" t="s">
        <v>23</v>
      </c>
      <c r="C95" s="3" t="s">
        <v>70</v>
      </c>
      <c r="D95" s="14">
        <f>IFERROR( VLOOKUP($C95,covid_vlookup,2, FALSE), "No Data")</f>
        <v>788559</v>
      </c>
      <c r="E95" s="14">
        <f>IFERROR( VLOOKUP($C95,covid_vlookup,3, FALSE), "No Data")</f>
        <v>5912</v>
      </c>
      <c r="F95" s="14">
        <f>IFERROR( VLOOKUP($C95,covid_vlookup,8, FALSE), "No Data")</f>
        <v>4982904</v>
      </c>
      <c r="G95" s="14">
        <f>IFERROR( VLOOKUP($C95,covid_vlookup,13, FALSE), "No Data")</f>
        <v>67335.293</v>
      </c>
      <c r="H95" s="2"/>
    </row>
    <row r="96">
      <c r="A96" s="3" t="s">
        <v>67</v>
      </c>
      <c r="B96" s="3" t="s">
        <v>23</v>
      </c>
      <c r="C96" s="3" t="s">
        <v>68</v>
      </c>
      <c r="D96" s="14">
        <f>IFERROR( VLOOKUP($C96,covid_vlookup,2, FALSE), "No Data")</f>
        <v>13641</v>
      </c>
      <c r="E96" s="14">
        <f>IFERROR( VLOOKUP($C96,covid_vlookup,3, FALSE), "No Data")</f>
        <v>67</v>
      </c>
      <c r="F96" s="14">
        <f>IFERROR( VLOOKUP($C96,covid_vlookup,8, FALSE), "No Data")</f>
        <v>85410</v>
      </c>
      <c r="G96" s="14" t="str">
        <f>IFERROR( VLOOKUP($C96,covid_vlookup,13, FALSE), "No Data")</f>
        <v/>
      </c>
      <c r="H96" s="2"/>
    </row>
    <row r="97">
      <c r="A97" s="3" t="s">
        <v>273</v>
      </c>
      <c r="B97" s="3" t="s">
        <v>122</v>
      </c>
      <c r="C97" s="3" t="s">
        <v>274</v>
      </c>
      <c r="D97" s="14" t="str">
        <f>IFERROR( VLOOKUP($C97,covid_vlookup,2, FALSE), "No Data")</f>
        <v>No Data</v>
      </c>
      <c r="E97" s="14" t="str">
        <f>IFERROR( VLOOKUP($C97,covid_vlookup,3, FALSE), "No Data")</f>
        <v>No Data</v>
      </c>
      <c r="F97" s="14" t="str">
        <f>IFERROR( VLOOKUP($C97,covid_vlookup,8, FALSE), "No Data")</f>
        <v>No Data</v>
      </c>
      <c r="G97" s="14" t="str">
        <f>IFERROR( VLOOKUP($C97,covid_vlookup,13, FALSE), "No Data")</f>
        <v>No Data</v>
      </c>
      <c r="H97" s="2"/>
    </row>
    <row r="98">
      <c r="A98" s="3" t="s">
        <v>73</v>
      </c>
      <c r="B98" s="3" t="s">
        <v>23</v>
      </c>
      <c r="C98" s="3" t="s">
        <v>74</v>
      </c>
      <c r="D98" s="14">
        <f>IFERROR( VLOOKUP($C98,covid_vlookup,2, FALSE), "No Data")</f>
        <v>6125683</v>
      </c>
      <c r="E98" s="14">
        <f>IFERROR( VLOOKUP($C98,covid_vlookup,3, FALSE), "No Data")</f>
        <v>137402</v>
      </c>
      <c r="F98" s="14">
        <f>IFERROR( VLOOKUP($C98,covid_vlookup,8, FALSE), "No Data")</f>
        <v>60367471</v>
      </c>
      <c r="G98" s="14">
        <f>IFERROR( VLOOKUP($C98,covid_vlookup,13, FALSE), "No Data")</f>
        <v>35220.084</v>
      </c>
      <c r="H98" s="2"/>
    </row>
    <row r="99">
      <c r="A99" s="3" t="s">
        <v>275</v>
      </c>
      <c r="B99" s="3" t="s">
        <v>130</v>
      </c>
      <c r="C99" s="3" t="s">
        <v>276</v>
      </c>
      <c r="D99" s="14" t="str">
        <f>IFERROR( VLOOKUP($C99,covid_vlookup,2, FALSE), "No Data")</f>
        <v>No Data</v>
      </c>
      <c r="E99" s="14" t="str">
        <f>IFERROR( VLOOKUP($C99,covid_vlookup,3, FALSE), "No Data")</f>
        <v>No Data</v>
      </c>
      <c r="F99" s="14" t="str">
        <f>IFERROR( VLOOKUP($C99,covid_vlookup,8, FALSE), "No Data")</f>
        <v>No Data</v>
      </c>
      <c r="G99" s="14" t="str">
        <f>IFERROR( VLOOKUP($C99,covid_vlookup,13, FALSE), "No Data")</f>
        <v>No Data</v>
      </c>
      <c r="H99" s="2"/>
    </row>
    <row r="100">
      <c r="A100" s="3" t="s">
        <v>277</v>
      </c>
      <c r="B100" s="3" t="s">
        <v>122</v>
      </c>
      <c r="C100" s="3" t="s">
        <v>278</v>
      </c>
      <c r="D100" s="14" t="str">
        <f>IFERROR( VLOOKUP($C100,covid_vlookup,2, FALSE), "No Data")</f>
        <v>No Data</v>
      </c>
      <c r="E100" s="14" t="str">
        <f>IFERROR( VLOOKUP($C100,covid_vlookup,3, FALSE), "No Data")</f>
        <v>No Data</v>
      </c>
      <c r="F100" s="14" t="str">
        <f>IFERROR( VLOOKUP($C100,covid_vlookup,8, FALSE), "No Data")</f>
        <v>No Data</v>
      </c>
      <c r="G100" s="14" t="str">
        <f>IFERROR( VLOOKUP($C100,covid_vlookup,13, FALSE), "No Data")</f>
        <v>No Data</v>
      </c>
      <c r="H100" s="2"/>
    </row>
    <row r="101">
      <c r="A101" s="3" t="s">
        <v>75</v>
      </c>
      <c r="B101" s="3" t="s">
        <v>23</v>
      </c>
      <c r="C101" s="3" t="s">
        <v>76</v>
      </c>
      <c r="D101" s="14" t="str">
        <f>IFERROR( VLOOKUP($C101,covid_vlookup,2, FALSE), "No Data")</f>
        <v/>
      </c>
      <c r="E101" s="14" t="str">
        <f>IFERROR( VLOOKUP($C101,covid_vlookup,3, FALSE), "No Data")</f>
        <v/>
      </c>
      <c r="F101" s="14">
        <f>IFERROR( VLOOKUP($C101,covid_vlookup,8, FALSE), "No Data")</f>
        <v>101073</v>
      </c>
      <c r="G101" s="14" t="str">
        <f>IFERROR( VLOOKUP($C101,covid_vlookup,13, FALSE), "No Data")</f>
        <v/>
      </c>
      <c r="H101" s="2"/>
    </row>
    <row r="102">
      <c r="A102" s="3" t="s">
        <v>279</v>
      </c>
      <c r="B102" s="3" t="s">
        <v>122</v>
      </c>
      <c r="C102" s="3" t="s">
        <v>280</v>
      </c>
      <c r="D102" s="14" t="str">
        <f>IFERROR( VLOOKUP($C102,covid_vlookup,2, FALSE), "No Data")</f>
        <v>No Data</v>
      </c>
      <c r="E102" s="14" t="str">
        <f>IFERROR( VLOOKUP($C102,covid_vlookup,3, FALSE), "No Data")</f>
        <v>No Data</v>
      </c>
      <c r="F102" s="14" t="str">
        <f>IFERROR( VLOOKUP($C102,covid_vlookup,8, FALSE), "No Data")</f>
        <v>No Data</v>
      </c>
      <c r="G102" s="14" t="str">
        <f>IFERROR( VLOOKUP($C102,covid_vlookup,13, FALSE), "No Data")</f>
        <v>No Data</v>
      </c>
      <c r="H102" s="2"/>
    </row>
    <row r="103">
      <c r="A103" s="3" t="s">
        <v>281</v>
      </c>
      <c r="B103" s="3" t="s">
        <v>122</v>
      </c>
      <c r="C103" s="3" t="s">
        <v>282</v>
      </c>
      <c r="D103" s="14" t="str">
        <f>IFERROR( VLOOKUP($C103,covid_vlookup,2, FALSE), "No Data")</f>
        <v>No Data</v>
      </c>
      <c r="E103" s="14" t="str">
        <f>IFERROR( VLOOKUP($C103,covid_vlookup,3, FALSE), "No Data")</f>
        <v>No Data</v>
      </c>
      <c r="F103" s="14" t="str">
        <f>IFERROR( VLOOKUP($C103,covid_vlookup,8, FALSE), "No Data")</f>
        <v>No Data</v>
      </c>
      <c r="G103" s="14" t="str">
        <f>IFERROR( VLOOKUP($C103,covid_vlookup,13, FALSE), "No Data")</f>
        <v>No Data</v>
      </c>
      <c r="H103" s="2"/>
    </row>
    <row r="104">
      <c r="A104" s="3" t="s">
        <v>283</v>
      </c>
      <c r="B104" s="3" t="s">
        <v>125</v>
      </c>
      <c r="C104" s="3" t="s">
        <v>284</v>
      </c>
      <c r="D104" s="14" t="str">
        <f>IFERROR( VLOOKUP($C104,covid_vlookup,2, FALSE), "No Data")</f>
        <v>No Data</v>
      </c>
      <c r="E104" s="14" t="str">
        <f>IFERROR( VLOOKUP($C104,covid_vlookup,3, FALSE), "No Data")</f>
        <v>No Data</v>
      </c>
      <c r="F104" s="14" t="str">
        <f>IFERROR( VLOOKUP($C104,covid_vlookup,8, FALSE), "No Data")</f>
        <v>No Data</v>
      </c>
      <c r="G104" s="14" t="str">
        <f>IFERROR( VLOOKUP($C104,covid_vlookup,13, FALSE), "No Data")</f>
        <v>No Data</v>
      </c>
      <c r="H104" s="2"/>
    </row>
    <row r="105">
      <c r="A105" s="3" t="s">
        <v>285</v>
      </c>
      <c r="B105" s="3" t="s">
        <v>23</v>
      </c>
      <c r="C105" s="3" t="s">
        <v>286</v>
      </c>
      <c r="D105" s="14" t="str">
        <f>IFERROR( VLOOKUP($C105,covid_vlookup,2, FALSE), "No Data")</f>
        <v>No Data</v>
      </c>
      <c r="E105" s="14" t="str">
        <f>IFERROR( VLOOKUP($C105,covid_vlookup,3, FALSE), "No Data")</f>
        <v>No Data</v>
      </c>
      <c r="F105" s="14" t="str">
        <f>IFERROR( VLOOKUP($C105,covid_vlookup,8, FALSE), "No Data")</f>
        <v>No Data</v>
      </c>
      <c r="G105" s="14" t="str">
        <f>IFERROR( VLOOKUP($C105,covid_vlookup,13, FALSE), "No Data")</f>
        <v>No Data</v>
      </c>
      <c r="H105" s="2"/>
    </row>
    <row r="106">
      <c r="A106" s="3" t="s">
        <v>287</v>
      </c>
      <c r="B106" s="3" t="s">
        <v>122</v>
      </c>
      <c r="C106" s="3" t="s">
        <v>288</v>
      </c>
      <c r="D106" s="14" t="str">
        <f>IFERROR( VLOOKUP($C106,covid_vlookup,2, FALSE), "No Data")</f>
        <v>No Data</v>
      </c>
      <c r="E106" s="14" t="str">
        <f>IFERROR( VLOOKUP($C106,covid_vlookup,3, FALSE), "No Data")</f>
        <v>No Data</v>
      </c>
      <c r="F106" s="14" t="str">
        <f>IFERROR( VLOOKUP($C106,covid_vlookup,8, FALSE), "No Data")</f>
        <v>No Data</v>
      </c>
      <c r="G106" s="14" t="str">
        <f>IFERROR( VLOOKUP($C106,covid_vlookup,13, FALSE), "No Data")</f>
        <v>No Data</v>
      </c>
      <c r="H106" s="2"/>
    </row>
    <row r="107">
      <c r="A107" s="3" t="s">
        <v>289</v>
      </c>
      <c r="B107" s="3" t="s">
        <v>122</v>
      </c>
      <c r="C107" s="3" t="s">
        <v>290</v>
      </c>
      <c r="D107" s="14" t="str">
        <f>IFERROR( VLOOKUP($C107,covid_vlookup,2, FALSE), "No Data")</f>
        <v>No Data</v>
      </c>
      <c r="E107" s="14" t="str">
        <f>IFERROR( VLOOKUP($C107,covid_vlookup,3, FALSE), "No Data")</f>
        <v>No Data</v>
      </c>
      <c r="F107" s="14" t="str">
        <f>IFERROR( VLOOKUP($C107,covid_vlookup,8, FALSE), "No Data")</f>
        <v>No Data</v>
      </c>
      <c r="G107" s="14" t="str">
        <f>IFERROR( VLOOKUP($C107,covid_vlookup,13, FALSE), "No Data")</f>
        <v>No Data</v>
      </c>
      <c r="H107" s="2"/>
    </row>
    <row r="108">
      <c r="A108" s="3" t="s">
        <v>291</v>
      </c>
      <c r="B108" s="3" t="s">
        <v>122</v>
      </c>
      <c r="C108" s="3" t="s">
        <v>292</v>
      </c>
      <c r="D108" s="14" t="str">
        <f>IFERROR( VLOOKUP($C108,covid_vlookup,2, FALSE), "No Data")</f>
        <v>No Data</v>
      </c>
      <c r="E108" s="14" t="str">
        <f>IFERROR( VLOOKUP($C108,covid_vlookup,3, FALSE), "No Data")</f>
        <v>No Data</v>
      </c>
      <c r="F108" s="14" t="str">
        <f>IFERROR( VLOOKUP($C108,covid_vlookup,8, FALSE), "No Data")</f>
        <v>No Data</v>
      </c>
      <c r="G108" s="14" t="str">
        <f>IFERROR( VLOOKUP($C108,covid_vlookup,13, FALSE), "No Data")</f>
        <v>No Data</v>
      </c>
      <c r="H108" s="2"/>
    </row>
    <row r="109">
      <c r="A109" s="3" t="s">
        <v>83</v>
      </c>
      <c r="B109" s="3" t="s">
        <v>23</v>
      </c>
      <c r="C109" s="3" t="s">
        <v>84</v>
      </c>
      <c r="D109" s="14">
        <f>IFERROR( VLOOKUP($C109,covid_vlookup,2, FALSE), "No Data")</f>
        <v>276674</v>
      </c>
      <c r="E109" s="14">
        <f>IFERROR( VLOOKUP($C109,covid_vlookup,3, FALSE), "No Data")</f>
        <v>4570</v>
      </c>
      <c r="F109" s="14">
        <f>IFERROR( VLOOKUP($C109,covid_vlookup,8, FALSE), "No Data")</f>
        <v>1866934</v>
      </c>
      <c r="G109" s="14">
        <f>IFERROR( VLOOKUP($C109,covid_vlookup,13, FALSE), "No Data")</f>
        <v>25063.846</v>
      </c>
      <c r="H109" s="2"/>
    </row>
    <row r="110">
      <c r="A110" s="3" t="s">
        <v>293</v>
      </c>
      <c r="B110" s="3" t="s">
        <v>122</v>
      </c>
      <c r="C110" s="3" t="s">
        <v>294</v>
      </c>
      <c r="D110" s="14" t="str">
        <f>IFERROR( VLOOKUP($C110,covid_vlookup,2, FALSE), "No Data")</f>
        <v>No Data</v>
      </c>
      <c r="E110" s="14" t="str">
        <f>IFERROR( VLOOKUP($C110,covid_vlookup,3, FALSE), "No Data")</f>
        <v>No Data</v>
      </c>
      <c r="F110" s="14" t="str">
        <f>IFERROR( VLOOKUP($C110,covid_vlookup,8, FALSE), "No Data")</f>
        <v>No Data</v>
      </c>
      <c r="G110" s="14" t="str">
        <f>IFERROR( VLOOKUP($C110,covid_vlookup,13, FALSE), "No Data")</f>
        <v>No Data</v>
      </c>
      <c r="H110" s="2"/>
    </row>
    <row r="111">
      <c r="A111" s="3" t="s">
        <v>295</v>
      </c>
      <c r="B111" s="3" t="s">
        <v>125</v>
      </c>
      <c r="C111" s="3" t="s">
        <v>296</v>
      </c>
      <c r="D111" s="14" t="str">
        <f>IFERROR( VLOOKUP($C111,covid_vlookup,2, FALSE), "No Data")</f>
        <v>No Data</v>
      </c>
      <c r="E111" s="14" t="str">
        <f>IFERROR( VLOOKUP($C111,covid_vlookup,3, FALSE), "No Data")</f>
        <v>No Data</v>
      </c>
      <c r="F111" s="14" t="str">
        <f>IFERROR( VLOOKUP($C111,covid_vlookup,8, FALSE), "No Data")</f>
        <v>No Data</v>
      </c>
      <c r="G111" s="14" t="str">
        <f>IFERROR( VLOOKUP($C111,covid_vlookup,13, FALSE), "No Data")</f>
        <v>No Data</v>
      </c>
      <c r="H111" s="2"/>
    </row>
    <row r="112">
      <c r="A112" s="3" t="s">
        <v>297</v>
      </c>
      <c r="B112" s="3" t="s">
        <v>125</v>
      </c>
      <c r="C112" s="3" t="s">
        <v>298</v>
      </c>
      <c r="D112" s="14" t="str">
        <f>IFERROR( VLOOKUP($C112,covid_vlookup,2, FALSE), "No Data")</f>
        <v>No Data</v>
      </c>
      <c r="E112" s="14" t="str">
        <f>IFERROR( VLOOKUP($C112,covid_vlookup,3, FALSE), "No Data")</f>
        <v>No Data</v>
      </c>
      <c r="F112" s="14" t="str">
        <f>IFERROR( VLOOKUP($C112,covid_vlookup,8, FALSE), "No Data")</f>
        <v>No Data</v>
      </c>
      <c r="G112" s="14" t="str">
        <f>IFERROR( VLOOKUP($C112,covid_vlookup,13, FALSE), "No Data")</f>
        <v>No Data</v>
      </c>
      <c r="H112" s="2"/>
    </row>
    <row r="113">
      <c r="A113" s="3" t="s">
        <v>299</v>
      </c>
      <c r="B113" s="3" t="s">
        <v>125</v>
      </c>
      <c r="C113" s="3" t="s">
        <v>300</v>
      </c>
      <c r="D113" s="14" t="str">
        <f>IFERROR( VLOOKUP($C113,covid_vlookup,2, FALSE), "No Data")</f>
        <v>No Data</v>
      </c>
      <c r="E113" s="14" t="str">
        <f>IFERROR( VLOOKUP($C113,covid_vlookup,3, FALSE), "No Data")</f>
        <v>No Data</v>
      </c>
      <c r="F113" s="14" t="str">
        <f>IFERROR( VLOOKUP($C113,covid_vlookup,8, FALSE), "No Data")</f>
        <v>No Data</v>
      </c>
      <c r="G113" s="14" t="str">
        <f>IFERROR( VLOOKUP($C113,covid_vlookup,13, FALSE), "No Data")</f>
        <v>No Data</v>
      </c>
      <c r="H113" s="2"/>
    </row>
    <row r="114">
      <c r="A114" s="3" t="s">
        <v>77</v>
      </c>
      <c r="B114" s="3" t="s">
        <v>23</v>
      </c>
      <c r="C114" s="3" t="s">
        <v>78</v>
      </c>
      <c r="D114" s="14">
        <f>IFERROR( VLOOKUP($C114,covid_vlookup,2, FALSE), "No Data")</f>
        <v>6131</v>
      </c>
      <c r="E114" s="14">
        <f>IFERROR( VLOOKUP($C114,covid_vlookup,3, FALSE), "No Data")</f>
        <v>69</v>
      </c>
      <c r="F114" s="14">
        <f>IFERROR( VLOOKUP($C114,covid_vlookup,8, FALSE), "No Data")</f>
        <v>38254</v>
      </c>
      <c r="G114" s="14" t="str">
        <f>IFERROR( VLOOKUP($C114,covid_vlookup,13, FALSE), "No Data")</f>
        <v/>
      </c>
      <c r="H114" s="2"/>
    </row>
    <row r="115">
      <c r="A115" s="3" t="s">
        <v>79</v>
      </c>
      <c r="B115" s="3" t="s">
        <v>23</v>
      </c>
      <c r="C115" s="3" t="s">
        <v>80</v>
      </c>
      <c r="D115" s="14">
        <f>IFERROR( VLOOKUP($C115,covid_vlookup,2, FALSE), "No Data")</f>
        <v>519597</v>
      </c>
      <c r="E115" s="14">
        <f>IFERROR( VLOOKUP($C115,covid_vlookup,3, FALSE), "No Data")</f>
        <v>7387</v>
      </c>
      <c r="F115" s="14">
        <f>IFERROR( VLOOKUP($C115,covid_vlookup,8, FALSE), "No Data")</f>
        <v>2689862</v>
      </c>
      <c r="G115" s="14">
        <f>IFERROR( VLOOKUP($C115,covid_vlookup,13, FALSE), "No Data")</f>
        <v>29524.265</v>
      </c>
      <c r="H115" s="2"/>
    </row>
    <row r="116">
      <c r="A116" s="3" t="s">
        <v>81</v>
      </c>
      <c r="B116" s="3" t="s">
        <v>23</v>
      </c>
      <c r="C116" s="3" t="s">
        <v>82</v>
      </c>
      <c r="D116" s="14">
        <f>IFERROR( VLOOKUP($C116,covid_vlookup,2, FALSE), "No Data")</f>
        <v>103766</v>
      </c>
      <c r="E116" s="14">
        <f>IFERROR( VLOOKUP($C116,covid_vlookup,3, FALSE), "No Data")</f>
        <v>915</v>
      </c>
      <c r="F116" s="14">
        <f>IFERROR( VLOOKUP($C116,covid_vlookup,8, FALSE), "No Data")</f>
        <v>634814</v>
      </c>
      <c r="G116" s="14">
        <f>IFERROR( VLOOKUP($C116,covid_vlookup,13, FALSE), "No Data")</f>
        <v>94277.965</v>
      </c>
      <c r="H116" s="2"/>
    </row>
    <row r="117">
      <c r="A117" s="3" t="s">
        <v>89</v>
      </c>
      <c r="B117" s="3" t="s">
        <v>23</v>
      </c>
      <c r="C117" s="3" t="s">
        <v>301</v>
      </c>
      <c r="D117" s="14" t="str">
        <f>IFERROR( VLOOKUP($C117,covid_vlookup,2, FALSE), "No Data")</f>
        <v>No Data</v>
      </c>
      <c r="E117" s="14" t="str">
        <f>IFERROR( VLOOKUP($C117,covid_vlookup,3, FALSE), "No Data")</f>
        <v>No Data</v>
      </c>
      <c r="F117" s="14" t="str">
        <f>IFERROR( VLOOKUP($C117,covid_vlookup,8, FALSE), "No Data")</f>
        <v>No Data</v>
      </c>
      <c r="G117" s="14" t="str">
        <f>IFERROR( VLOOKUP($C117,covid_vlookup,13, FALSE), "No Data")</f>
        <v>No Data</v>
      </c>
      <c r="H117" s="2"/>
    </row>
    <row r="118">
      <c r="A118" s="3" t="s">
        <v>302</v>
      </c>
      <c r="B118" s="3" t="s">
        <v>125</v>
      </c>
      <c r="C118" s="3" t="s">
        <v>303</v>
      </c>
      <c r="D118" s="14" t="str">
        <f>IFERROR( VLOOKUP($C118,covid_vlookup,2, FALSE), "No Data")</f>
        <v>No Data</v>
      </c>
      <c r="E118" s="14" t="str">
        <f>IFERROR( VLOOKUP($C118,covid_vlookup,3, FALSE), "No Data")</f>
        <v>No Data</v>
      </c>
      <c r="F118" s="14" t="str">
        <f>IFERROR( VLOOKUP($C118,covid_vlookup,8, FALSE), "No Data")</f>
        <v>No Data</v>
      </c>
      <c r="G118" s="14" t="str">
        <f>IFERROR( VLOOKUP($C118,covid_vlookup,13, FALSE), "No Data")</f>
        <v>No Data</v>
      </c>
      <c r="H118" s="2"/>
    </row>
    <row r="119">
      <c r="A119" s="3" t="s">
        <v>304</v>
      </c>
      <c r="B119" s="3" t="s">
        <v>125</v>
      </c>
      <c r="C119" s="3" t="s">
        <v>305</v>
      </c>
      <c r="D119" s="14" t="str">
        <f>IFERROR( VLOOKUP($C119,covid_vlookup,2, FALSE), "No Data")</f>
        <v>No Data</v>
      </c>
      <c r="E119" s="14" t="str">
        <f>IFERROR( VLOOKUP($C119,covid_vlookup,3, FALSE), "No Data")</f>
        <v>No Data</v>
      </c>
      <c r="F119" s="14" t="str">
        <f>IFERROR( VLOOKUP($C119,covid_vlookup,8, FALSE), "No Data")</f>
        <v>No Data</v>
      </c>
      <c r="G119" s="14" t="str">
        <f>IFERROR( VLOOKUP($C119,covid_vlookup,13, FALSE), "No Data")</f>
        <v>No Data</v>
      </c>
      <c r="H119" s="2"/>
    </row>
    <row r="120">
      <c r="A120" s="3" t="s">
        <v>306</v>
      </c>
      <c r="B120" s="3" t="s">
        <v>122</v>
      </c>
      <c r="C120" s="3" t="s">
        <v>307</v>
      </c>
      <c r="D120" s="14" t="str">
        <f>IFERROR( VLOOKUP($C120,covid_vlookup,2, FALSE), "No Data")</f>
        <v>No Data</v>
      </c>
      <c r="E120" s="14" t="str">
        <f>IFERROR( VLOOKUP($C120,covid_vlookup,3, FALSE), "No Data")</f>
        <v>No Data</v>
      </c>
      <c r="F120" s="14" t="str">
        <f>IFERROR( VLOOKUP($C120,covid_vlookup,8, FALSE), "No Data")</f>
        <v>No Data</v>
      </c>
      <c r="G120" s="14" t="str">
        <f>IFERROR( VLOOKUP($C120,covid_vlookup,13, FALSE), "No Data")</f>
        <v>No Data</v>
      </c>
      <c r="H120" s="2"/>
    </row>
    <row r="121">
      <c r="A121" s="3" t="s">
        <v>308</v>
      </c>
      <c r="B121" s="3" t="s">
        <v>122</v>
      </c>
      <c r="C121" s="3" t="s">
        <v>309</v>
      </c>
      <c r="D121" s="14" t="str">
        <f>IFERROR( VLOOKUP($C121,covid_vlookup,2, FALSE), "No Data")</f>
        <v>No Data</v>
      </c>
      <c r="E121" s="14" t="str">
        <f>IFERROR( VLOOKUP($C121,covid_vlookup,3, FALSE), "No Data")</f>
        <v>No Data</v>
      </c>
      <c r="F121" s="14" t="str">
        <f>IFERROR( VLOOKUP($C121,covid_vlookup,8, FALSE), "No Data")</f>
        <v>No Data</v>
      </c>
      <c r="G121" s="14" t="str">
        <f>IFERROR( VLOOKUP($C121,covid_vlookup,13, FALSE), "No Data")</f>
        <v>No Data</v>
      </c>
      <c r="H121" s="2"/>
    </row>
    <row r="122">
      <c r="A122" s="3" t="s">
        <v>310</v>
      </c>
      <c r="B122" s="3" t="s">
        <v>125</v>
      </c>
      <c r="C122" s="3" t="s">
        <v>311</v>
      </c>
      <c r="D122" s="14" t="str">
        <f>IFERROR( VLOOKUP($C122,covid_vlookup,2, FALSE), "No Data")</f>
        <v>No Data</v>
      </c>
      <c r="E122" s="14" t="str">
        <f>IFERROR( VLOOKUP($C122,covid_vlookup,3, FALSE), "No Data")</f>
        <v>No Data</v>
      </c>
      <c r="F122" s="14" t="str">
        <f>IFERROR( VLOOKUP($C122,covid_vlookup,8, FALSE), "No Data")</f>
        <v>No Data</v>
      </c>
      <c r="G122" s="14" t="str">
        <f>IFERROR( VLOOKUP($C122,covid_vlookup,13, FALSE), "No Data")</f>
        <v>No Data</v>
      </c>
      <c r="H122" s="2"/>
    </row>
    <row r="123">
      <c r="A123" s="3" t="s">
        <v>91</v>
      </c>
      <c r="B123" s="3" t="s">
        <v>23</v>
      </c>
      <c r="C123" s="3" t="s">
        <v>92</v>
      </c>
      <c r="D123" s="14">
        <f>IFERROR( VLOOKUP($C123,covid_vlookup,2, FALSE), "No Data")</f>
        <v>52473</v>
      </c>
      <c r="E123" s="14">
        <f>IFERROR( VLOOKUP($C123,covid_vlookup,3, FALSE), "No Data")</f>
        <v>476</v>
      </c>
      <c r="F123" s="14">
        <f>IFERROR( VLOOKUP($C123,covid_vlookup,8, FALSE), "No Data")</f>
        <v>516100</v>
      </c>
      <c r="G123" s="14">
        <f>IFERROR( VLOOKUP($C123,covid_vlookup,13, FALSE), "No Data")</f>
        <v>36513.323</v>
      </c>
      <c r="H123" s="2"/>
    </row>
    <row r="124">
      <c r="A124" s="3" t="s">
        <v>312</v>
      </c>
      <c r="B124" s="3" t="s">
        <v>125</v>
      </c>
      <c r="C124" s="3" t="s">
        <v>313</v>
      </c>
      <c r="D124" s="14" t="str">
        <f>IFERROR( VLOOKUP($C124,covid_vlookup,2, FALSE), "No Data")</f>
        <v>No Data</v>
      </c>
      <c r="E124" s="14" t="str">
        <f>IFERROR( VLOOKUP($C124,covid_vlookup,3, FALSE), "No Data")</f>
        <v>No Data</v>
      </c>
      <c r="F124" s="14" t="str">
        <f>IFERROR( VLOOKUP($C124,covid_vlookup,8, FALSE), "No Data")</f>
        <v>No Data</v>
      </c>
      <c r="G124" s="14" t="str">
        <f>IFERROR( VLOOKUP($C124,covid_vlookup,13, FALSE), "No Data")</f>
        <v>No Data</v>
      </c>
      <c r="H124" s="2"/>
    </row>
    <row r="125">
      <c r="A125" s="3" t="s">
        <v>314</v>
      </c>
      <c r="B125" s="3" t="s">
        <v>125</v>
      </c>
      <c r="C125" s="3" t="s">
        <v>315</v>
      </c>
      <c r="D125" s="14" t="str">
        <f>IFERROR( VLOOKUP($C125,covid_vlookup,2, FALSE), "No Data")</f>
        <v>No Data</v>
      </c>
      <c r="E125" s="14" t="str">
        <f>IFERROR( VLOOKUP($C125,covid_vlookup,3, FALSE), "No Data")</f>
        <v>No Data</v>
      </c>
      <c r="F125" s="14" t="str">
        <f>IFERROR( VLOOKUP($C125,covid_vlookup,8, FALSE), "No Data")</f>
        <v>No Data</v>
      </c>
      <c r="G125" s="14" t="str">
        <f>IFERROR( VLOOKUP($C125,covid_vlookup,13, FALSE), "No Data")</f>
        <v>No Data</v>
      </c>
      <c r="H125" s="2"/>
    </row>
    <row r="126">
      <c r="A126" s="3" t="s">
        <v>316</v>
      </c>
      <c r="B126" s="3" t="s">
        <v>130</v>
      </c>
      <c r="C126" s="3" t="s">
        <v>317</v>
      </c>
      <c r="D126" s="14" t="str">
        <f>IFERROR( VLOOKUP($C126,covid_vlookup,2, FALSE), "No Data")</f>
        <v>No Data</v>
      </c>
      <c r="E126" s="14" t="str">
        <f>IFERROR( VLOOKUP($C126,covid_vlookup,3, FALSE), "No Data")</f>
        <v>No Data</v>
      </c>
      <c r="F126" s="14" t="str">
        <f>IFERROR( VLOOKUP($C126,covid_vlookup,8, FALSE), "No Data")</f>
        <v>No Data</v>
      </c>
      <c r="G126" s="14" t="str">
        <f>IFERROR( VLOOKUP($C126,covid_vlookup,13, FALSE), "No Data")</f>
        <v>No Data</v>
      </c>
      <c r="H126" s="2"/>
    </row>
    <row r="127">
      <c r="A127" s="3" t="s">
        <v>87</v>
      </c>
      <c r="B127" s="3" t="s">
        <v>23</v>
      </c>
      <c r="C127" s="3" t="s">
        <v>88</v>
      </c>
      <c r="D127" s="14">
        <f>IFERROR( VLOOKUP($C127,covid_vlookup,2, FALSE), "No Data")</f>
        <v>376155</v>
      </c>
      <c r="E127" s="14">
        <f>IFERROR( VLOOKUP($C127,covid_vlookup,3, FALSE), "No Data")</f>
        <v>9690</v>
      </c>
      <c r="F127" s="14">
        <f>IFERROR( VLOOKUP($C127,covid_vlookup,8, FALSE), "No Data")</f>
        <v>4024025</v>
      </c>
      <c r="G127" s="14">
        <f>IFERROR( VLOOKUP($C127,covid_vlookup,13, FALSE), "No Data")</f>
        <v>5189.972</v>
      </c>
      <c r="H127" s="2"/>
    </row>
    <row r="128">
      <c r="A128" s="3" t="s">
        <v>85</v>
      </c>
      <c r="B128" s="3" t="s">
        <v>23</v>
      </c>
      <c r="C128" s="3" t="s">
        <v>86</v>
      </c>
      <c r="D128" s="14">
        <f>IFERROR( VLOOKUP($C128,covid_vlookup,2, FALSE), "No Data")</f>
        <v>4985</v>
      </c>
      <c r="E128" s="14">
        <f>IFERROR( VLOOKUP($C128,covid_vlookup,3, FALSE), "No Data")</f>
        <v>38</v>
      </c>
      <c r="F128" s="14">
        <f>IFERROR( VLOOKUP($C128,covid_vlookup,8, FALSE), "No Data")</f>
        <v>39520</v>
      </c>
      <c r="G128" s="14" t="str">
        <f>IFERROR( VLOOKUP($C128,covid_vlookup,13, FALSE), "No Data")</f>
        <v/>
      </c>
      <c r="H128" s="2"/>
    </row>
    <row r="129">
      <c r="A129" s="3" t="s">
        <v>318</v>
      </c>
      <c r="B129" s="3" t="s">
        <v>122</v>
      </c>
      <c r="C129" s="3" t="s">
        <v>319</v>
      </c>
      <c r="D129" s="14" t="str">
        <f>IFERROR( VLOOKUP($C129,covid_vlookup,2, FALSE), "No Data")</f>
        <v>No Data</v>
      </c>
      <c r="E129" s="14" t="str">
        <f>IFERROR( VLOOKUP($C129,covid_vlookup,3, FALSE), "No Data")</f>
        <v>No Data</v>
      </c>
      <c r="F129" s="14" t="str">
        <f>IFERROR( VLOOKUP($C129,covid_vlookup,8, FALSE), "No Data")</f>
        <v>No Data</v>
      </c>
      <c r="G129" s="14" t="str">
        <f>IFERROR( VLOOKUP($C129,covid_vlookup,13, FALSE), "No Data")</f>
        <v>No Data</v>
      </c>
      <c r="H129" s="2"/>
    </row>
    <row r="130">
      <c r="A130" s="3" t="s">
        <v>93</v>
      </c>
      <c r="B130" s="3" t="s">
        <v>23</v>
      </c>
      <c r="C130" s="3" t="s">
        <v>94</v>
      </c>
      <c r="D130" s="14">
        <f>IFERROR( VLOOKUP($C130,covid_vlookup,2, FALSE), "No Data")</f>
        <v>170034</v>
      </c>
      <c r="E130" s="14">
        <f>IFERROR( VLOOKUP($C130,covid_vlookup,3, FALSE), "No Data")</f>
        <v>2411</v>
      </c>
      <c r="F130" s="14">
        <f>IFERROR( VLOOKUP($C130,covid_vlookup,8, FALSE), "No Data")</f>
        <v>628051</v>
      </c>
      <c r="G130" s="14">
        <f>IFERROR( VLOOKUP($C130,covid_vlookup,13, FALSE), "No Data")</f>
        <v>16409.288</v>
      </c>
      <c r="H130" s="2"/>
    </row>
    <row r="131">
      <c r="A131" s="3" t="s">
        <v>320</v>
      </c>
      <c r="B131" s="3" t="s">
        <v>130</v>
      </c>
      <c r="C131" s="3" t="s">
        <v>321</v>
      </c>
      <c r="D131" s="14" t="str">
        <f>IFERROR( VLOOKUP($C131,covid_vlookup,2, FALSE), "No Data")</f>
        <v>No Data</v>
      </c>
      <c r="E131" s="14" t="str">
        <f>IFERROR( VLOOKUP($C131,covid_vlookup,3, FALSE), "No Data")</f>
        <v>No Data</v>
      </c>
      <c r="F131" s="14" t="str">
        <f>IFERROR( VLOOKUP($C131,covid_vlookup,8, FALSE), "No Data")</f>
        <v>No Data</v>
      </c>
      <c r="G131" s="14" t="str">
        <f>IFERROR( VLOOKUP($C131,covid_vlookup,13, FALSE), "No Data")</f>
        <v>No Data</v>
      </c>
      <c r="H131" s="2"/>
    </row>
    <row r="132">
      <c r="A132" s="3" t="s">
        <v>322</v>
      </c>
      <c r="B132" s="3" t="s">
        <v>125</v>
      </c>
      <c r="C132" s="3" t="s">
        <v>323</v>
      </c>
      <c r="D132" s="14" t="str">
        <f>IFERROR( VLOOKUP($C132,covid_vlookup,2, FALSE), "No Data")</f>
        <v>No Data</v>
      </c>
      <c r="E132" s="14" t="str">
        <f>IFERROR( VLOOKUP($C132,covid_vlookup,3, FALSE), "No Data")</f>
        <v>No Data</v>
      </c>
      <c r="F132" s="14" t="str">
        <f>IFERROR( VLOOKUP($C132,covid_vlookup,8, FALSE), "No Data")</f>
        <v>No Data</v>
      </c>
      <c r="G132" s="14" t="str">
        <f>IFERROR( VLOOKUP($C132,covid_vlookup,13, FALSE), "No Data")</f>
        <v>No Data</v>
      </c>
      <c r="H132" s="2"/>
    </row>
    <row r="133">
      <c r="A133" s="3" t="s">
        <v>324</v>
      </c>
      <c r="B133" s="3" t="s">
        <v>125</v>
      </c>
      <c r="C133" s="3" t="s">
        <v>325</v>
      </c>
      <c r="D133" s="14" t="str">
        <f>IFERROR( VLOOKUP($C133,covid_vlookup,2, FALSE), "No Data")</f>
        <v>No Data</v>
      </c>
      <c r="E133" s="14" t="str">
        <f>IFERROR( VLOOKUP($C133,covid_vlookup,3, FALSE), "No Data")</f>
        <v>No Data</v>
      </c>
      <c r="F133" s="14" t="str">
        <f>IFERROR( VLOOKUP($C133,covid_vlookup,8, FALSE), "No Data")</f>
        <v>No Data</v>
      </c>
      <c r="G133" s="14" t="str">
        <f>IFERROR( VLOOKUP($C133,covid_vlookup,13, FALSE), "No Data")</f>
        <v>No Data</v>
      </c>
      <c r="H133" s="2"/>
    </row>
    <row r="134">
      <c r="A134" s="3" t="s">
        <v>326</v>
      </c>
      <c r="B134" s="3" t="s">
        <v>122</v>
      </c>
      <c r="C134" s="3" t="s">
        <v>327</v>
      </c>
      <c r="D134" s="14" t="str">
        <f>IFERROR( VLOOKUP($C134,covid_vlookup,2, FALSE), "No Data")</f>
        <v>No Data</v>
      </c>
      <c r="E134" s="14" t="str">
        <f>IFERROR( VLOOKUP($C134,covid_vlookup,3, FALSE), "No Data")</f>
        <v>No Data</v>
      </c>
      <c r="F134" s="14" t="str">
        <f>IFERROR( VLOOKUP($C134,covid_vlookup,8, FALSE), "No Data")</f>
        <v>No Data</v>
      </c>
      <c r="G134" s="14" t="str">
        <f>IFERROR( VLOOKUP($C134,covid_vlookup,13, FALSE), "No Data")</f>
        <v>No Data</v>
      </c>
      <c r="H134" s="2"/>
    </row>
    <row r="135">
      <c r="A135" s="3" t="s">
        <v>328</v>
      </c>
      <c r="B135" s="3" t="s">
        <v>125</v>
      </c>
      <c r="C135" s="3" t="s">
        <v>329</v>
      </c>
      <c r="D135" s="14" t="str">
        <f>IFERROR( VLOOKUP($C135,covid_vlookup,2, FALSE), "No Data")</f>
        <v>No Data</v>
      </c>
      <c r="E135" s="14" t="str">
        <f>IFERROR( VLOOKUP($C135,covid_vlookup,3, FALSE), "No Data")</f>
        <v>No Data</v>
      </c>
      <c r="F135" s="14" t="str">
        <f>IFERROR( VLOOKUP($C135,covid_vlookup,8, FALSE), "No Data")</f>
        <v>No Data</v>
      </c>
      <c r="G135" s="14" t="str">
        <f>IFERROR( VLOOKUP($C135,covid_vlookup,13, FALSE), "No Data")</f>
        <v>No Data</v>
      </c>
      <c r="H135" s="2"/>
    </row>
    <row r="136">
      <c r="A136" s="3" t="s">
        <v>330</v>
      </c>
      <c r="B136" s="3" t="s">
        <v>122</v>
      </c>
      <c r="C136" s="3" t="s">
        <v>331</v>
      </c>
      <c r="D136" s="14" t="str">
        <f>IFERROR( VLOOKUP($C136,covid_vlookup,2, FALSE), "No Data")</f>
        <v>No Data</v>
      </c>
      <c r="E136" s="14" t="str">
        <f>IFERROR( VLOOKUP($C136,covid_vlookup,3, FALSE), "No Data")</f>
        <v>No Data</v>
      </c>
      <c r="F136" s="14" t="str">
        <f>IFERROR( VLOOKUP($C136,covid_vlookup,8, FALSE), "No Data")</f>
        <v>No Data</v>
      </c>
      <c r="G136" s="14" t="str">
        <f>IFERROR( VLOOKUP($C136,covid_vlookup,13, FALSE), "No Data")</f>
        <v>No Data</v>
      </c>
      <c r="H136" s="2"/>
    </row>
    <row r="137">
      <c r="A137" s="3" t="s">
        <v>95</v>
      </c>
      <c r="B137" s="3" t="s">
        <v>23</v>
      </c>
      <c r="C137" s="3" t="s">
        <v>96</v>
      </c>
      <c r="D137" s="14">
        <f>IFERROR( VLOOKUP($C137,covid_vlookup,2, FALSE), "No Data")</f>
        <v>3137942</v>
      </c>
      <c r="E137" s="14">
        <f>IFERROR( VLOOKUP($C137,covid_vlookup,3, FALSE), "No Data")</f>
        <v>20999</v>
      </c>
      <c r="F137" s="14">
        <f>IFERROR( VLOOKUP($C137,covid_vlookup,8, FALSE), "No Data")</f>
        <v>17173094</v>
      </c>
      <c r="G137" s="14">
        <f>IFERROR( VLOOKUP($C137,covid_vlookup,13, FALSE), "No Data")</f>
        <v>48472.545</v>
      </c>
      <c r="H137" s="2"/>
    </row>
    <row r="138">
      <c r="A138" s="3" t="s">
        <v>332</v>
      </c>
      <c r="B138" s="3" t="s">
        <v>142</v>
      </c>
      <c r="C138" s="3" t="s">
        <v>333</v>
      </c>
      <c r="D138" s="14" t="str">
        <f>IFERROR( VLOOKUP($C138,covid_vlookup,2, FALSE), "No Data")</f>
        <v>No Data</v>
      </c>
      <c r="E138" s="14" t="str">
        <f>IFERROR( VLOOKUP($C138,covid_vlookup,3, FALSE), "No Data")</f>
        <v>No Data</v>
      </c>
      <c r="F138" s="14" t="str">
        <f>IFERROR( VLOOKUP($C138,covid_vlookup,8, FALSE), "No Data")</f>
        <v>No Data</v>
      </c>
      <c r="G138" s="14" t="str">
        <f>IFERROR( VLOOKUP($C138,covid_vlookup,13, FALSE), "No Data")</f>
        <v>No Data</v>
      </c>
      <c r="H138" s="2"/>
    </row>
    <row r="139">
      <c r="A139" s="3" t="s">
        <v>334</v>
      </c>
      <c r="B139" s="3" t="s">
        <v>142</v>
      </c>
      <c r="C139" s="3" t="s">
        <v>335</v>
      </c>
      <c r="D139" s="14" t="str">
        <f>IFERROR( VLOOKUP($C139,covid_vlookup,2, FALSE), "No Data")</f>
        <v>No Data</v>
      </c>
      <c r="E139" s="14" t="str">
        <f>IFERROR( VLOOKUP($C139,covid_vlookup,3, FALSE), "No Data")</f>
        <v>No Data</v>
      </c>
      <c r="F139" s="14" t="str">
        <f>IFERROR( VLOOKUP($C139,covid_vlookup,8, FALSE), "No Data")</f>
        <v>No Data</v>
      </c>
      <c r="G139" s="14" t="str">
        <f>IFERROR( VLOOKUP($C139,covid_vlookup,13, FALSE), "No Data")</f>
        <v>No Data</v>
      </c>
      <c r="H139" s="2"/>
    </row>
    <row r="140">
      <c r="A140" s="3" t="s">
        <v>336</v>
      </c>
      <c r="B140" s="3" t="s">
        <v>130</v>
      </c>
      <c r="C140" s="3" t="s">
        <v>337</v>
      </c>
      <c r="D140" s="14" t="str">
        <f>IFERROR( VLOOKUP($C140,covid_vlookup,2, FALSE), "No Data")</f>
        <v>No Data</v>
      </c>
      <c r="E140" s="14" t="str">
        <f>IFERROR( VLOOKUP($C140,covid_vlookup,3, FALSE), "No Data")</f>
        <v>No Data</v>
      </c>
      <c r="F140" s="14" t="str">
        <f>IFERROR( VLOOKUP($C140,covid_vlookup,8, FALSE), "No Data")</f>
        <v>No Data</v>
      </c>
      <c r="G140" s="14" t="str">
        <f>IFERROR( VLOOKUP($C140,covid_vlookup,13, FALSE), "No Data")</f>
        <v>No Data</v>
      </c>
      <c r="H140" s="2"/>
    </row>
    <row r="141">
      <c r="A141" s="3" t="s">
        <v>338</v>
      </c>
      <c r="B141" s="3" t="s">
        <v>125</v>
      </c>
      <c r="C141" s="3" t="s">
        <v>339</v>
      </c>
      <c r="D141" s="14" t="str">
        <f>IFERROR( VLOOKUP($C141,covid_vlookup,2, FALSE), "No Data")</f>
        <v>No Data</v>
      </c>
      <c r="E141" s="14" t="str">
        <f>IFERROR( VLOOKUP($C141,covid_vlookup,3, FALSE), "No Data")</f>
        <v>No Data</v>
      </c>
      <c r="F141" s="14" t="str">
        <f>IFERROR( VLOOKUP($C141,covid_vlookup,8, FALSE), "No Data")</f>
        <v>No Data</v>
      </c>
      <c r="G141" s="14" t="str">
        <f>IFERROR( VLOOKUP($C141,covid_vlookup,13, FALSE), "No Data")</f>
        <v>No Data</v>
      </c>
      <c r="H141" s="2"/>
    </row>
    <row r="142">
      <c r="A142" s="3" t="s">
        <v>340</v>
      </c>
      <c r="B142" s="3" t="s">
        <v>125</v>
      </c>
      <c r="C142" s="3" t="s">
        <v>341</v>
      </c>
      <c r="D142" s="14" t="str">
        <f>IFERROR( VLOOKUP($C142,covid_vlookup,2, FALSE), "No Data")</f>
        <v>No Data</v>
      </c>
      <c r="E142" s="14" t="str">
        <f>IFERROR( VLOOKUP($C142,covid_vlookup,3, FALSE), "No Data")</f>
        <v>No Data</v>
      </c>
      <c r="F142" s="14" t="str">
        <f>IFERROR( VLOOKUP($C142,covid_vlookup,8, FALSE), "No Data")</f>
        <v>No Data</v>
      </c>
      <c r="G142" s="14" t="str">
        <f>IFERROR( VLOOKUP($C142,covid_vlookup,13, FALSE), "No Data")</f>
        <v>No Data</v>
      </c>
      <c r="H142" s="2"/>
    </row>
    <row r="143">
      <c r="A143" s="3" t="s">
        <v>342</v>
      </c>
      <c r="B143" s="3" t="s">
        <v>142</v>
      </c>
      <c r="C143" s="3" t="s">
        <v>343</v>
      </c>
      <c r="D143" s="14" t="str">
        <f>IFERROR( VLOOKUP($C143,covid_vlookup,2, FALSE), "No Data")</f>
        <v>No Data</v>
      </c>
      <c r="E143" s="14" t="str">
        <f>IFERROR( VLOOKUP($C143,covid_vlookup,3, FALSE), "No Data")</f>
        <v>No Data</v>
      </c>
      <c r="F143" s="14" t="str">
        <f>IFERROR( VLOOKUP($C143,covid_vlookup,8, FALSE), "No Data")</f>
        <v>No Data</v>
      </c>
      <c r="G143" s="14" t="str">
        <f>IFERROR( VLOOKUP($C143,covid_vlookup,13, FALSE), "No Data")</f>
        <v>No Data</v>
      </c>
      <c r="H143" s="2"/>
    </row>
    <row r="144">
      <c r="A144" s="3" t="s">
        <v>97</v>
      </c>
      <c r="B144" s="3" t="s">
        <v>23</v>
      </c>
      <c r="C144" s="3" t="s">
        <v>98</v>
      </c>
      <c r="D144" s="14">
        <f>IFERROR( VLOOKUP($C144,covid_vlookup,2, FALSE), "No Data")</f>
        <v>394259</v>
      </c>
      <c r="E144" s="14">
        <f>IFERROR( VLOOKUP($C144,covid_vlookup,3, FALSE), "No Data")</f>
        <v>1305</v>
      </c>
      <c r="F144" s="14">
        <f>IFERROR( VLOOKUP($C144,covid_vlookup,8, FALSE), "No Data")</f>
        <v>5465629</v>
      </c>
      <c r="G144" s="14">
        <f>IFERROR( VLOOKUP($C144,covid_vlookup,13, FALSE), "No Data")</f>
        <v>64800.057</v>
      </c>
      <c r="H144" s="2"/>
    </row>
    <row r="145">
      <c r="A145" s="3" t="s">
        <v>344</v>
      </c>
      <c r="B145" s="3" t="s">
        <v>122</v>
      </c>
      <c r="C145" s="3" t="s">
        <v>345</v>
      </c>
      <c r="D145" s="14" t="str">
        <f>IFERROR( VLOOKUP($C145,covid_vlookup,2, FALSE), "No Data")</f>
        <v>No Data</v>
      </c>
      <c r="E145" s="14" t="str">
        <f>IFERROR( VLOOKUP($C145,covid_vlookup,3, FALSE), "No Data")</f>
        <v>No Data</v>
      </c>
      <c r="F145" s="14" t="str">
        <f>IFERROR( VLOOKUP($C145,covid_vlookup,8, FALSE), "No Data")</f>
        <v>No Data</v>
      </c>
      <c r="G145" s="14" t="str">
        <f>IFERROR( VLOOKUP($C145,covid_vlookup,13, FALSE), "No Data")</f>
        <v>No Data</v>
      </c>
      <c r="H145" s="2"/>
    </row>
    <row r="146">
      <c r="A146" s="3" t="s">
        <v>346</v>
      </c>
      <c r="B146" s="3" t="s">
        <v>122</v>
      </c>
      <c r="C146" s="3" t="s">
        <v>347</v>
      </c>
      <c r="D146" s="14" t="str">
        <f>IFERROR( VLOOKUP($C146,covid_vlookup,2, FALSE), "No Data")</f>
        <v>No Data</v>
      </c>
      <c r="E146" s="14" t="str">
        <f>IFERROR( VLOOKUP($C146,covid_vlookup,3, FALSE), "No Data")</f>
        <v>No Data</v>
      </c>
      <c r="F146" s="14" t="str">
        <f>IFERROR( VLOOKUP($C146,covid_vlookup,8, FALSE), "No Data")</f>
        <v>No Data</v>
      </c>
      <c r="G146" s="14" t="str">
        <f>IFERROR( VLOOKUP($C146,covid_vlookup,13, FALSE), "No Data")</f>
        <v>No Data</v>
      </c>
      <c r="H146" s="2"/>
    </row>
    <row r="147">
      <c r="A147" s="3" t="s">
        <v>348</v>
      </c>
      <c r="B147" s="3" t="s">
        <v>122</v>
      </c>
      <c r="C147" s="3" t="s">
        <v>349</v>
      </c>
      <c r="D147" s="14" t="str">
        <f>IFERROR( VLOOKUP($C147,covid_vlookup,2, FALSE), "No Data")</f>
        <v>No Data</v>
      </c>
      <c r="E147" s="14" t="str">
        <f>IFERROR( VLOOKUP($C147,covid_vlookup,3, FALSE), "No Data")</f>
        <v>No Data</v>
      </c>
      <c r="F147" s="14" t="str">
        <f>IFERROR( VLOOKUP($C147,covid_vlookup,8, FALSE), "No Data")</f>
        <v>No Data</v>
      </c>
      <c r="G147" s="14" t="str">
        <f>IFERROR( VLOOKUP($C147,covid_vlookup,13, FALSE), "No Data")</f>
        <v>No Data</v>
      </c>
      <c r="H147" s="2"/>
    </row>
    <row r="148">
      <c r="A148" s="3" t="s">
        <v>350</v>
      </c>
      <c r="B148" s="3" t="s">
        <v>130</v>
      </c>
      <c r="C148" s="3" t="s">
        <v>351</v>
      </c>
      <c r="D148" s="14" t="str">
        <f>IFERROR( VLOOKUP($C148,covid_vlookup,2, FALSE), "No Data")</f>
        <v>No Data</v>
      </c>
      <c r="E148" s="14" t="str">
        <f>IFERROR( VLOOKUP($C148,covid_vlookup,3, FALSE), "No Data")</f>
        <v>No Data</v>
      </c>
      <c r="F148" s="14" t="str">
        <f>IFERROR( VLOOKUP($C148,covid_vlookup,8, FALSE), "No Data")</f>
        <v>No Data</v>
      </c>
      <c r="G148" s="14" t="str">
        <f>IFERROR( VLOOKUP($C148,covid_vlookup,13, FALSE), "No Data")</f>
        <v>No Data</v>
      </c>
      <c r="H148" s="2"/>
    </row>
    <row r="149">
      <c r="A149" s="3" t="s">
        <v>352</v>
      </c>
      <c r="B149" s="3" t="s">
        <v>142</v>
      </c>
      <c r="C149" s="3" t="s">
        <v>353</v>
      </c>
      <c r="D149" s="14" t="str">
        <f>IFERROR( VLOOKUP($C149,covid_vlookup,2, FALSE), "No Data")</f>
        <v>No Data</v>
      </c>
      <c r="E149" s="14" t="str">
        <f>IFERROR( VLOOKUP($C149,covid_vlookup,3, FALSE), "No Data")</f>
        <v>No Data</v>
      </c>
      <c r="F149" s="14" t="str">
        <f>IFERROR( VLOOKUP($C149,covid_vlookup,8, FALSE), "No Data")</f>
        <v>No Data</v>
      </c>
      <c r="G149" s="14" t="str">
        <f>IFERROR( VLOOKUP($C149,covid_vlookup,13, FALSE), "No Data")</f>
        <v>No Data</v>
      </c>
      <c r="H149" s="2"/>
    </row>
    <row r="150">
      <c r="A150" s="3" t="s">
        <v>354</v>
      </c>
      <c r="B150" s="3" t="s">
        <v>135</v>
      </c>
      <c r="C150" s="3" t="s">
        <v>355</v>
      </c>
      <c r="D150" s="14" t="str">
        <f>IFERROR( VLOOKUP($C150,covid_vlookup,2, FALSE), "No Data")</f>
        <v>No Data</v>
      </c>
      <c r="E150" s="14" t="str">
        <f>IFERROR( VLOOKUP($C150,covid_vlookup,3, FALSE), "No Data")</f>
        <v>No Data</v>
      </c>
      <c r="F150" s="14" t="str">
        <f>IFERROR( VLOOKUP($C150,covid_vlookup,8, FALSE), "No Data")</f>
        <v>No Data</v>
      </c>
      <c r="G150" s="14" t="str">
        <f>IFERROR( VLOOKUP($C150,covid_vlookup,13, FALSE), "No Data")</f>
        <v>No Data</v>
      </c>
      <c r="H150" s="2"/>
    </row>
    <row r="151">
      <c r="A151" s="3" t="s">
        <v>356</v>
      </c>
      <c r="B151" s="3" t="s">
        <v>135</v>
      </c>
      <c r="C151" s="3" t="s">
        <v>357</v>
      </c>
      <c r="D151" s="14" t="str">
        <f>IFERROR( VLOOKUP($C151,covid_vlookup,2, FALSE), "No Data")</f>
        <v>No Data</v>
      </c>
      <c r="E151" s="14" t="str">
        <f>IFERROR( VLOOKUP($C151,covid_vlookup,3, FALSE), "No Data")</f>
        <v>No Data</v>
      </c>
      <c r="F151" s="14" t="str">
        <f>IFERROR( VLOOKUP($C151,covid_vlookup,8, FALSE), "No Data")</f>
        <v>No Data</v>
      </c>
      <c r="G151" s="14" t="str">
        <f>IFERROR( VLOOKUP($C151,covid_vlookup,13, FALSE), "No Data")</f>
        <v>No Data</v>
      </c>
      <c r="H151" s="2"/>
    </row>
    <row r="152">
      <c r="A152" s="3" t="s">
        <v>358</v>
      </c>
      <c r="B152" s="3" t="s">
        <v>122</v>
      </c>
      <c r="C152" s="3" t="s">
        <v>359</v>
      </c>
      <c r="D152" s="14" t="str">
        <f>IFERROR( VLOOKUP($C152,covid_vlookup,2, FALSE), "No Data")</f>
        <v>No Data</v>
      </c>
      <c r="E152" s="14" t="str">
        <f>IFERROR( VLOOKUP($C152,covid_vlookup,3, FALSE), "No Data")</f>
        <v>No Data</v>
      </c>
      <c r="F152" s="14" t="str">
        <f>IFERROR( VLOOKUP($C152,covid_vlookup,8, FALSE), "No Data")</f>
        <v>No Data</v>
      </c>
      <c r="G152" s="14" t="str">
        <f>IFERROR( VLOOKUP($C152,covid_vlookup,13, FALSE), "No Data")</f>
        <v>No Data</v>
      </c>
      <c r="H152" s="2"/>
    </row>
    <row r="153">
      <c r="A153" s="3" t="s">
        <v>99</v>
      </c>
      <c r="B153" s="3" t="s">
        <v>23</v>
      </c>
      <c r="C153" s="3" t="s">
        <v>100</v>
      </c>
      <c r="D153" s="14">
        <f>IFERROR( VLOOKUP($C153,covid_vlookup,2, FALSE), "No Data")</f>
        <v>4108215</v>
      </c>
      <c r="E153" s="14">
        <f>IFERROR( VLOOKUP($C153,covid_vlookup,3, FALSE), "No Data")</f>
        <v>97054</v>
      </c>
      <c r="F153" s="14">
        <f>IFERROR( VLOOKUP($C153,covid_vlookup,8, FALSE), "No Data")</f>
        <v>37797000</v>
      </c>
      <c r="G153" s="14">
        <f>IFERROR( VLOOKUP($C153,covid_vlookup,13, FALSE), "No Data")</f>
        <v>27216.445</v>
      </c>
      <c r="H153" s="2"/>
    </row>
    <row r="154">
      <c r="A154" s="3" t="s">
        <v>101</v>
      </c>
      <c r="B154" s="3" t="s">
        <v>23</v>
      </c>
      <c r="C154" s="3" t="s">
        <v>102</v>
      </c>
      <c r="D154" s="14">
        <f>IFERROR( VLOOKUP($C154,covid_vlookup,2, FALSE), "No Data")</f>
        <v>1389646</v>
      </c>
      <c r="E154" s="14">
        <f>IFERROR( VLOOKUP($C154,covid_vlookup,3, FALSE), "No Data")</f>
        <v>18955</v>
      </c>
      <c r="F154" s="14">
        <f>IFERROR( VLOOKUP($C154,covid_vlookup,8, FALSE), "No Data")</f>
        <v>10167923</v>
      </c>
      <c r="G154" s="14">
        <f>IFERROR( VLOOKUP($C154,covid_vlookup,13, FALSE), "No Data")</f>
        <v>27936.896</v>
      </c>
      <c r="H154" s="2"/>
    </row>
    <row r="155">
      <c r="A155" s="3" t="s">
        <v>360</v>
      </c>
      <c r="B155" s="3" t="s">
        <v>130</v>
      </c>
      <c r="C155" s="3" t="s">
        <v>361</v>
      </c>
      <c r="D155" s="14" t="str">
        <f>IFERROR( VLOOKUP($C155,covid_vlookup,2, FALSE), "No Data")</f>
        <v>No Data</v>
      </c>
      <c r="E155" s="14" t="str">
        <f>IFERROR( VLOOKUP($C155,covid_vlookup,3, FALSE), "No Data")</f>
        <v>No Data</v>
      </c>
      <c r="F155" s="14" t="str">
        <f>IFERROR( VLOOKUP($C155,covid_vlookup,8, FALSE), "No Data")</f>
        <v>No Data</v>
      </c>
      <c r="G155" s="14" t="str">
        <f>IFERROR( VLOOKUP($C155,covid_vlookup,13, FALSE), "No Data")</f>
        <v>No Data</v>
      </c>
      <c r="H155" s="2"/>
    </row>
    <row r="156">
      <c r="A156" s="3" t="s">
        <v>362</v>
      </c>
      <c r="B156" s="3" t="s">
        <v>122</v>
      </c>
      <c r="C156" s="3" t="s">
        <v>363</v>
      </c>
      <c r="D156" s="14" t="str">
        <f>IFERROR( VLOOKUP($C156,covid_vlookup,2, FALSE), "No Data")</f>
        <v>No Data</v>
      </c>
      <c r="E156" s="14" t="str">
        <f>IFERROR( VLOOKUP($C156,covid_vlookup,3, FALSE), "No Data")</f>
        <v>No Data</v>
      </c>
      <c r="F156" s="14" t="str">
        <f>IFERROR( VLOOKUP($C156,covid_vlookup,8, FALSE), "No Data")</f>
        <v>No Data</v>
      </c>
      <c r="G156" s="14" t="str">
        <f>IFERROR( VLOOKUP($C156,covid_vlookup,13, FALSE), "No Data")</f>
        <v>No Data</v>
      </c>
      <c r="H156" s="2"/>
    </row>
    <row r="157">
      <c r="A157" s="3" t="s">
        <v>103</v>
      </c>
      <c r="B157" s="3" t="s">
        <v>23</v>
      </c>
      <c r="C157" s="3" t="s">
        <v>104</v>
      </c>
      <c r="D157" s="14">
        <f>IFERROR( VLOOKUP($C157,covid_vlookup,2, FALSE), "No Data")</f>
        <v>1808891</v>
      </c>
      <c r="E157" s="14">
        <f>IFERROR( VLOOKUP($C157,covid_vlookup,3, FALSE), "No Data")</f>
        <v>58752</v>
      </c>
      <c r="F157" s="14">
        <f>IFERROR( VLOOKUP($C157,covid_vlookup,8, FALSE), "No Data")</f>
        <v>19127772</v>
      </c>
      <c r="G157" s="14">
        <f>IFERROR( VLOOKUP($C157,covid_vlookup,13, FALSE), "No Data")</f>
        <v>23313.199</v>
      </c>
      <c r="H157" s="2"/>
    </row>
    <row r="158">
      <c r="A158" s="3" t="s">
        <v>105</v>
      </c>
      <c r="B158" s="3" t="s">
        <v>23</v>
      </c>
      <c r="C158" s="3" t="s">
        <v>106</v>
      </c>
      <c r="D158" s="14">
        <f>IFERROR( VLOOKUP($C158,covid_vlookup,2, FALSE), "No Data")</f>
        <v>10320405</v>
      </c>
      <c r="E158" s="14">
        <f>IFERROR( VLOOKUP($C158,covid_vlookup,3, FALSE), "No Data")</f>
        <v>302671</v>
      </c>
      <c r="F158" s="14">
        <f>IFERROR( VLOOKUP($C158,covid_vlookup,8, FALSE), "No Data")</f>
        <v>145912022</v>
      </c>
      <c r="G158" s="14">
        <f>IFERROR( VLOOKUP($C158,covid_vlookup,13, FALSE), "No Data")</f>
        <v>24765.954</v>
      </c>
      <c r="H158" s="2"/>
    </row>
    <row r="159">
      <c r="A159" s="3" t="s">
        <v>364</v>
      </c>
      <c r="B159" s="3" t="s">
        <v>125</v>
      </c>
      <c r="C159" s="3" t="s">
        <v>365</v>
      </c>
      <c r="D159" s="14" t="str">
        <f>IFERROR( VLOOKUP($C159,covid_vlookup,2, FALSE), "No Data")</f>
        <v>No Data</v>
      </c>
      <c r="E159" s="14" t="str">
        <f>IFERROR( VLOOKUP($C159,covid_vlookup,3, FALSE), "No Data")</f>
        <v>No Data</v>
      </c>
      <c r="F159" s="14" t="str">
        <f>IFERROR( VLOOKUP($C159,covid_vlookup,8, FALSE), "No Data")</f>
        <v>No Data</v>
      </c>
      <c r="G159" s="14" t="str">
        <f>IFERROR( VLOOKUP($C159,covid_vlookup,13, FALSE), "No Data")</f>
        <v>No Data</v>
      </c>
      <c r="H159" s="2"/>
    </row>
    <row r="160">
      <c r="A160" s="3" t="s">
        <v>366</v>
      </c>
      <c r="B160" s="3" t="s">
        <v>130</v>
      </c>
      <c r="C160" s="3" t="s">
        <v>367</v>
      </c>
      <c r="D160" s="14" t="str">
        <f>IFERROR( VLOOKUP($C160,covid_vlookup,2, FALSE), "No Data")</f>
        <v>No Data</v>
      </c>
      <c r="E160" s="14" t="str">
        <f>IFERROR( VLOOKUP($C160,covid_vlookup,3, FALSE), "No Data")</f>
        <v>No Data</v>
      </c>
      <c r="F160" s="14" t="str">
        <f>IFERROR( VLOOKUP($C160,covid_vlookup,8, FALSE), "No Data")</f>
        <v>No Data</v>
      </c>
      <c r="G160" s="14" t="str">
        <f>IFERROR( VLOOKUP($C160,covid_vlookup,13, FALSE), "No Data")</f>
        <v>No Data</v>
      </c>
      <c r="H160" s="2"/>
    </row>
    <row r="161">
      <c r="A161" s="3" t="s">
        <v>368</v>
      </c>
      <c r="B161" s="3" t="s">
        <v>130</v>
      </c>
      <c r="C161" s="3" t="s">
        <v>369</v>
      </c>
      <c r="D161" s="14" t="str">
        <f>IFERROR( VLOOKUP($C161,covid_vlookup,2, FALSE), "No Data")</f>
        <v>No Data</v>
      </c>
      <c r="E161" s="14" t="str">
        <f>IFERROR( VLOOKUP($C161,covid_vlookup,3, FALSE), "No Data")</f>
        <v>No Data</v>
      </c>
      <c r="F161" s="14" t="str">
        <f>IFERROR( VLOOKUP($C161,covid_vlookup,8, FALSE), "No Data")</f>
        <v>No Data</v>
      </c>
      <c r="G161" s="14" t="str">
        <f>IFERROR( VLOOKUP($C161,covid_vlookup,13, FALSE), "No Data")</f>
        <v>No Data</v>
      </c>
      <c r="H161" s="2"/>
    </row>
    <row r="162">
      <c r="A162" s="3" t="s">
        <v>370</v>
      </c>
      <c r="B162" s="3" t="s">
        <v>130</v>
      </c>
      <c r="C162" s="3" t="s">
        <v>371</v>
      </c>
      <c r="D162" s="14" t="str">
        <f>IFERROR( VLOOKUP($C162,covid_vlookup,2, FALSE), "No Data")</f>
        <v>No Data</v>
      </c>
      <c r="E162" s="14" t="str">
        <f>IFERROR( VLOOKUP($C162,covid_vlookup,3, FALSE), "No Data")</f>
        <v>No Data</v>
      </c>
      <c r="F162" s="14" t="str">
        <f>IFERROR( VLOOKUP($C162,covid_vlookup,8, FALSE), "No Data")</f>
        <v>No Data</v>
      </c>
      <c r="G162" s="14" t="str">
        <f>IFERROR( VLOOKUP($C162,covid_vlookup,13, FALSE), "No Data")</f>
        <v>No Data</v>
      </c>
      <c r="H162" s="2"/>
    </row>
    <row r="163">
      <c r="A163" s="3" t="s">
        <v>107</v>
      </c>
      <c r="B163" s="3" t="s">
        <v>23</v>
      </c>
      <c r="C163" s="3" t="s">
        <v>108</v>
      </c>
      <c r="D163" s="14">
        <f>IFERROR( VLOOKUP($C163,covid_vlookup,2, FALSE), "No Data")</f>
        <v>8202</v>
      </c>
      <c r="E163" s="14">
        <f>IFERROR( VLOOKUP($C163,covid_vlookup,3, FALSE), "No Data")</f>
        <v>100</v>
      </c>
      <c r="F163" s="14">
        <f>IFERROR( VLOOKUP($C163,covid_vlookup,8, FALSE), "No Data")</f>
        <v>34010</v>
      </c>
      <c r="G163" s="14">
        <f>IFERROR( VLOOKUP($C163,covid_vlookup,13, FALSE), "No Data")</f>
        <v>56861.47</v>
      </c>
      <c r="H163" s="2"/>
    </row>
    <row r="164">
      <c r="A164" s="3" t="s">
        <v>372</v>
      </c>
      <c r="B164" s="3" t="s">
        <v>125</v>
      </c>
      <c r="C164" s="3" t="s">
        <v>373</v>
      </c>
      <c r="D164" s="14" t="str">
        <f>IFERROR( VLOOKUP($C164,covid_vlookup,2, FALSE), "No Data")</f>
        <v>No Data</v>
      </c>
      <c r="E164" s="14" t="str">
        <f>IFERROR( VLOOKUP($C164,covid_vlookup,3, FALSE), "No Data")</f>
        <v>No Data</v>
      </c>
      <c r="F164" s="14" t="str">
        <f>IFERROR( VLOOKUP($C164,covid_vlookup,8, FALSE), "No Data")</f>
        <v>No Data</v>
      </c>
      <c r="G164" s="14" t="str">
        <f>IFERROR( VLOOKUP($C164,covid_vlookup,13, FALSE), "No Data")</f>
        <v>No Data</v>
      </c>
      <c r="H164" s="2"/>
    </row>
    <row r="165">
      <c r="A165" s="3" t="s">
        <v>374</v>
      </c>
      <c r="B165" s="3" t="s">
        <v>122</v>
      </c>
      <c r="C165" s="3" t="s">
        <v>375</v>
      </c>
      <c r="D165" s="14" t="str">
        <f>IFERROR( VLOOKUP($C165,covid_vlookup,2, FALSE), "No Data")</f>
        <v>No Data</v>
      </c>
      <c r="E165" s="14" t="str">
        <f>IFERROR( VLOOKUP($C165,covid_vlookup,3, FALSE), "No Data")</f>
        <v>No Data</v>
      </c>
      <c r="F165" s="14" t="str">
        <f>IFERROR( VLOOKUP($C165,covid_vlookup,8, FALSE), "No Data")</f>
        <v>No Data</v>
      </c>
      <c r="G165" s="14" t="str">
        <f>IFERROR( VLOOKUP($C165,covid_vlookup,13, FALSE), "No Data")</f>
        <v>No Data</v>
      </c>
      <c r="H165" s="2"/>
    </row>
    <row r="166">
      <c r="A166" s="3" t="s">
        <v>376</v>
      </c>
      <c r="B166" s="3" t="s">
        <v>125</v>
      </c>
      <c r="C166" s="3" t="s">
        <v>377</v>
      </c>
      <c r="D166" s="14" t="str">
        <f>IFERROR( VLOOKUP($C166,covid_vlookup,2, FALSE), "No Data")</f>
        <v>No Data</v>
      </c>
      <c r="E166" s="14" t="str">
        <f>IFERROR( VLOOKUP($C166,covid_vlookup,3, FALSE), "No Data")</f>
        <v>No Data</v>
      </c>
      <c r="F166" s="14" t="str">
        <f>IFERROR( VLOOKUP($C166,covid_vlookup,8, FALSE), "No Data")</f>
        <v>No Data</v>
      </c>
      <c r="G166" s="14" t="str">
        <f>IFERROR( VLOOKUP($C166,covid_vlookup,13, FALSE), "No Data")</f>
        <v>No Data</v>
      </c>
      <c r="H166" s="2"/>
    </row>
    <row r="167">
      <c r="A167" s="3" t="s">
        <v>109</v>
      </c>
      <c r="B167" s="3" t="s">
        <v>23</v>
      </c>
      <c r="C167" s="3" t="s">
        <v>110</v>
      </c>
      <c r="D167" s="14">
        <f>IFERROR( VLOOKUP($C167,covid_vlookup,2, FALSE), "No Data")</f>
        <v>1299339</v>
      </c>
      <c r="E167" s="14">
        <f>IFERROR( VLOOKUP($C167,covid_vlookup,3, FALSE), "No Data")</f>
        <v>12714</v>
      </c>
      <c r="F167" s="14">
        <f>IFERROR( VLOOKUP($C167,covid_vlookup,8, FALSE), "No Data")</f>
        <v>6871547</v>
      </c>
      <c r="G167" s="14">
        <f>IFERROR( VLOOKUP($C167,covid_vlookup,13, FALSE), "No Data")</f>
        <v>14048.881</v>
      </c>
      <c r="H167" s="2"/>
    </row>
    <row r="168">
      <c r="A168" s="3" t="s">
        <v>378</v>
      </c>
      <c r="B168" s="3" t="s">
        <v>125</v>
      </c>
      <c r="C168" s="3" t="s">
        <v>379</v>
      </c>
      <c r="D168" s="14" t="str">
        <f>IFERROR( VLOOKUP($C168,covid_vlookup,2, FALSE), "No Data")</f>
        <v>No Data</v>
      </c>
      <c r="E168" s="14" t="str">
        <f>IFERROR( VLOOKUP($C168,covid_vlookup,3, FALSE), "No Data")</f>
        <v>No Data</v>
      </c>
      <c r="F168" s="14" t="str">
        <f>IFERROR( VLOOKUP($C168,covid_vlookup,8, FALSE), "No Data")</f>
        <v>No Data</v>
      </c>
      <c r="G168" s="14" t="str">
        <f>IFERROR( VLOOKUP($C168,covid_vlookup,13, FALSE), "No Data")</f>
        <v>No Data</v>
      </c>
      <c r="H168" s="2"/>
    </row>
    <row r="169">
      <c r="A169" s="3" t="s">
        <v>380</v>
      </c>
      <c r="B169" s="3" t="s">
        <v>125</v>
      </c>
      <c r="C169" s="3" t="s">
        <v>381</v>
      </c>
      <c r="D169" s="14" t="str">
        <f>IFERROR( VLOOKUP($C169,covid_vlookup,2, FALSE), "No Data")</f>
        <v>No Data</v>
      </c>
      <c r="E169" s="14" t="str">
        <f>IFERROR( VLOOKUP($C169,covid_vlookup,3, FALSE), "No Data")</f>
        <v>No Data</v>
      </c>
      <c r="F169" s="14" t="str">
        <f>IFERROR( VLOOKUP($C169,covid_vlookup,8, FALSE), "No Data")</f>
        <v>No Data</v>
      </c>
      <c r="G169" s="14" t="str">
        <f>IFERROR( VLOOKUP($C169,covid_vlookup,13, FALSE), "No Data")</f>
        <v>No Data</v>
      </c>
      <c r="H169" s="2"/>
    </row>
    <row r="170">
      <c r="A170" s="3" t="s">
        <v>382</v>
      </c>
      <c r="B170" s="3" t="s">
        <v>122</v>
      </c>
      <c r="C170" s="3" t="s">
        <v>383</v>
      </c>
      <c r="D170" s="14" t="str">
        <f>IFERROR( VLOOKUP($C170,covid_vlookup,2, FALSE), "No Data")</f>
        <v>No Data</v>
      </c>
      <c r="E170" s="14" t="str">
        <f>IFERROR( VLOOKUP($C170,covid_vlookup,3, FALSE), "No Data")</f>
        <v>No Data</v>
      </c>
      <c r="F170" s="14" t="str">
        <f>IFERROR( VLOOKUP($C170,covid_vlookup,8, FALSE), "No Data")</f>
        <v>No Data</v>
      </c>
      <c r="G170" s="14" t="str">
        <f>IFERROR( VLOOKUP($C170,covid_vlookup,13, FALSE), "No Data")</f>
        <v>No Data</v>
      </c>
      <c r="H170" s="2"/>
    </row>
    <row r="171">
      <c r="A171" s="3" t="s">
        <v>384</v>
      </c>
      <c r="B171" s="3" t="s">
        <v>130</v>
      </c>
      <c r="C171" s="3" t="s">
        <v>385</v>
      </c>
      <c r="D171" s="14" t="str">
        <f>IFERROR( VLOOKUP($C171,covid_vlookup,2, FALSE), "No Data")</f>
        <v>No Data</v>
      </c>
      <c r="E171" s="14" t="str">
        <f>IFERROR( VLOOKUP($C171,covid_vlookup,3, FALSE), "No Data")</f>
        <v>No Data</v>
      </c>
      <c r="F171" s="14" t="str">
        <f>IFERROR( VLOOKUP($C171,covid_vlookup,8, FALSE), "No Data")</f>
        <v>No Data</v>
      </c>
      <c r="G171" s="14" t="str">
        <f>IFERROR( VLOOKUP($C171,covid_vlookup,13, FALSE), "No Data")</f>
        <v>No Data</v>
      </c>
      <c r="H171" s="2"/>
    </row>
    <row r="172">
      <c r="A172" s="3" t="s">
        <v>111</v>
      </c>
      <c r="B172" s="3" t="s">
        <v>23</v>
      </c>
      <c r="C172" s="3" t="s">
        <v>112</v>
      </c>
      <c r="D172" s="14">
        <f>IFERROR( VLOOKUP($C172,covid_vlookup,2, FALSE), "No Data")</f>
        <v>1371082</v>
      </c>
      <c r="E172" s="14">
        <f>IFERROR( VLOOKUP($C172,covid_vlookup,3, FALSE), "No Data")</f>
        <v>16635</v>
      </c>
      <c r="F172" s="14">
        <f>IFERROR( VLOOKUP($C172,covid_vlookup,8, FALSE), "No Data")</f>
        <v>5449270</v>
      </c>
      <c r="G172" s="14">
        <f>IFERROR( VLOOKUP($C172,covid_vlookup,13, FALSE), "No Data")</f>
        <v>30155.152</v>
      </c>
      <c r="H172" s="2"/>
    </row>
    <row r="173">
      <c r="A173" s="3" t="s">
        <v>113</v>
      </c>
      <c r="B173" s="3" t="s">
        <v>23</v>
      </c>
      <c r="C173" s="3" t="s">
        <v>114</v>
      </c>
      <c r="D173" s="14">
        <f>IFERROR( VLOOKUP($C173,covid_vlookup,2, FALSE), "No Data")</f>
        <v>464048</v>
      </c>
      <c r="E173" s="14">
        <f>IFERROR( VLOOKUP($C173,covid_vlookup,3, FALSE), "No Data")</f>
        <v>5589</v>
      </c>
      <c r="F173" s="14">
        <f>IFERROR( VLOOKUP($C173,covid_vlookup,8, FALSE), "No Data")</f>
        <v>2078723</v>
      </c>
      <c r="G173" s="14">
        <f>IFERROR( VLOOKUP($C173,covid_vlookup,13, FALSE), "No Data")</f>
        <v>31400.84</v>
      </c>
      <c r="H173" s="2"/>
    </row>
    <row r="174">
      <c r="A174" s="3" t="s">
        <v>386</v>
      </c>
      <c r="B174" s="3" t="s">
        <v>125</v>
      </c>
      <c r="C174" s="3" t="s">
        <v>387</v>
      </c>
      <c r="D174" s="14" t="str">
        <f>IFERROR( VLOOKUP($C174,covid_vlookup,2, FALSE), "No Data")</f>
        <v>No Data</v>
      </c>
      <c r="E174" s="14" t="str">
        <f>IFERROR( VLOOKUP($C174,covid_vlookup,3, FALSE), "No Data")</f>
        <v>No Data</v>
      </c>
      <c r="F174" s="14" t="str">
        <f>IFERROR( VLOOKUP($C174,covid_vlookup,8, FALSE), "No Data")</f>
        <v>No Data</v>
      </c>
      <c r="G174" s="14" t="str">
        <f>IFERROR( VLOOKUP($C174,covid_vlookup,13, FALSE), "No Data")</f>
        <v>No Data</v>
      </c>
      <c r="H174" s="2"/>
    </row>
    <row r="175">
      <c r="A175" s="3" t="s">
        <v>388</v>
      </c>
      <c r="B175" s="3" t="s">
        <v>125</v>
      </c>
      <c r="C175" s="3" t="s">
        <v>389</v>
      </c>
      <c r="D175" s="14" t="str">
        <f>IFERROR( VLOOKUP($C175,covid_vlookup,2, FALSE), "No Data")</f>
        <v>No Data</v>
      </c>
      <c r="E175" s="14" t="str">
        <f>IFERROR( VLOOKUP($C175,covid_vlookup,3, FALSE), "No Data")</f>
        <v>No Data</v>
      </c>
      <c r="F175" s="14" t="str">
        <f>IFERROR( VLOOKUP($C175,covid_vlookup,8, FALSE), "No Data")</f>
        <v>No Data</v>
      </c>
      <c r="G175" s="14" t="str">
        <f>IFERROR( VLOOKUP($C175,covid_vlookup,13, FALSE), "No Data")</f>
        <v>No Data</v>
      </c>
      <c r="H175" s="2"/>
    </row>
    <row r="176">
      <c r="A176" s="3" t="s">
        <v>390</v>
      </c>
      <c r="B176" s="3" t="s">
        <v>122</v>
      </c>
      <c r="C176" s="3" t="s">
        <v>391</v>
      </c>
      <c r="D176" s="14" t="str">
        <f>IFERROR( VLOOKUP($C176,covid_vlookup,2, FALSE), "No Data")</f>
        <v>No Data</v>
      </c>
      <c r="E176" s="14" t="str">
        <f>IFERROR( VLOOKUP($C176,covid_vlookup,3, FALSE), "No Data")</f>
        <v>No Data</v>
      </c>
      <c r="F176" s="14" t="str">
        <f>IFERROR( VLOOKUP($C176,covid_vlookup,8, FALSE), "No Data")</f>
        <v>No Data</v>
      </c>
      <c r="G176" s="14" t="str">
        <f>IFERROR( VLOOKUP($C176,covid_vlookup,13, FALSE), "No Data")</f>
        <v>No Data</v>
      </c>
      <c r="H176" s="2"/>
    </row>
    <row r="177">
      <c r="A177" s="3" t="s">
        <v>392</v>
      </c>
      <c r="B177" s="3" t="s">
        <v>125</v>
      </c>
      <c r="C177" s="3" t="s">
        <v>393</v>
      </c>
      <c r="D177" s="14" t="str">
        <f>IFERROR( VLOOKUP($C177,covid_vlookup,2, FALSE), "No Data")</f>
        <v>No Data</v>
      </c>
      <c r="E177" s="14" t="str">
        <f>IFERROR( VLOOKUP($C177,covid_vlookup,3, FALSE), "No Data")</f>
        <v>No Data</v>
      </c>
      <c r="F177" s="14" t="str">
        <f>IFERROR( VLOOKUP($C177,covid_vlookup,8, FALSE), "No Data")</f>
        <v>No Data</v>
      </c>
      <c r="G177" s="14" t="str">
        <f>IFERROR( VLOOKUP($C177,covid_vlookup,13, FALSE), "No Data")</f>
        <v>No Data</v>
      </c>
      <c r="H177" s="2"/>
    </row>
    <row r="178">
      <c r="A178" s="3" t="s">
        <v>45</v>
      </c>
      <c r="B178" s="3" t="s">
        <v>23</v>
      </c>
      <c r="C178" s="3" t="s">
        <v>46</v>
      </c>
      <c r="D178" s="14">
        <f>IFERROR( VLOOKUP($C178,covid_vlookup,2, FALSE), "No Data")</f>
        <v>6294745</v>
      </c>
      <c r="E178" s="14">
        <f>IFERROR( VLOOKUP($C178,covid_vlookup,3, FALSE), "No Data")</f>
        <v>89405</v>
      </c>
      <c r="F178" s="14">
        <f>IFERROR( VLOOKUP($C178,covid_vlookup,8, FALSE), "No Data")</f>
        <v>46745211</v>
      </c>
      <c r="G178" s="14">
        <f>IFERROR( VLOOKUP($C178,covid_vlookup,13, FALSE), "No Data")</f>
        <v>34272.36</v>
      </c>
      <c r="H178" s="2"/>
    </row>
    <row r="179">
      <c r="A179" s="3" t="s">
        <v>394</v>
      </c>
      <c r="B179" s="3" t="s">
        <v>122</v>
      </c>
      <c r="C179" s="3" t="s">
        <v>395</v>
      </c>
      <c r="D179" s="14" t="str">
        <f>IFERROR( VLOOKUP($C179,covid_vlookup,2, FALSE), "No Data")</f>
        <v>No Data</v>
      </c>
      <c r="E179" s="14" t="str">
        <f>IFERROR( VLOOKUP($C179,covid_vlookup,3, FALSE), "No Data")</f>
        <v>No Data</v>
      </c>
      <c r="F179" s="14" t="str">
        <f>IFERROR( VLOOKUP($C179,covid_vlookup,8, FALSE), "No Data")</f>
        <v>No Data</v>
      </c>
      <c r="G179" s="14" t="str">
        <f>IFERROR( VLOOKUP($C179,covid_vlookup,13, FALSE), "No Data")</f>
        <v>No Data</v>
      </c>
      <c r="H179" s="2"/>
    </row>
    <row r="180">
      <c r="A180" s="3" t="s">
        <v>396</v>
      </c>
      <c r="B180" s="3" t="s">
        <v>125</v>
      </c>
      <c r="C180" s="3" t="s">
        <v>397</v>
      </c>
      <c r="D180" s="14" t="str">
        <f>IFERROR( VLOOKUP($C180,covid_vlookup,2, FALSE), "No Data")</f>
        <v>No Data</v>
      </c>
      <c r="E180" s="14" t="str">
        <f>IFERROR( VLOOKUP($C180,covid_vlookup,3, FALSE), "No Data")</f>
        <v>No Data</v>
      </c>
      <c r="F180" s="14" t="str">
        <f>IFERROR( VLOOKUP($C180,covid_vlookup,8, FALSE), "No Data")</f>
        <v>No Data</v>
      </c>
      <c r="G180" s="14" t="str">
        <f>IFERROR( VLOOKUP($C180,covid_vlookup,13, FALSE), "No Data")</f>
        <v>No Data</v>
      </c>
      <c r="H180" s="2"/>
    </row>
    <row r="181">
      <c r="A181" s="3" t="s">
        <v>398</v>
      </c>
      <c r="B181" s="3" t="s">
        <v>135</v>
      </c>
      <c r="C181" s="3" t="s">
        <v>399</v>
      </c>
      <c r="D181" s="14" t="str">
        <f>IFERROR( VLOOKUP($C181,covid_vlookup,2, FALSE), "No Data")</f>
        <v>No Data</v>
      </c>
      <c r="E181" s="14" t="str">
        <f>IFERROR( VLOOKUP($C181,covid_vlookup,3, FALSE), "No Data")</f>
        <v>No Data</v>
      </c>
      <c r="F181" s="14" t="str">
        <f>IFERROR( VLOOKUP($C181,covid_vlookup,8, FALSE), "No Data")</f>
        <v>No Data</v>
      </c>
      <c r="G181" s="14" t="str">
        <f>IFERROR( VLOOKUP($C181,covid_vlookup,13, FALSE), "No Data")</f>
        <v>No Data</v>
      </c>
      <c r="H181" s="2"/>
    </row>
    <row r="182">
      <c r="A182" s="3" t="s">
        <v>400</v>
      </c>
      <c r="B182" s="3" t="s">
        <v>125</v>
      </c>
      <c r="C182" s="3" t="s">
        <v>401</v>
      </c>
      <c r="D182" s="14" t="str">
        <f>IFERROR( VLOOKUP($C182,covid_vlookup,2, FALSE), "No Data")</f>
        <v>No Data</v>
      </c>
      <c r="E182" s="14" t="str">
        <f>IFERROR( VLOOKUP($C182,covid_vlookup,3, FALSE), "No Data")</f>
        <v>No Data</v>
      </c>
      <c r="F182" s="14" t="str">
        <f>IFERROR( VLOOKUP($C182,covid_vlookup,8, FALSE), "No Data")</f>
        <v>No Data</v>
      </c>
      <c r="G182" s="14" t="str">
        <f>IFERROR( VLOOKUP($C182,covid_vlookup,13, FALSE), "No Data")</f>
        <v>No Data</v>
      </c>
      <c r="H182" s="2"/>
    </row>
    <row r="183">
      <c r="A183" s="3" t="s">
        <v>115</v>
      </c>
      <c r="B183" s="3" t="s">
        <v>23</v>
      </c>
      <c r="C183" s="3" t="s">
        <v>116</v>
      </c>
      <c r="D183" s="14">
        <f>IFERROR( VLOOKUP($C183,covid_vlookup,2, FALSE), "No Data")</f>
        <v>1314784</v>
      </c>
      <c r="E183" s="14">
        <f>IFERROR( VLOOKUP($C183,covid_vlookup,3, FALSE), "No Data")</f>
        <v>15310</v>
      </c>
      <c r="F183" s="14">
        <f>IFERROR( VLOOKUP($C183,covid_vlookup,8, FALSE), "No Data")</f>
        <v>10160159</v>
      </c>
      <c r="G183" s="14">
        <f>IFERROR( VLOOKUP($C183,covid_vlookup,13, FALSE), "No Data")</f>
        <v>46949.283</v>
      </c>
      <c r="H183" s="2"/>
    </row>
    <row r="184">
      <c r="A184" s="3" t="s">
        <v>37</v>
      </c>
      <c r="B184" s="3" t="s">
        <v>23</v>
      </c>
      <c r="C184" s="3" t="s">
        <v>38</v>
      </c>
      <c r="D184" s="14">
        <f>IFERROR( VLOOKUP($C184,covid_vlookup,2, FALSE), "No Data")</f>
        <v>1332615</v>
      </c>
      <c r="E184" s="14">
        <f>IFERROR( VLOOKUP($C184,covid_vlookup,3, FALSE), "No Data")</f>
        <v>12217</v>
      </c>
      <c r="F184" s="14">
        <f>IFERROR( VLOOKUP($C184,covid_vlookup,8, FALSE), "No Data")</f>
        <v>8715494</v>
      </c>
      <c r="G184" s="14">
        <f>IFERROR( VLOOKUP($C184,covid_vlookup,13, FALSE), "No Data")</f>
        <v>57410.166</v>
      </c>
      <c r="H184" s="2"/>
    </row>
    <row r="185">
      <c r="A185" s="3" t="s">
        <v>402</v>
      </c>
      <c r="B185" s="3" t="s">
        <v>122</v>
      </c>
      <c r="C185" s="3" t="s">
        <v>403</v>
      </c>
      <c r="D185" s="14" t="str">
        <f>IFERROR( VLOOKUP($C185,covid_vlookup,2, FALSE), "No Data")</f>
        <v>No Data</v>
      </c>
      <c r="E185" s="14" t="str">
        <f>IFERROR( VLOOKUP($C185,covid_vlookup,3, FALSE), "No Data")</f>
        <v>No Data</v>
      </c>
      <c r="F185" s="14" t="str">
        <f>IFERROR( VLOOKUP($C185,covid_vlookup,8, FALSE), "No Data")</f>
        <v>No Data</v>
      </c>
      <c r="G185" s="14" t="str">
        <f>IFERROR( VLOOKUP($C185,covid_vlookup,13, FALSE), "No Data")</f>
        <v>No Data</v>
      </c>
      <c r="H185" s="2"/>
    </row>
    <row r="186">
      <c r="A186" s="3" t="s">
        <v>404</v>
      </c>
      <c r="B186" s="3" t="s">
        <v>122</v>
      </c>
      <c r="C186" s="3" t="s">
        <v>405</v>
      </c>
      <c r="D186" s="14" t="str">
        <f>IFERROR( VLOOKUP($C186,covid_vlookup,2, FALSE), "No Data")</f>
        <v>No Data</v>
      </c>
      <c r="E186" s="14" t="str">
        <f>IFERROR( VLOOKUP($C186,covid_vlookup,3, FALSE), "No Data")</f>
        <v>No Data</v>
      </c>
      <c r="F186" s="14" t="str">
        <f>IFERROR( VLOOKUP($C186,covid_vlookup,8, FALSE), "No Data")</f>
        <v>No Data</v>
      </c>
      <c r="G186" s="14" t="str">
        <f>IFERROR( VLOOKUP($C186,covid_vlookup,13, FALSE), "No Data")</f>
        <v>No Data</v>
      </c>
      <c r="H186" s="2"/>
    </row>
    <row r="187">
      <c r="A187" s="3" t="s">
        <v>406</v>
      </c>
      <c r="B187" s="3" t="s">
        <v>122</v>
      </c>
      <c r="C187" s="3" t="s">
        <v>407</v>
      </c>
      <c r="D187" s="14" t="str">
        <f>IFERROR( VLOOKUP($C187,covid_vlookup,2, FALSE), "No Data")</f>
        <v>No Data</v>
      </c>
      <c r="E187" s="14" t="str">
        <f>IFERROR( VLOOKUP($C187,covid_vlookup,3, FALSE), "No Data")</f>
        <v>No Data</v>
      </c>
      <c r="F187" s="14" t="str">
        <f>IFERROR( VLOOKUP($C187,covid_vlookup,8, FALSE), "No Data")</f>
        <v>No Data</v>
      </c>
      <c r="G187" s="14" t="str">
        <f>IFERROR( VLOOKUP($C187,covid_vlookup,13, FALSE), "No Data")</f>
        <v>No Data</v>
      </c>
      <c r="H187" s="2"/>
    </row>
    <row r="188">
      <c r="A188" s="3" t="s">
        <v>408</v>
      </c>
      <c r="B188" s="3" t="s">
        <v>125</v>
      </c>
      <c r="C188" s="3" t="s">
        <v>409</v>
      </c>
      <c r="D188" s="14" t="str">
        <f>IFERROR( VLOOKUP($C188,covid_vlookup,2, FALSE), "No Data")</f>
        <v>No Data</v>
      </c>
      <c r="E188" s="14" t="str">
        <f>IFERROR( VLOOKUP($C188,covid_vlookup,3, FALSE), "No Data")</f>
        <v>No Data</v>
      </c>
      <c r="F188" s="14" t="str">
        <f>IFERROR( VLOOKUP($C188,covid_vlookup,8, FALSE), "No Data")</f>
        <v>No Data</v>
      </c>
      <c r="G188" s="14" t="str">
        <f>IFERROR( VLOOKUP($C188,covid_vlookup,13, FALSE), "No Data")</f>
        <v>No Data</v>
      </c>
      <c r="H188" s="2"/>
    </row>
    <row r="189">
      <c r="A189" s="3" t="s">
        <v>410</v>
      </c>
      <c r="B189" s="3" t="s">
        <v>122</v>
      </c>
      <c r="C189" s="3" t="s">
        <v>411</v>
      </c>
      <c r="D189" s="14" t="str">
        <f>IFERROR( VLOOKUP($C189,covid_vlookup,2, FALSE), "No Data")</f>
        <v>No Data</v>
      </c>
      <c r="E189" s="14" t="str">
        <f>IFERROR( VLOOKUP($C189,covid_vlookup,3, FALSE), "No Data")</f>
        <v>No Data</v>
      </c>
      <c r="F189" s="14" t="str">
        <f>IFERROR( VLOOKUP($C189,covid_vlookup,8, FALSE), "No Data")</f>
        <v>No Data</v>
      </c>
      <c r="G189" s="14" t="str">
        <f>IFERROR( VLOOKUP($C189,covid_vlookup,13, FALSE), "No Data")</f>
        <v>No Data</v>
      </c>
      <c r="H189" s="2"/>
    </row>
    <row r="190">
      <c r="A190" s="3" t="s">
        <v>412</v>
      </c>
      <c r="B190" s="3" t="s">
        <v>122</v>
      </c>
      <c r="C190" s="3" t="s">
        <v>413</v>
      </c>
      <c r="D190" s="14" t="str">
        <f>IFERROR( VLOOKUP($C190,covid_vlookup,2, FALSE), "No Data")</f>
        <v>No Data</v>
      </c>
      <c r="E190" s="14" t="str">
        <f>IFERROR( VLOOKUP($C190,covid_vlookup,3, FALSE), "No Data")</f>
        <v>No Data</v>
      </c>
      <c r="F190" s="14" t="str">
        <f>IFERROR( VLOOKUP($C190,covid_vlookup,8, FALSE), "No Data")</f>
        <v>No Data</v>
      </c>
      <c r="G190" s="14" t="str">
        <f>IFERROR( VLOOKUP($C190,covid_vlookup,13, FALSE), "No Data")</f>
        <v>No Data</v>
      </c>
      <c r="H190" s="2"/>
    </row>
    <row r="191">
      <c r="A191" s="3" t="s">
        <v>414</v>
      </c>
      <c r="B191" s="3" t="s">
        <v>125</v>
      </c>
      <c r="C191" s="3" t="s">
        <v>415</v>
      </c>
      <c r="D191" s="14" t="str">
        <f>IFERROR( VLOOKUP($C191,covid_vlookup,2, FALSE), "No Data")</f>
        <v>No Data</v>
      </c>
      <c r="E191" s="14" t="str">
        <f>IFERROR( VLOOKUP($C191,covid_vlookup,3, FALSE), "No Data")</f>
        <v>No Data</v>
      </c>
      <c r="F191" s="14" t="str">
        <f>IFERROR( VLOOKUP($C191,covid_vlookup,8, FALSE), "No Data")</f>
        <v>No Data</v>
      </c>
      <c r="G191" s="14" t="str">
        <f>IFERROR( VLOOKUP($C191,covid_vlookup,13, FALSE), "No Data")</f>
        <v>No Data</v>
      </c>
      <c r="H191" s="2"/>
    </row>
    <row r="192">
      <c r="A192" s="3" t="s">
        <v>416</v>
      </c>
      <c r="B192" s="3" t="s">
        <v>130</v>
      </c>
      <c r="C192" s="3" t="s">
        <v>417</v>
      </c>
      <c r="D192" s="14" t="str">
        <f>IFERROR( VLOOKUP($C192,covid_vlookup,2, FALSE), "No Data")</f>
        <v>No Data</v>
      </c>
      <c r="E192" s="14" t="str">
        <f>IFERROR( VLOOKUP($C192,covid_vlookup,3, FALSE), "No Data")</f>
        <v>No Data</v>
      </c>
      <c r="F192" s="14" t="str">
        <f>IFERROR( VLOOKUP($C192,covid_vlookup,8, FALSE), "No Data")</f>
        <v>No Data</v>
      </c>
      <c r="G192" s="14" t="str">
        <f>IFERROR( VLOOKUP($C192,covid_vlookup,13, FALSE), "No Data")</f>
        <v>No Data</v>
      </c>
      <c r="H192" s="2"/>
    </row>
    <row r="193">
      <c r="A193" s="3" t="s">
        <v>418</v>
      </c>
      <c r="B193" s="3" t="s">
        <v>125</v>
      </c>
      <c r="C193" s="3" t="s">
        <v>419</v>
      </c>
      <c r="D193" s="14" t="str">
        <f>IFERROR( VLOOKUP($C193,covid_vlookup,2, FALSE), "No Data")</f>
        <v>No Data</v>
      </c>
      <c r="E193" s="14" t="str">
        <f>IFERROR( VLOOKUP($C193,covid_vlookup,3, FALSE), "No Data")</f>
        <v>No Data</v>
      </c>
      <c r="F193" s="14" t="str">
        <f>IFERROR( VLOOKUP($C193,covid_vlookup,8, FALSE), "No Data")</f>
        <v>No Data</v>
      </c>
      <c r="G193" s="14" t="str">
        <f>IFERROR( VLOOKUP($C193,covid_vlookup,13, FALSE), "No Data")</f>
        <v>No Data</v>
      </c>
      <c r="H193" s="2"/>
    </row>
    <row r="194">
      <c r="A194" s="3" t="s">
        <v>420</v>
      </c>
      <c r="B194" s="3" t="s">
        <v>122</v>
      </c>
      <c r="C194" s="3" t="s">
        <v>421</v>
      </c>
      <c r="D194" s="14" t="str">
        <f>IFERROR( VLOOKUP($C194,covid_vlookup,2, FALSE), "No Data")</f>
        <v>No Data</v>
      </c>
      <c r="E194" s="14" t="str">
        <f>IFERROR( VLOOKUP($C194,covid_vlookup,3, FALSE), "No Data")</f>
        <v>No Data</v>
      </c>
      <c r="F194" s="14" t="str">
        <f>IFERROR( VLOOKUP($C194,covid_vlookup,8, FALSE), "No Data")</f>
        <v>No Data</v>
      </c>
      <c r="G194" s="14" t="str">
        <f>IFERROR( VLOOKUP($C194,covid_vlookup,13, FALSE), "No Data")</f>
        <v>No Data</v>
      </c>
      <c r="H194" s="2"/>
    </row>
    <row r="195">
      <c r="A195" s="3" t="s">
        <v>422</v>
      </c>
      <c r="B195" s="3" t="s">
        <v>130</v>
      </c>
      <c r="C195" s="3" t="s">
        <v>423</v>
      </c>
      <c r="D195" s="14" t="str">
        <f>IFERROR( VLOOKUP($C195,covid_vlookup,2, FALSE), "No Data")</f>
        <v>No Data</v>
      </c>
      <c r="E195" s="14" t="str">
        <f>IFERROR( VLOOKUP($C195,covid_vlookup,3, FALSE), "No Data")</f>
        <v>No Data</v>
      </c>
      <c r="F195" s="14" t="str">
        <f>IFERROR( VLOOKUP($C195,covid_vlookup,8, FALSE), "No Data")</f>
        <v>No Data</v>
      </c>
      <c r="G195" s="14" t="str">
        <f>IFERROR( VLOOKUP($C195,covid_vlookup,13, FALSE), "No Data")</f>
        <v>No Data</v>
      </c>
      <c r="H195" s="2"/>
    </row>
    <row r="196">
      <c r="A196" s="3" t="s">
        <v>424</v>
      </c>
      <c r="B196" s="3" t="s">
        <v>125</v>
      </c>
      <c r="C196" s="3" t="s">
        <v>425</v>
      </c>
      <c r="D196" s="14" t="str">
        <f>IFERROR( VLOOKUP($C196,covid_vlookup,2, FALSE), "No Data")</f>
        <v>No Data</v>
      </c>
      <c r="E196" s="14" t="str">
        <f>IFERROR( VLOOKUP($C196,covid_vlookup,3, FALSE), "No Data")</f>
        <v>No Data</v>
      </c>
      <c r="F196" s="14" t="str">
        <f>IFERROR( VLOOKUP($C196,covid_vlookup,8, FALSE), "No Data")</f>
        <v>No Data</v>
      </c>
      <c r="G196" s="14" t="str">
        <f>IFERROR( VLOOKUP($C196,covid_vlookup,13, FALSE), "No Data")</f>
        <v>No Data</v>
      </c>
      <c r="H196" s="2"/>
    </row>
    <row r="197">
      <c r="A197" s="3" t="s">
        <v>117</v>
      </c>
      <c r="B197" s="3" t="s">
        <v>23</v>
      </c>
      <c r="C197" s="3" t="s">
        <v>118</v>
      </c>
      <c r="D197" s="14">
        <f>IFERROR( VLOOKUP($C197,covid_vlookup,2, FALSE), "No Data")</f>
        <v>3847226</v>
      </c>
      <c r="E197" s="14">
        <f>IFERROR( VLOOKUP($C197,covid_vlookup,3, FALSE), "No Data")</f>
        <v>102088</v>
      </c>
      <c r="F197" s="14">
        <f>IFERROR( VLOOKUP($C197,covid_vlookup,8, FALSE), "No Data")</f>
        <v>43466822</v>
      </c>
      <c r="G197" s="14">
        <f>IFERROR( VLOOKUP($C197,covid_vlookup,13, FALSE), "No Data")</f>
        <v>7894.393</v>
      </c>
      <c r="H197" s="2"/>
    </row>
    <row r="198">
      <c r="A198" s="3" t="s">
        <v>426</v>
      </c>
      <c r="B198" s="3" t="s">
        <v>122</v>
      </c>
      <c r="C198" s="3" t="s">
        <v>427</v>
      </c>
      <c r="D198" s="14" t="str">
        <f>IFERROR( VLOOKUP($C198,covid_vlookup,2, FALSE), "No Data")</f>
        <v>No Data</v>
      </c>
      <c r="E198" s="14" t="str">
        <f>IFERROR( VLOOKUP($C198,covid_vlookup,3, FALSE), "No Data")</f>
        <v>No Data</v>
      </c>
      <c r="F198" s="14" t="str">
        <f>IFERROR( VLOOKUP($C198,covid_vlookup,8, FALSE), "No Data")</f>
        <v>No Data</v>
      </c>
      <c r="G198" s="14" t="str">
        <f>IFERROR( VLOOKUP($C198,covid_vlookup,13, FALSE), "No Data")</f>
        <v>No Data</v>
      </c>
      <c r="H198" s="2"/>
    </row>
    <row r="199">
      <c r="A199" s="3" t="s">
        <v>55</v>
      </c>
      <c r="B199" s="3" t="s">
        <v>23</v>
      </c>
      <c r="C199" s="3" t="s">
        <v>56</v>
      </c>
      <c r="D199" s="14">
        <f>IFERROR( VLOOKUP($C199,covid_vlookup,2, FALSE), "No Data")</f>
        <v>12965393</v>
      </c>
      <c r="E199" s="14">
        <f>IFERROR( VLOOKUP($C199,covid_vlookup,3, FALSE), "No Data")</f>
        <v>148737</v>
      </c>
      <c r="F199" s="14">
        <f>IFERROR( VLOOKUP($C199,covid_vlookup,8, FALSE), "No Data")</f>
        <v>68207114</v>
      </c>
      <c r="G199" s="14">
        <f>IFERROR( VLOOKUP($C199,covid_vlookup,13, FALSE), "No Data")</f>
        <v>39753.244</v>
      </c>
      <c r="H199" s="2"/>
    </row>
    <row r="200">
      <c r="A200" s="3" t="s">
        <v>428</v>
      </c>
      <c r="B200" s="3" t="s">
        <v>130</v>
      </c>
      <c r="C200" s="3" t="s">
        <v>429</v>
      </c>
      <c r="D200" s="14" t="str">
        <f>IFERROR( VLOOKUP($C200,covid_vlookup,2, FALSE), "No Data")</f>
        <v>No Data</v>
      </c>
      <c r="E200" s="14" t="str">
        <f>IFERROR( VLOOKUP($C200,covid_vlookup,3, FALSE), "No Data")</f>
        <v>No Data</v>
      </c>
      <c r="F200" s="14" t="str">
        <f>IFERROR( VLOOKUP($C200,covid_vlookup,8, FALSE), "No Data")</f>
        <v>No Data</v>
      </c>
      <c r="G200" s="14" t="str">
        <f>IFERROR( VLOOKUP($C200,covid_vlookup,13, FALSE), "No Data")</f>
        <v>No Data</v>
      </c>
      <c r="H200" s="2"/>
    </row>
    <row r="201">
      <c r="A201" s="3" t="s">
        <v>430</v>
      </c>
      <c r="B201" s="3" t="s">
        <v>130</v>
      </c>
      <c r="C201" s="3" t="s">
        <v>431</v>
      </c>
      <c r="D201" s="14" t="str">
        <f>IFERROR( VLOOKUP($C201,covid_vlookup,2, FALSE), "No Data")</f>
        <v>No Data</v>
      </c>
      <c r="E201" s="14" t="str">
        <f>IFERROR( VLOOKUP($C201,covid_vlookup,3, FALSE), "No Data")</f>
        <v>No Data</v>
      </c>
      <c r="F201" s="14" t="str">
        <f>IFERROR( VLOOKUP($C201,covid_vlookup,8, FALSE), "No Data")</f>
        <v>No Data</v>
      </c>
      <c r="G201" s="14" t="str">
        <f>IFERROR( VLOOKUP($C201,covid_vlookup,13, FALSE), "No Data")</f>
        <v>No Data</v>
      </c>
      <c r="H201" s="2"/>
    </row>
    <row r="202">
      <c r="A202" s="3" t="s">
        <v>432</v>
      </c>
      <c r="B202" s="3" t="s">
        <v>135</v>
      </c>
      <c r="C202" s="3" t="s">
        <v>433</v>
      </c>
      <c r="D202" s="14" t="str">
        <f>IFERROR( VLOOKUP($C202,covid_vlookup,2, FALSE), "No Data")</f>
        <v>No Data</v>
      </c>
      <c r="E202" s="14" t="str">
        <f>IFERROR( VLOOKUP($C202,covid_vlookup,3, FALSE), "No Data")</f>
        <v>No Data</v>
      </c>
      <c r="F202" s="14" t="str">
        <f>IFERROR( VLOOKUP($C202,covid_vlookup,8, FALSE), "No Data")</f>
        <v>No Data</v>
      </c>
      <c r="G202" s="14" t="str">
        <f>IFERROR( VLOOKUP($C202,covid_vlookup,13, FALSE), "No Data")</f>
        <v>No Data</v>
      </c>
      <c r="H202" s="2"/>
    </row>
    <row r="203">
      <c r="A203" s="3" t="s">
        <v>434</v>
      </c>
      <c r="B203" s="3" t="s">
        <v>122</v>
      </c>
      <c r="C203" s="3" t="s">
        <v>435</v>
      </c>
      <c r="D203" s="14" t="str">
        <f>IFERROR( VLOOKUP($C203,covid_vlookup,2, FALSE), "No Data")</f>
        <v>No Data</v>
      </c>
      <c r="E203" s="14" t="str">
        <f>IFERROR( VLOOKUP($C203,covid_vlookup,3, FALSE), "No Data")</f>
        <v>No Data</v>
      </c>
      <c r="F203" s="14" t="str">
        <f>IFERROR( VLOOKUP($C203,covid_vlookup,8, FALSE), "No Data")</f>
        <v>No Data</v>
      </c>
      <c r="G203" s="14" t="str">
        <f>IFERROR( VLOOKUP($C203,covid_vlookup,13, FALSE), "No Data")</f>
        <v>No Data</v>
      </c>
      <c r="H203" s="2"/>
    </row>
    <row r="204">
      <c r="A204" s="3" t="s">
        <v>119</v>
      </c>
      <c r="B204" s="3" t="s">
        <v>23</v>
      </c>
      <c r="C204" s="3" t="s">
        <v>120</v>
      </c>
      <c r="D204" s="14">
        <f>IFERROR( VLOOKUP($C204,covid_vlookup,2, FALSE), "No Data")</f>
        <v>27</v>
      </c>
      <c r="E204" s="14" t="str">
        <f>IFERROR( VLOOKUP($C204,covid_vlookup,3, FALSE), "No Data")</f>
        <v/>
      </c>
      <c r="F204" s="14">
        <f>IFERROR( VLOOKUP($C204,covid_vlookup,8, FALSE), "No Data")</f>
        <v>812</v>
      </c>
      <c r="G204" s="14" t="str">
        <f>IFERROR( VLOOKUP($C204,covid_vlookup,13, FALSE), "No Data")</f>
        <v/>
      </c>
      <c r="H204" s="2"/>
    </row>
    <row r="205">
      <c r="A205" s="3" t="s">
        <v>436</v>
      </c>
      <c r="B205" s="3" t="s">
        <v>135</v>
      </c>
      <c r="C205" s="3" t="s">
        <v>437</v>
      </c>
      <c r="D205" s="14" t="str">
        <f>IFERROR( VLOOKUP($C205,covid_vlookup,2, FALSE), "No Data")</f>
        <v>No Data</v>
      </c>
      <c r="E205" s="14" t="str">
        <f>IFERROR( VLOOKUP($C205,covid_vlookup,3, FALSE), "No Data")</f>
        <v>No Data</v>
      </c>
      <c r="F205" s="14" t="str">
        <f>IFERROR( VLOOKUP($C205,covid_vlookup,8, FALSE), "No Data")</f>
        <v>No Data</v>
      </c>
      <c r="G205" s="14" t="str">
        <f>IFERROR( VLOOKUP($C205,covid_vlookup,13, FALSE), "No Data")</f>
        <v>No Data</v>
      </c>
      <c r="H205" s="2"/>
    </row>
    <row r="206">
      <c r="A206" s="3" t="s">
        <v>438</v>
      </c>
      <c r="B206" s="3" t="s">
        <v>122</v>
      </c>
      <c r="C206" s="3" t="s">
        <v>439</v>
      </c>
      <c r="D206" s="14" t="str">
        <f>IFERROR( VLOOKUP($C206,covid_vlookup,2, FALSE), "No Data")</f>
        <v>No Data</v>
      </c>
      <c r="E206" s="14" t="str">
        <f>IFERROR( VLOOKUP($C206,covid_vlookup,3, FALSE), "No Data")</f>
        <v>No Data</v>
      </c>
      <c r="F206" s="14" t="str">
        <f>IFERROR( VLOOKUP($C206,covid_vlookup,8, FALSE), "No Data")</f>
        <v>No Data</v>
      </c>
      <c r="G206" s="14" t="str">
        <f>IFERROR( VLOOKUP($C206,covid_vlookup,13, FALSE), "No Data")</f>
        <v>No Data</v>
      </c>
      <c r="H206" s="2"/>
    </row>
    <row r="207">
      <c r="A207" s="3" t="s">
        <v>440</v>
      </c>
      <c r="B207" s="3" t="s">
        <v>125</v>
      </c>
      <c r="C207" s="3" t="s">
        <v>441</v>
      </c>
      <c r="D207" s="14" t="str">
        <f>IFERROR( VLOOKUP($C207,covid_vlookup,2, FALSE), "No Data")</f>
        <v>No Data</v>
      </c>
      <c r="E207" s="14" t="str">
        <f>IFERROR( VLOOKUP($C207,covid_vlookup,3, FALSE), "No Data")</f>
        <v>No Data</v>
      </c>
      <c r="F207" s="14" t="str">
        <f>IFERROR( VLOOKUP($C207,covid_vlookup,8, FALSE), "No Data")</f>
        <v>No Data</v>
      </c>
      <c r="G207" s="14" t="str">
        <f>IFERROR( VLOOKUP($C207,covid_vlookup,13, FALSE), "No Data")</f>
        <v>No Data</v>
      </c>
      <c r="H207" s="2"/>
    </row>
    <row r="208">
      <c r="A208" s="3" t="s">
        <v>442</v>
      </c>
      <c r="B208" s="3" t="s">
        <v>122</v>
      </c>
      <c r="C208" s="3" t="s">
        <v>443</v>
      </c>
      <c r="D208" s="14" t="str">
        <f>IFERROR( VLOOKUP($C208,covid_vlookup,2, FALSE), "No Data")</f>
        <v>No Data</v>
      </c>
      <c r="E208" s="14" t="str">
        <f>IFERROR( VLOOKUP($C208,covid_vlookup,3, FALSE), "No Data")</f>
        <v>No Data</v>
      </c>
      <c r="F208" s="14" t="str">
        <f>IFERROR( VLOOKUP($C208,covid_vlookup,8, FALSE), "No Data")</f>
        <v>No Data</v>
      </c>
      <c r="G208" s="14" t="str">
        <f>IFERROR( VLOOKUP($C208,covid_vlookup,13, FALSE), "No Data")</f>
        <v>No Data</v>
      </c>
      <c r="H208" s="2"/>
    </row>
    <row r="209">
      <c r="A209" s="3" t="s">
        <v>444</v>
      </c>
      <c r="B209" s="3" t="s">
        <v>125</v>
      </c>
      <c r="C209" s="3" t="s">
        <v>445</v>
      </c>
      <c r="D209" s="14" t="str">
        <f>IFERROR( VLOOKUP($C209,covid_vlookup,2, FALSE), "No Data")</f>
        <v>No Data</v>
      </c>
      <c r="E209" s="14" t="str">
        <f>IFERROR( VLOOKUP($C209,covid_vlookup,3, FALSE), "No Data")</f>
        <v>No Data</v>
      </c>
      <c r="F209" s="14" t="str">
        <f>IFERROR( VLOOKUP($C209,covid_vlookup,8, FALSE), "No Data")</f>
        <v>No Data</v>
      </c>
      <c r="G209" s="14" t="str">
        <f>IFERROR( VLOOKUP($C209,covid_vlookup,13, FALSE), "No Data")</f>
        <v>No Data</v>
      </c>
      <c r="H209" s="2"/>
    </row>
    <row r="210">
      <c r="A210" s="3" t="s">
        <v>446</v>
      </c>
      <c r="B210" s="3" t="s">
        <v>125</v>
      </c>
      <c r="C210" s="3" t="s">
        <v>447</v>
      </c>
      <c r="D210" s="14" t="str">
        <f>IFERROR( VLOOKUP($C210,covid_vlookup,2, FALSE), "No Data")</f>
        <v>No Data</v>
      </c>
      <c r="E210" s="14" t="str">
        <f>IFERROR( VLOOKUP($C210,covid_vlookup,3, FALSE), "No Data")</f>
        <v>No Data</v>
      </c>
      <c r="F210" s="14" t="str">
        <f>IFERROR( VLOOKUP($C210,covid_vlookup,8, FALSE), "No Data")</f>
        <v>No Data</v>
      </c>
      <c r="G210" s="14" t="str">
        <f>IFERROR( VLOOKUP($C210,covid_vlookup,13, FALSE), "No Data")</f>
        <v>No Data</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 VLOOKUP( $C2,covid_vlookup,HLOOKUP(D$1,covid_hlookup,2, FALSE), FALSE), "No Data")</f>
        <v>No Data</v>
      </c>
      <c r="E2" s="14" t="str">
        <f>IFERROR( VLOOKUP( $C2,covid_vlookup,HLOOKUP(E$1,covid_hlookup,2, FALSE), FALSE), "No Data")</f>
        <v>No Data</v>
      </c>
      <c r="F2" s="14" t="str">
        <f>IFERROR( VLOOKUP( $C2,covid_vlookup,HLOOKUP(F$1,covid_hlookup,2, FALSE), FALSE), "No Data")</f>
        <v>No Data</v>
      </c>
      <c r="G2" s="14" t="str">
        <f>IFERROR( VLOOKUP( $C2,covid_vlookup,HLOOKUP(G$1,covid_hlookup,2, FALSE), FALSE), "No Data")</f>
        <v>No Data</v>
      </c>
      <c r="H2" s="2"/>
    </row>
    <row r="3">
      <c r="A3" s="3" t="s">
        <v>22</v>
      </c>
      <c r="B3" s="3" t="s">
        <v>23</v>
      </c>
      <c r="C3" s="3" t="s">
        <v>24</v>
      </c>
      <c r="D3" s="14">
        <f>IFERROR( VLOOKUP( $C3,covid_vlookup,HLOOKUP(D$1,covid_hlookup,2, FALSE), FALSE), "No Data")</f>
        <v>210224</v>
      </c>
      <c r="E3" s="14">
        <f>IFERROR( VLOOKUP( $C3,covid_vlookup,HLOOKUP(E$1,covid_hlookup,2, FALSE), FALSE), "No Data")</f>
        <v>3217</v>
      </c>
      <c r="F3" s="14">
        <f>IFERROR( VLOOKUP( $C3,covid_vlookup,HLOOKUP(F$1,covid_hlookup,2, FALSE), FALSE), "No Data")</f>
        <v>2872934</v>
      </c>
      <c r="G3" s="14">
        <f>IFERROR( VLOOKUP( $C3,covid_vlookup,HLOOKUP(G$1,covid_hlookup,2, FALSE), FALSE), "No Data")</f>
        <v>11803.431</v>
      </c>
      <c r="H3" s="2"/>
    </row>
    <row r="4">
      <c r="A4" s="3" t="s">
        <v>124</v>
      </c>
      <c r="B4" s="3" t="s">
        <v>125</v>
      </c>
      <c r="C4" s="3" t="s">
        <v>126</v>
      </c>
      <c r="D4" s="14" t="str">
        <f>IFERROR( VLOOKUP( $C4,covid_vlookup,HLOOKUP(D$1,covid_hlookup,2, FALSE), FALSE), "No Data")</f>
        <v>No Data</v>
      </c>
      <c r="E4" s="14" t="str">
        <f>IFERROR( VLOOKUP( $C4,covid_vlookup,HLOOKUP(E$1,covid_hlookup,2, FALSE), FALSE), "No Data")</f>
        <v>No Data</v>
      </c>
      <c r="F4" s="14" t="str">
        <f>IFERROR( VLOOKUP( $C4,covid_vlookup,HLOOKUP(F$1,covid_hlookup,2, FALSE), FALSE), "No Data")</f>
        <v>No Data</v>
      </c>
      <c r="G4" s="14" t="str">
        <f>IFERROR( VLOOKUP( $C4,covid_vlookup,HLOOKUP(G$1,covid_hlookup,2, FALSE), FALSE), "No Data")</f>
        <v>No Data</v>
      </c>
      <c r="H4" s="2"/>
    </row>
    <row r="5">
      <c r="A5" s="3" t="s">
        <v>25</v>
      </c>
      <c r="B5" s="3" t="s">
        <v>23</v>
      </c>
      <c r="C5" s="3" t="s">
        <v>26</v>
      </c>
      <c r="D5" s="14">
        <f>IFERROR( VLOOKUP( $C5,covid_vlookup,HLOOKUP(D$1,covid_hlookup,2, FALSE), FALSE), "No Data")</f>
        <v>23740</v>
      </c>
      <c r="E5" s="14">
        <f>IFERROR( VLOOKUP( $C5,covid_vlookup,HLOOKUP(E$1,covid_hlookup,2, FALSE), FALSE), "No Data")</f>
        <v>140</v>
      </c>
      <c r="F5" s="14">
        <f>IFERROR( VLOOKUP( $C5,covid_vlookup,HLOOKUP(F$1,covid_hlookup,2, FALSE), FALSE), "No Data")</f>
        <v>77354</v>
      </c>
      <c r="G5" s="14" t="str">
        <f>IFERROR( VLOOKUP( $C5,covid_vlookup,HLOOKUP(G$1,covid_hlookup,2, FALSE), FALSE), "No Data")</f>
        <v/>
      </c>
      <c r="H5" s="5"/>
    </row>
    <row r="6">
      <c r="A6" s="3" t="s">
        <v>127</v>
      </c>
      <c r="B6" s="3" t="s">
        <v>125</v>
      </c>
      <c r="C6" s="3" t="s">
        <v>128</v>
      </c>
      <c r="D6" s="14" t="str">
        <f>IFERROR( VLOOKUP( $C6,covid_vlookup,HLOOKUP(D$1,covid_hlookup,2, FALSE), FALSE), "No Data")</f>
        <v>No Data</v>
      </c>
      <c r="E6" s="14" t="str">
        <f>IFERROR( VLOOKUP( $C6,covid_vlookup,HLOOKUP(E$1,covid_hlookup,2, FALSE), FALSE), "No Data")</f>
        <v>No Data</v>
      </c>
      <c r="F6" s="14" t="str">
        <f>IFERROR( VLOOKUP( $C6,covid_vlookup,HLOOKUP(F$1,covid_hlookup,2, FALSE), FALSE), "No Data")</f>
        <v>No Data</v>
      </c>
      <c r="G6" s="14" t="str">
        <f>IFERROR( VLOOKUP( $C6,covid_vlookup,HLOOKUP(G$1,covid_hlookup,2, FALSE), FALSE), "No Data")</f>
        <v>No Data</v>
      </c>
      <c r="H6" s="6"/>
    </row>
    <row r="7">
      <c r="A7" s="3" t="s">
        <v>129</v>
      </c>
      <c r="B7" s="3" t="s">
        <v>130</v>
      </c>
      <c r="C7" s="3" t="s">
        <v>131</v>
      </c>
      <c r="D7" s="14" t="str">
        <f>IFERROR( VLOOKUP( $C7,covid_vlookup,HLOOKUP(D$1,covid_hlookup,2, FALSE), FALSE), "No Data")</f>
        <v>No Data</v>
      </c>
      <c r="E7" s="14" t="str">
        <f>IFERROR( VLOOKUP( $C7,covid_vlookup,HLOOKUP(E$1,covid_hlookup,2, FALSE), FALSE), "No Data")</f>
        <v>No Data</v>
      </c>
      <c r="F7" s="14" t="str">
        <f>IFERROR( VLOOKUP( $C7,covid_vlookup,HLOOKUP(F$1,covid_hlookup,2, FALSE), FALSE), "No Data")</f>
        <v>No Data</v>
      </c>
      <c r="G7" s="14" t="str">
        <f>IFERROR( VLOOKUP( $C7,covid_vlookup,HLOOKUP(G$1,covid_hlookup,2, FALSE), FALSE), "No Data")</f>
        <v>No Data</v>
      </c>
      <c r="H7" s="5"/>
    </row>
    <row r="8">
      <c r="A8" s="3" t="s">
        <v>132</v>
      </c>
      <c r="B8" s="3" t="s">
        <v>130</v>
      </c>
      <c r="C8" s="3" t="s">
        <v>133</v>
      </c>
      <c r="D8" s="14" t="str">
        <f>IFERROR( VLOOKUP( $C8,covid_vlookup,HLOOKUP(D$1,covid_hlookup,2, FALSE), FALSE), "No Data")</f>
        <v>No Data</v>
      </c>
      <c r="E8" s="14" t="str">
        <f>IFERROR( VLOOKUP( $C8,covid_vlookup,HLOOKUP(E$1,covid_hlookup,2, FALSE), FALSE), "No Data")</f>
        <v>No Data</v>
      </c>
      <c r="F8" s="14" t="str">
        <f>IFERROR( VLOOKUP( $C8,covid_vlookup,HLOOKUP(F$1,covid_hlookup,2, FALSE), FALSE), "No Data")</f>
        <v>No Data</v>
      </c>
      <c r="G8" s="14" t="str">
        <f>IFERROR( VLOOKUP( $C8,covid_vlookup,HLOOKUP(G$1,covid_hlookup,2, FALSE), FALSE), "No Data")</f>
        <v>No Data</v>
      </c>
      <c r="H8" s="6"/>
    </row>
    <row r="9">
      <c r="A9" s="3" t="s">
        <v>134</v>
      </c>
      <c r="B9" s="3" t="s">
        <v>135</v>
      </c>
      <c r="C9" s="3" t="s">
        <v>136</v>
      </c>
      <c r="D9" s="14" t="str">
        <f>IFERROR( VLOOKUP( $C9,covid_vlookup,HLOOKUP(D$1,covid_hlookup,2, FALSE), FALSE), "No Data")</f>
        <v>No Data</v>
      </c>
      <c r="E9" s="14" t="str">
        <f>IFERROR( VLOOKUP( $C9,covid_vlookup,HLOOKUP(E$1,covid_hlookup,2, FALSE), FALSE), "No Data")</f>
        <v>No Data</v>
      </c>
      <c r="F9" s="14" t="str">
        <f>IFERROR( VLOOKUP( $C9,covid_vlookup,HLOOKUP(F$1,covid_hlookup,2, FALSE), FALSE), "No Data")</f>
        <v>No Data</v>
      </c>
      <c r="G9" s="14" t="str">
        <f>IFERROR( VLOOKUP( $C9,covid_vlookup,HLOOKUP(G$1,covid_hlookup,2, FALSE), FALSE), "No Data")</f>
        <v>No Data</v>
      </c>
      <c r="H9" s="5"/>
    </row>
    <row r="10">
      <c r="A10" s="3" t="s">
        <v>137</v>
      </c>
      <c r="B10" s="3" t="s">
        <v>122</v>
      </c>
      <c r="C10" s="3" t="s">
        <v>138</v>
      </c>
      <c r="D10" s="14" t="str">
        <f>IFERROR( VLOOKUP( $C10,covid_vlookup,HLOOKUP(D$1,covid_hlookup,2, FALSE), FALSE), "No Data")</f>
        <v>No Data</v>
      </c>
      <c r="E10" s="14" t="str">
        <f>IFERROR( VLOOKUP( $C10,covid_vlookup,HLOOKUP(E$1,covid_hlookup,2, FALSE), FALSE), "No Data")</f>
        <v>No Data</v>
      </c>
      <c r="F10" s="14" t="str">
        <f>IFERROR( VLOOKUP( $C10,covid_vlookup,HLOOKUP(F$1,covid_hlookup,2, FALSE), FALSE), "No Data")</f>
        <v>No Data</v>
      </c>
      <c r="G10" s="14" t="str">
        <f>IFERROR( VLOOKUP( $C10,covid_vlookup,HLOOKUP(G$1,covid_hlookup,2, FALSE), FALSE), "No Data")</f>
        <v>No Data</v>
      </c>
      <c r="H10" s="6"/>
    </row>
    <row r="11">
      <c r="A11" s="3" t="s">
        <v>139</v>
      </c>
      <c r="B11" s="3" t="s">
        <v>130</v>
      </c>
      <c r="C11" s="3" t="s">
        <v>140</v>
      </c>
      <c r="D11" s="14" t="str">
        <f>IFERROR( VLOOKUP( $C11,covid_vlookup,HLOOKUP(D$1,covid_hlookup,2, FALSE), FALSE), "No Data")</f>
        <v>No Data</v>
      </c>
      <c r="E11" s="14" t="str">
        <f>IFERROR( VLOOKUP( $C11,covid_vlookup,HLOOKUP(E$1,covid_hlookup,2, FALSE), FALSE), "No Data")</f>
        <v>No Data</v>
      </c>
      <c r="F11" s="14" t="str">
        <f>IFERROR( VLOOKUP( $C11,covid_vlookup,HLOOKUP(F$1,covid_hlookup,2, FALSE), FALSE), "No Data")</f>
        <v>No Data</v>
      </c>
      <c r="G11" s="14" t="str">
        <f>IFERROR( VLOOKUP( $C11,covid_vlookup,HLOOKUP(G$1,covid_hlookup,2, FALSE), FALSE), "No Data")</f>
        <v>No Data</v>
      </c>
      <c r="H11" s="2"/>
    </row>
    <row r="12">
      <c r="A12" s="3" t="s">
        <v>141</v>
      </c>
      <c r="B12" s="3" t="s">
        <v>142</v>
      </c>
      <c r="C12" s="3" t="s">
        <v>143</v>
      </c>
      <c r="D12" s="14" t="str">
        <f>IFERROR( VLOOKUP( $C12,covid_vlookup,HLOOKUP(D$1,covid_hlookup,2, FALSE), FALSE), "No Data")</f>
        <v>No Data</v>
      </c>
      <c r="E12" s="14" t="str">
        <f>IFERROR( VLOOKUP( $C12,covid_vlookup,HLOOKUP(E$1,covid_hlookup,2, FALSE), FALSE), "No Data")</f>
        <v>No Data</v>
      </c>
      <c r="F12" s="14" t="str">
        <f>IFERROR( VLOOKUP( $C12,covid_vlookup,HLOOKUP(F$1,covid_hlookup,2, FALSE), FALSE), "No Data")</f>
        <v>No Data</v>
      </c>
      <c r="G12" s="14" t="str">
        <f>IFERROR( VLOOKUP( $C12,covid_vlookup,HLOOKUP(G$1,covid_hlookup,2, FALSE), FALSE), "No Data")</f>
        <v>No Data</v>
      </c>
      <c r="H12" s="2"/>
    </row>
    <row r="13">
      <c r="A13" s="3" t="s">
        <v>27</v>
      </c>
      <c r="B13" s="3" t="s">
        <v>23</v>
      </c>
      <c r="C13" s="3" t="s">
        <v>28</v>
      </c>
      <c r="D13" s="14">
        <f>IFERROR( VLOOKUP( $C13,covid_vlookup,HLOOKUP(D$1,covid_hlookup,2, FALSE), FALSE), "No Data")</f>
        <v>1278619</v>
      </c>
      <c r="E13" s="14">
        <f>IFERROR( VLOOKUP( $C13,covid_vlookup,HLOOKUP(E$1,covid_hlookup,2, FALSE), FALSE), "No Data")</f>
        <v>13733</v>
      </c>
      <c r="F13" s="14">
        <f>IFERROR( VLOOKUP( $C13,covid_vlookup,HLOOKUP(F$1,covid_hlookup,2, FALSE), FALSE), "No Data")</f>
        <v>9043072</v>
      </c>
      <c r="G13" s="14">
        <f>IFERROR( VLOOKUP( $C13,covid_vlookup,HLOOKUP(G$1,covid_hlookup,2, FALSE), FALSE), "No Data")</f>
        <v>45436.686</v>
      </c>
      <c r="H13" s="2"/>
    </row>
    <row r="14">
      <c r="A14" s="3" t="s">
        <v>144</v>
      </c>
      <c r="B14" s="3" t="s">
        <v>122</v>
      </c>
      <c r="C14" s="3" t="s">
        <v>145</v>
      </c>
      <c r="D14" s="14" t="str">
        <f>IFERROR( VLOOKUP( $C14,covid_vlookup,HLOOKUP(D$1,covid_hlookup,2, FALSE), FALSE), "No Data")</f>
        <v>No Data</v>
      </c>
      <c r="E14" s="14" t="str">
        <f>IFERROR( VLOOKUP( $C14,covid_vlookup,HLOOKUP(E$1,covid_hlookup,2, FALSE), FALSE), "No Data")</f>
        <v>No Data</v>
      </c>
      <c r="F14" s="14" t="str">
        <f>IFERROR( VLOOKUP( $C14,covid_vlookup,HLOOKUP(F$1,covid_hlookup,2, FALSE), FALSE), "No Data")</f>
        <v>No Data</v>
      </c>
      <c r="G14" s="14" t="str">
        <f>IFERROR( VLOOKUP( $C14,covid_vlookup,HLOOKUP(G$1,covid_hlookup,2, FALSE), FALSE), "No Data")</f>
        <v>No Data</v>
      </c>
      <c r="H14" s="2"/>
    </row>
    <row r="15">
      <c r="A15" s="3" t="s">
        <v>146</v>
      </c>
      <c r="B15" s="3" t="s">
        <v>130</v>
      </c>
      <c r="C15" s="3" t="s">
        <v>147</v>
      </c>
      <c r="D15" s="14" t="str">
        <f>IFERROR( VLOOKUP( $C15,covid_vlookup,HLOOKUP(D$1,covid_hlookup,2, FALSE), FALSE), "No Data")</f>
        <v>No Data</v>
      </c>
      <c r="E15" s="14" t="str">
        <f>IFERROR( VLOOKUP( $C15,covid_vlookup,HLOOKUP(E$1,covid_hlookup,2, FALSE), FALSE), "No Data")</f>
        <v>No Data</v>
      </c>
      <c r="F15" s="14" t="str">
        <f>IFERROR( VLOOKUP( $C15,covid_vlookup,HLOOKUP(F$1,covid_hlookup,2, FALSE), FALSE), "No Data")</f>
        <v>No Data</v>
      </c>
      <c r="G15" s="14" t="str">
        <f>IFERROR( VLOOKUP( $C15,covid_vlookup,HLOOKUP(G$1,covid_hlookup,2, FALSE), FALSE), "No Data")</f>
        <v>No Data</v>
      </c>
      <c r="H15" s="2"/>
    </row>
    <row r="16">
      <c r="A16" s="3" t="s">
        <v>148</v>
      </c>
      <c r="B16" s="3" t="s">
        <v>122</v>
      </c>
      <c r="C16" s="3" t="s">
        <v>149</v>
      </c>
      <c r="D16" s="14" t="str">
        <f>IFERROR( VLOOKUP( $C16,covid_vlookup,HLOOKUP(D$1,covid_hlookup,2, FALSE), FALSE), "No Data")</f>
        <v>No Data</v>
      </c>
      <c r="E16" s="14" t="str">
        <f>IFERROR( VLOOKUP( $C16,covid_vlookup,HLOOKUP(E$1,covid_hlookup,2, FALSE), FALSE), "No Data")</f>
        <v>No Data</v>
      </c>
      <c r="F16" s="14" t="str">
        <f>IFERROR( VLOOKUP( $C16,covid_vlookup,HLOOKUP(F$1,covid_hlookup,2, FALSE), FALSE), "No Data")</f>
        <v>No Data</v>
      </c>
      <c r="G16" s="14" t="str">
        <f>IFERROR( VLOOKUP( $C16,covid_vlookup,HLOOKUP(G$1,covid_hlookup,2, FALSE), FALSE), "No Data")</f>
        <v>No Data</v>
      </c>
      <c r="H16" s="2"/>
    </row>
    <row r="17">
      <c r="A17" s="3" t="s">
        <v>150</v>
      </c>
      <c r="B17" s="3" t="s">
        <v>122</v>
      </c>
      <c r="C17" s="3" t="s">
        <v>151</v>
      </c>
      <c r="D17" s="14" t="str">
        <f>IFERROR( VLOOKUP( $C17,covid_vlookup,HLOOKUP(D$1,covid_hlookup,2, FALSE), FALSE), "No Data")</f>
        <v>No Data</v>
      </c>
      <c r="E17" s="14" t="str">
        <f>IFERROR( VLOOKUP( $C17,covid_vlookup,HLOOKUP(E$1,covid_hlookup,2, FALSE), FALSE), "No Data")</f>
        <v>No Data</v>
      </c>
      <c r="F17" s="14" t="str">
        <f>IFERROR( VLOOKUP( $C17,covid_vlookup,HLOOKUP(F$1,covid_hlookup,2, FALSE), FALSE), "No Data")</f>
        <v>No Data</v>
      </c>
      <c r="G17" s="14" t="str">
        <f>IFERROR( VLOOKUP( $C17,covid_vlookup,HLOOKUP(G$1,covid_hlookup,2, FALSE), FALSE), "No Data")</f>
        <v>No Data</v>
      </c>
      <c r="H17" s="2"/>
    </row>
    <row r="18">
      <c r="A18" s="3" t="s">
        <v>152</v>
      </c>
      <c r="B18" s="3" t="s">
        <v>130</v>
      </c>
      <c r="C18" s="3" t="s">
        <v>153</v>
      </c>
      <c r="D18" s="14" t="str">
        <f>IFERROR( VLOOKUP( $C18,covid_vlookup,HLOOKUP(D$1,covid_hlookup,2, FALSE), FALSE), "No Data")</f>
        <v>No Data</v>
      </c>
      <c r="E18" s="14" t="str">
        <f>IFERROR( VLOOKUP( $C18,covid_vlookup,HLOOKUP(E$1,covid_hlookup,2, FALSE), FALSE), "No Data")</f>
        <v>No Data</v>
      </c>
      <c r="F18" s="14" t="str">
        <f>IFERROR( VLOOKUP( $C18,covid_vlookup,HLOOKUP(F$1,covid_hlookup,2, FALSE), FALSE), "No Data")</f>
        <v>No Data</v>
      </c>
      <c r="G18" s="14" t="str">
        <f>IFERROR( VLOOKUP( $C18,covid_vlookup,HLOOKUP(G$1,covid_hlookup,2, FALSE), FALSE), "No Data")</f>
        <v>No Data</v>
      </c>
      <c r="H18" s="2"/>
    </row>
    <row r="19">
      <c r="A19" s="3" t="s">
        <v>35</v>
      </c>
      <c r="B19" s="3" t="s">
        <v>23</v>
      </c>
      <c r="C19" s="3" t="s">
        <v>36</v>
      </c>
      <c r="D19" s="14">
        <f>IFERROR( VLOOKUP( $C19,covid_vlookup,HLOOKUP(D$1,covid_hlookup,2, FALSE), FALSE), "No Data")</f>
        <v>699110</v>
      </c>
      <c r="E19" s="14">
        <f>IFERROR( VLOOKUP( $C19,covid_vlookup,HLOOKUP(E$1,covid_hlookup,2, FALSE), FALSE), "No Data")</f>
        <v>5578</v>
      </c>
      <c r="F19" s="14">
        <f>IFERROR( VLOOKUP( $C19,covid_vlookup,HLOOKUP(F$1,covid_hlookup,2, FALSE), FALSE), "No Data")</f>
        <v>9442867</v>
      </c>
      <c r="G19" s="14">
        <f>IFERROR( VLOOKUP( $C19,covid_vlookup,HLOOKUP(G$1,covid_hlookup,2, FALSE), FALSE), "No Data")</f>
        <v>17167.967</v>
      </c>
      <c r="H19" s="2"/>
    </row>
    <row r="20">
      <c r="A20" s="3" t="s">
        <v>29</v>
      </c>
      <c r="B20" s="3" t="s">
        <v>23</v>
      </c>
      <c r="C20" s="3" t="s">
        <v>30</v>
      </c>
      <c r="D20" s="14">
        <f>IFERROR( VLOOKUP( $C20,covid_vlookup,HLOOKUP(D$1,covid_hlookup,2, FALSE), FALSE), "No Data")</f>
        <v>2105343</v>
      </c>
      <c r="E20" s="14">
        <f>IFERROR( VLOOKUP( $C20,covid_vlookup,HLOOKUP(E$1,covid_hlookup,2, FALSE), FALSE), "No Data")</f>
        <v>28331</v>
      </c>
      <c r="F20" s="14">
        <f>IFERROR( VLOOKUP( $C20,covid_vlookup,HLOOKUP(F$1,covid_hlookup,2, FALSE), FALSE), "No Data")</f>
        <v>11632334</v>
      </c>
      <c r="G20" s="14">
        <f>IFERROR( VLOOKUP( $C20,covid_vlookup,HLOOKUP(G$1,covid_hlookup,2, FALSE), FALSE), "No Data")</f>
        <v>42658.576</v>
      </c>
      <c r="H20" s="2"/>
    </row>
    <row r="21">
      <c r="A21" s="3" t="s">
        <v>154</v>
      </c>
      <c r="B21" s="3" t="s">
        <v>130</v>
      </c>
      <c r="C21" s="3" t="s">
        <v>155</v>
      </c>
      <c r="D21" s="14" t="str">
        <f>IFERROR( VLOOKUP( $C21,covid_vlookup,HLOOKUP(D$1,covid_hlookup,2, FALSE), FALSE), "No Data")</f>
        <v>No Data</v>
      </c>
      <c r="E21" s="14" t="str">
        <f>IFERROR( VLOOKUP( $C21,covid_vlookup,HLOOKUP(E$1,covid_hlookup,2, FALSE), FALSE), "No Data")</f>
        <v>No Data</v>
      </c>
      <c r="F21" s="14" t="str">
        <f>IFERROR( VLOOKUP( $C21,covid_vlookup,HLOOKUP(F$1,covid_hlookup,2, FALSE), FALSE), "No Data")</f>
        <v>No Data</v>
      </c>
      <c r="G21" s="14" t="str">
        <f>IFERROR( VLOOKUP( $C21,covid_vlookup,HLOOKUP(G$1,covid_hlookup,2, FALSE), FALSE), "No Data")</f>
        <v>No Data</v>
      </c>
      <c r="H21" s="2"/>
    </row>
    <row r="22">
      <c r="A22" s="3" t="s">
        <v>156</v>
      </c>
      <c r="B22" s="3" t="s">
        <v>125</v>
      </c>
      <c r="C22" s="3" t="s">
        <v>157</v>
      </c>
      <c r="D22" s="14" t="str">
        <f>IFERROR( VLOOKUP( $C22,covid_vlookup,HLOOKUP(D$1,covid_hlookup,2, FALSE), FALSE), "No Data")</f>
        <v>No Data</v>
      </c>
      <c r="E22" s="14" t="str">
        <f>IFERROR( VLOOKUP( $C22,covid_vlookup,HLOOKUP(E$1,covid_hlookup,2, FALSE), FALSE), "No Data")</f>
        <v>No Data</v>
      </c>
      <c r="F22" s="14" t="str">
        <f>IFERROR( VLOOKUP( $C22,covid_vlookup,HLOOKUP(F$1,covid_hlookup,2, FALSE), FALSE), "No Data")</f>
        <v>No Data</v>
      </c>
      <c r="G22" s="14" t="str">
        <f>IFERROR( VLOOKUP( $C22,covid_vlookup,HLOOKUP(G$1,covid_hlookup,2, FALSE), FALSE), "No Data")</f>
        <v>No Data</v>
      </c>
      <c r="H22" s="2"/>
    </row>
    <row r="23">
      <c r="A23" s="3" t="s">
        <v>158</v>
      </c>
      <c r="B23" s="3" t="s">
        <v>130</v>
      </c>
      <c r="C23" s="3" t="s">
        <v>159</v>
      </c>
      <c r="D23" s="14" t="str">
        <f>IFERROR( VLOOKUP( $C23,covid_vlookup,HLOOKUP(D$1,covid_hlookup,2, FALSE), FALSE), "No Data")</f>
        <v>No Data</v>
      </c>
      <c r="E23" s="14" t="str">
        <f>IFERROR( VLOOKUP( $C23,covid_vlookup,HLOOKUP(E$1,covid_hlookup,2, FALSE), FALSE), "No Data")</f>
        <v>No Data</v>
      </c>
      <c r="F23" s="14" t="str">
        <f>IFERROR( VLOOKUP( $C23,covid_vlookup,HLOOKUP(F$1,covid_hlookup,2, FALSE), FALSE), "No Data")</f>
        <v>No Data</v>
      </c>
      <c r="G23" s="14" t="str">
        <f>IFERROR( VLOOKUP( $C23,covid_vlookup,HLOOKUP(G$1,covid_hlookup,2, FALSE), FALSE), "No Data")</f>
        <v>No Data</v>
      </c>
      <c r="H23" s="2"/>
    </row>
    <row r="24">
      <c r="A24" s="3" t="s">
        <v>160</v>
      </c>
      <c r="B24" s="3" t="s">
        <v>122</v>
      </c>
      <c r="C24" s="3" t="s">
        <v>161</v>
      </c>
      <c r="D24" s="14" t="str">
        <f>IFERROR( VLOOKUP( $C24,covid_vlookup,HLOOKUP(D$1,covid_hlookup,2, FALSE), FALSE), "No Data")</f>
        <v>No Data</v>
      </c>
      <c r="E24" s="14" t="str">
        <f>IFERROR( VLOOKUP( $C24,covid_vlookup,HLOOKUP(E$1,covid_hlookup,2, FALSE), FALSE), "No Data")</f>
        <v>No Data</v>
      </c>
      <c r="F24" s="14" t="str">
        <f>IFERROR( VLOOKUP( $C24,covid_vlookup,HLOOKUP(F$1,covid_hlookup,2, FALSE), FALSE), "No Data")</f>
        <v>No Data</v>
      </c>
      <c r="G24" s="14" t="str">
        <f>IFERROR( VLOOKUP( $C24,covid_vlookup,HLOOKUP(G$1,covid_hlookup,2, FALSE), FALSE), "No Data")</f>
        <v>No Data</v>
      </c>
      <c r="H24" s="2"/>
    </row>
    <row r="25">
      <c r="A25" s="3" t="s">
        <v>162</v>
      </c>
      <c r="B25" s="3" t="s">
        <v>135</v>
      </c>
      <c r="C25" s="3" t="s">
        <v>163</v>
      </c>
      <c r="D25" s="14" t="str">
        <f>IFERROR( VLOOKUP( $C25,covid_vlookup,HLOOKUP(D$1,covid_hlookup,2, FALSE), FALSE), "No Data")</f>
        <v>No Data</v>
      </c>
      <c r="E25" s="14" t="str">
        <f>IFERROR( VLOOKUP( $C25,covid_vlookup,HLOOKUP(E$1,covid_hlookup,2, FALSE), FALSE), "No Data")</f>
        <v>No Data</v>
      </c>
      <c r="F25" s="14" t="str">
        <f>IFERROR( VLOOKUP( $C25,covid_vlookup,HLOOKUP(F$1,covid_hlookup,2, FALSE), FALSE), "No Data")</f>
        <v>No Data</v>
      </c>
      <c r="G25" s="14" t="str">
        <f>IFERROR( VLOOKUP( $C25,covid_vlookup,HLOOKUP(G$1,covid_hlookup,2, FALSE), FALSE), "No Data")</f>
        <v>No Data</v>
      </c>
      <c r="H25" s="2"/>
    </row>
    <row r="26">
      <c r="A26" s="3" t="s">
        <v>164</v>
      </c>
      <c r="B26" s="3" t="s">
        <v>130</v>
      </c>
      <c r="C26" s="3" t="s">
        <v>165</v>
      </c>
      <c r="D26" s="14" t="str">
        <f>IFERROR( VLOOKUP( $C26,covid_vlookup,HLOOKUP(D$1,covid_hlookup,2, FALSE), FALSE), "No Data")</f>
        <v>No Data</v>
      </c>
      <c r="E26" s="14" t="str">
        <f>IFERROR( VLOOKUP( $C26,covid_vlookup,HLOOKUP(E$1,covid_hlookup,2, FALSE), FALSE), "No Data")</f>
        <v>No Data</v>
      </c>
      <c r="F26" s="14" t="str">
        <f>IFERROR( VLOOKUP( $C26,covid_vlookup,HLOOKUP(F$1,covid_hlookup,2, FALSE), FALSE), "No Data")</f>
        <v>No Data</v>
      </c>
      <c r="G26" s="14" t="str">
        <f>IFERROR( VLOOKUP( $C26,covid_vlookup,HLOOKUP(G$1,covid_hlookup,2, FALSE), FALSE), "No Data")</f>
        <v>No Data</v>
      </c>
      <c r="H26" s="2"/>
    </row>
    <row r="27">
      <c r="A27" s="3" t="s">
        <v>33</v>
      </c>
      <c r="B27" s="3" t="s">
        <v>23</v>
      </c>
      <c r="C27" s="3" t="s">
        <v>34</v>
      </c>
      <c r="D27" s="14">
        <f>IFERROR( VLOOKUP( $C27,covid_vlookup,HLOOKUP(D$1,covid_hlookup,2, FALSE), FALSE), "No Data")</f>
        <v>291313</v>
      </c>
      <c r="E27" s="14">
        <f>IFERROR( VLOOKUP( $C27,covid_vlookup,HLOOKUP(E$1,covid_hlookup,2, FALSE), FALSE), "No Data")</f>
        <v>13442</v>
      </c>
      <c r="F27" s="14">
        <f>IFERROR( VLOOKUP( $C27,covid_vlookup,HLOOKUP(F$1,covid_hlookup,2, FALSE), FALSE), "No Data")</f>
        <v>3263459</v>
      </c>
      <c r="G27" s="14">
        <f>IFERROR( VLOOKUP( $C27,covid_vlookup,HLOOKUP(G$1,covid_hlookup,2, FALSE), FALSE), "No Data")</f>
        <v>11713.895</v>
      </c>
      <c r="H27" s="2"/>
    </row>
    <row r="28">
      <c r="A28" s="3" t="s">
        <v>166</v>
      </c>
      <c r="B28" s="3" t="s">
        <v>125</v>
      </c>
      <c r="C28" s="3" t="s">
        <v>167</v>
      </c>
      <c r="D28" s="14" t="str">
        <f>IFERROR( VLOOKUP( $C28,covid_vlookup,HLOOKUP(D$1,covid_hlookup,2, FALSE), FALSE), "No Data")</f>
        <v>No Data</v>
      </c>
      <c r="E28" s="14" t="str">
        <f>IFERROR( VLOOKUP( $C28,covid_vlookup,HLOOKUP(E$1,covid_hlookup,2, FALSE), FALSE), "No Data")</f>
        <v>No Data</v>
      </c>
      <c r="F28" s="14" t="str">
        <f>IFERROR( VLOOKUP( $C28,covid_vlookup,HLOOKUP(F$1,covid_hlookup,2, FALSE), FALSE), "No Data")</f>
        <v>No Data</v>
      </c>
      <c r="G28" s="14" t="str">
        <f>IFERROR( VLOOKUP( $C28,covid_vlookup,HLOOKUP(G$1,covid_hlookup,2, FALSE), FALSE), "No Data")</f>
        <v>No Data</v>
      </c>
      <c r="H28" s="2"/>
    </row>
    <row r="29">
      <c r="A29" s="3" t="s">
        <v>168</v>
      </c>
      <c r="B29" s="3" t="s">
        <v>135</v>
      </c>
      <c r="C29" s="3" t="s">
        <v>169</v>
      </c>
      <c r="D29" s="14" t="str">
        <f>IFERROR( VLOOKUP( $C29,covid_vlookup,HLOOKUP(D$1,covid_hlookup,2, FALSE), FALSE), "No Data")</f>
        <v>No Data</v>
      </c>
      <c r="E29" s="14" t="str">
        <f>IFERROR( VLOOKUP( $C29,covid_vlookup,HLOOKUP(E$1,covid_hlookup,2, FALSE), FALSE), "No Data")</f>
        <v>No Data</v>
      </c>
      <c r="F29" s="14" t="str">
        <f>IFERROR( VLOOKUP( $C29,covid_vlookup,HLOOKUP(F$1,covid_hlookup,2, FALSE), FALSE), "No Data")</f>
        <v>No Data</v>
      </c>
      <c r="G29" s="14" t="str">
        <f>IFERROR( VLOOKUP( $C29,covid_vlookup,HLOOKUP(G$1,covid_hlookup,2, FALSE), FALSE), "No Data")</f>
        <v>No Data</v>
      </c>
      <c r="H29" s="2"/>
    </row>
    <row r="30">
      <c r="A30" s="3" t="s">
        <v>170</v>
      </c>
      <c r="B30" s="3" t="s">
        <v>130</v>
      </c>
      <c r="C30" s="3" t="s">
        <v>171</v>
      </c>
      <c r="D30" s="14" t="str">
        <f>IFERROR( VLOOKUP( $C30,covid_vlookup,HLOOKUP(D$1,covid_hlookup,2, FALSE), FALSE), "No Data")</f>
        <v>No Data</v>
      </c>
      <c r="E30" s="14" t="str">
        <f>IFERROR( VLOOKUP( $C30,covid_vlookup,HLOOKUP(E$1,covid_hlookup,2, FALSE), FALSE), "No Data")</f>
        <v>No Data</v>
      </c>
      <c r="F30" s="14" t="str">
        <f>IFERROR( VLOOKUP( $C30,covid_vlookup,HLOOKUP(F$1,covid_hlookup,2, FALSE), FALSE), "No Data")</f>
        <v>No Data</v>
      </c>
      <c r="G30" s="14" t="str">
        <f>IFERROR( VLOOKUP( $C30,covid_vlookup,HLOOKUP(G$1,covid_hlookup,2, FALSE), FALSE), "No Data")</f>
        <v>No Data</v>
      </c>
      <c r="H30" s="2"/>
    </row>
    <row r="31">
      <c r="A31" s="3" t="s">
        <v>172</v>
      </c>
      <c r="B31" s="3" t="s">
        <v>122</v>
      </c>
      <c r="C31" s="3" t="s">
        <v>173</v>
      </c>
      <c r="D31" s="14" t="str">
        <f>IFERROR( VLOOKUP( $C31,covid_vlookup,HLOOKUP(D$1,covid_hlookup,2, FALSE), FALSE), "No Data")</f>
        <v>No Data</v>
      </c>
      <c r="E31" s="14" t="str">
        <f>IFERROR( VLOOKUP( $C31,covid_vlookup,HLOOKUP(E$1,covid_hlookup,2, FALSE), FALSE), "No Data")</f>
        <v>No Data</v>
      </c>
      <c r="F31" s="14" t="str">
        <f>IFERROR( VLOOKUP( $C31,covid_vlookup,HLOOKUP(F$1,covid_hlookup,2, FALSE), FALSE), "No Data")</f>
        <v>No Data</v>
      </c>
      <c r="G31" s="14" t="str">
        <f>IFERROR( VLOOKUP( $C31,covid_vlookup,HLOOKUP(G$1,covid_hlookup,2, FALSE), FALSE), "No Data")</f>
        <v>No Data</v>
      </c>
      <c r="H31" s="2"/>
    </row>
    <row r="32">
      <c r="A32" s="3" t="s">
        <v>31</v>
      </c>
      <c r="B32" s="3" t="s">
        <v>23</v>
      </c>
      <c r="C32" s="3" t="s">
        <v>32</v>
      </c>
      <c r="D32" s="14">
        <f>IFERROR( VLOOKUP( $C32,covid_vlookup,HLOOKUP(D$1,covid_hlookup,2, FALSE), FALSE), "No Data")</f>
        <v>747108</v>
      </c>
      <c r="E32" s="14">
        <f>IFERROR( VLOOKUP( $C32,covid_vlookup,HLOOKUP(E$1,covid_hlookup,2, FALSE), FALSE), "No Data")</f>
        <v>30955</v>
      </c>
      <c r="F32" s="14">
        <f>IFERROR( VLOOKUP( $C32,covid_vlookup,HLOOKUP(F$1,covid_hlookup,2, FALSE), FALSE), "No Data")</f>
        <v>6896655</v>
      </c>
      <c r="G32" s="14">
        <f>IFERROR( VLOOKUP( $C32,covid_vlookup,HLOOKUP(G$1,covid_hlookup,2, FALSE), FALSE), "No Data")</f>
        <v>18563.307</v>
      </c>
      <c r="H32" s="2"/>
    </row>
    <row r="33">
      <c r="A33" s="3" t="s">
        <v>174</v>
      </c>
      <c r="B33" s="3" t="s">
        <v>125</v>
      </c>
      <c r="C33" s="3" t="s">
        <v>175</v>
      </c>
      <c r="D33" s="14" t="str">
        <f>IFERROR( VLOOKUP( $C33,covid_vlookup,HLOOKUP(D$1,covid_hlookup,2, FALSE), FALSE), "No Data")</f>
        <v>No Data</v>
      </c>
      <c r="E33" s="14" t="str">
        <f>IFERROR( VLOOKUP( $C33,covid_vlookup,HLOOKUP(E$1,covid_hlookup,2, FALSE), FALSE), "No Data")</f>
        <v>No Data</v>
      </c>
      <c r="F33" s="14" t="str">
        <f>IFERROR( VLOOKUP( $C33,covid_vlookup,HLOOKUP(F$1,covid_hlookup,2, FALSE), FALSE), "No Data")</f>
        <v>No Data</v>
      </c>
      <c r="G33" s="14" t="str">
        <f>IFERROR( VLOOKUP( $C33,covid_vlookup,HLOOKUP(G$1,covid_hlookup,2, FALSE), FALSE), "No Data")</f>
        <v>No Data</v>
      </c>
      <c r="H33" s="2"/>
    </row>
    <row r="34">
      <c r="A34" s="3" t="s">
        <v>176</v>
      </c>
      <c r="B34" s="3" t="s">
        <v>125</v>
      </c>
      <c r="C34" s="3" t="s">
        <v>177</v>
      </c>
      <c r="D34" s="14" t="str">
        <f>IFERROR( VLOOKUP( $C34,covid_vlookup,HLOOKUP(D$1,covid_hlookup,2, FALSE), FALSE), "No Data")</f>
        <v>No Data</v>
      </c>
      <c r="E34" s="14" t="str">
        <f>IFERROR( VLOOKUP( $C34,covid_vlookup,HLOOKUP(E$1,covid_hlookup,2, FALSE), FALSE), "No Data")</f>
        <v>No Data</v>
      </c>
      <c r="F34" s="14" t="str">
        <f>IFERROR( VLOOKUP( $C34,covid_vlookup,HLOOKUP(F$1,covid_hlookup,2, FALSE), FALSE), "No Data")</f>
        <v>No Data</v>
      </c>
      <c r="G34" s="14" t="str">
        <f>IFERROR( VLOOKUP( $C34,covid_vlookup,HLOOKUP(G$1,covid_hlookup,2, FALSE), FALSE), "No Data")</f>
        <v>No Data</v>
      </c>
      <c r="H34" s="2"/>
    </row>
    <row r="35">
      <c r="A35" s="3" t="s">
        <v>178</v>
      </c>
      <c r="B35" s="3" t="s">
        <v>122</v>
      </c>
      <c r="C35" s="3" t="s">
        <v>179</v>
      </c>
      <c r="D35" s="14" t="str">
        <f>IFERROR( VLOOKUP( $C35,covid_vlookup,HLOOKUP(D$1,covid_hlookup,2, FALSE), FALSE), "No Data")</f>
        <v>No Data</v>
      </c>
      <c r="E35" s="14" t="str">
        <f>IFERROR( VLOOKUP( $C35,covid_vlookup,HLOOKUP(E$1,covid_hlookup,2, FALSE), FALSE), "No Data")</f>
        <v>No Data</v>
      </c>
      <c r="F35" s="14" t="str">
        <f>IFERROR( VLOOKUP( $C35,covid_vlookup,HLOOKUP(F$1,covid_hlookup,2, FALSE), FALSE), "No Data")</f>
        <v>No Data</v>
      </c>
      <c r="G35" s="14" t="str">
        <f>IFERROR( VLOOKUP( $C35,covid_vlookup,HLOOKUP(G$1,covid_hlookup,2, FALSE), FALSE), "No Data")</f>
        <v>No Data</v>
      </c>
      <c r="H35" s="2"/>
    </row>
    <row r="36">
      <c r="A36" s="3" t="s">
        <v>180</v>
      </c>
      <c r="B36" s="3" t="s">
        <v>125</v>
      </c>
      <c r="C36" s="3" t="s">
        <v>181</v>
      </c>
      <c r="D36" s="14" t="str">
        <f>IFERROR( VLOOKUP( $C36,covid_vlookup,HLOOKUP(D$1,covid_hlookup,2, FALSE), FALSE), "No Data")</f>
        <v>No Data</v>
      </c>
      <c r="E36" s="14" t="str">
        <f>IFERROR( VLOOKUP( $C36,covid_vlookup,HLOOKUP(E$1,covid_hlookup,2, FALSE), FALSE), "No Data")</f>
        <v>No Data</v>
      </c>
      <c r="F36" s="14" t="str">
        <f>IFERROR( VLOOKUP( $C36,covid_vlookup,HLOOKUP(F$1,covid_hlookup,2, FALSE), FALSE), "No Data")</f>
        <v>No Data</v>
      </c>
      <c r="G36" s="14" t="str">
        <f>IFERROR( VLOOKUP( $C36,covid_vlookup,HLOOKUP(G$1,covid_hlookup,2, FALSE), FALSE), "No Data")</f>
        <v>No Data</v>
      </c>
      <c r="H36" s="2"/>
    </row>
    <row r="37">
      <c r="A37" s="3" t="s">
        <v>182</v>
      </c>
      <c r="B37" s="3" t="s">
        <v>130</v>
      </c>
      <c r="C37" s="3" t="s">
        <v>183</v>
      </c>
      <c r="D37" s="14" t="str">
        <f>IFERROR( VLOOKUP( $C37,covid_vlookup,HLOOKUP(D$1,covid_hlookup,2, FALSE), FALSE), "No Data")</f>
        <v>No Data</v>
      </c>
      <c r="E37" s="14" t="str">
        <f>IFERROR( VLOOKUP( $C37,covid_vlookup,HLOOKUP(E$1,covid_hlookup,2, FALSE), FALSE), "No Data")</f>
        <v>No Data</v>
      </c>
      <c r="F37" s="14" t="str">
        <f>IFERROR( VLOOKUP( $C37,covid_vlookup,HLOOKUP(F$1,covid_hlookup,2, FALSE), FALSE), "No Data")</f>
        <v>No Data</v>
      </c>
      <c r="G37" s="14" t="str">
        <f>IFERROR( VLOOKUP( $C37,covid_vlookup,HLOOKUP(G$1,covid_hlookup,2, FALSE), FALSE), "No Data")</f>
        <v>No Data</v>
      </c>
      <c r="H37" s="2"/>
    </row>
    <row r="38">
      <c r="A38" s="3" t="s">
        <v>184</v>
      </c>
      <c r="B38" s="3" t="s">
        <v>125</v>
      </c>
      <c r="C38" s="3" t="s">
        <v>185</v>
      </c>
      <c r="D38" s="14" t="str">
        <f>IFERROR( VLOOKUP( $C38,covid_vlookup,HLOOKUP(D$1,covid_hlookup,2, FALSE), FALSE), "No Data")</f>
        <v>No Data</v>
      </c>
      <c r="E38" s="14" t="str">
        <f>IFERROR( VLOOKUP( $C38,covid_vlookup,HLOOKUP(E$1,covid_hlookup,2, FALSE), FALSE), "No Data")</f>
        <v>No Data</v>
      </c>
      <c r="F38" s="14" t="str">
        <f>IFERROR( VLOOKUP( $C38,covid_vlookup,HLOOKUP(F$1,covid_hlookup,2, FALSE), FALSE), "No Data")</f>
        <v>No Data</v>
      </c>
      <c r="G38" s="14" t="str">
        <f>IFERROR( VLOOKUP( $C38,covid_vlookup,HLOOKUP(G$1,covid_hlookup,2, FALSE), FALSE), "No Data")</f>
        <v>No Data</v>
      </c>
      <c r="H38" s="2"/>
    </row>
    <row r="39">
      <c r="A39" s="3" t="s">
        <v>186</v>
      </c>
      <c r="B39" s="3" t="s">
        <v>130</v>
      </c>
      <c r="C39" s="3" t="s">
        <v>187</v>
      </c>
      <c r="D39" s="14" t="str">
        <f>IFERROR( VLOOKUP( $C39,covid_vlookup,HLOOKUP(D$1,covid_hlookup,2, FALSE), FALSE), "No Data")</f>
        <v>No Data</v>
      </c>
      <c r="E39" s="14" t="str">
        <f>IFERROR( VLOOKUP( $C39,covid_vlookup,HLOOKUP(E$1,covid_hlookup,2, FALSE), FALSE), "No Data")</f>
        <v>No Data</v>
      </c>
      <c r="F39" s="14" t="str">
        <f>IFERROR( VLOOKUP( $C39,covid_vlookup,HLOOKUP(F$1,covid_hlookup,2, FALSE), FALSE), "No Data")</f>
        <v>No Data</v>
      </c>
      <c r="G39" s="14" t="str">
        <f>IFERROR( VLOOKUP( $C39,covid_vlookup,HLOOKUP(G$1,covid_hlookup,2, FALSE), FALSE), "No Data")</f>
        <v>No Data</v>
      </c>
      <c r="H39" s="2"/>
    </row>
    <row r="40">
      <c r="A40" s="3" t="s">
        <v>188</v>
      </c>
      <c r="B40" s="3" t="s">
        <v>125</v>
      </c>
      <c r="C40" s="3" t="s">
        <v>189</v>
      </c>
      <c r="D40" s="14" t="str">
        <f>IFERROR( VLOOKUP( $C40,covid_vlookup,HLOOKUP(D$1,covid_hlookup,2, FALSE), FALSE), "No Data")</f>
        <v>No Data</v>
      </c>
      <c r="E40" s="14" t="str">
        <f>IFERROR( VLOOKUP( $C40,covid_vlookup,HLOOKUP(E$1,covid_hlookup,2, FALSE), FALSE), "No Data")</f>
        <v>No Data</v>
      </c>
      <c r="F40" s="14" t="str">
        <f>IFERROR( VLOOKUP( $C40,covid_vlookup,HLOOKUP(F$1,covid_hlookup,2, FALSE), FALSE), "No Data")</f>
        <v>No Data</v>
      </c>
      <c r="G40" s="14" t="str">
        <f>IFERROR( VLOOKUP( $C40,covid_vlookup,HLOOKUP(G$1,covid_hlookup,2, FALSE), FALSE), "No Data")</f>
        <v>No Data</v>
      </c>
      <c r="H40" s="2"/>
    </row>
    <row r="41">
      <c r="A41" s="3" t="s">
        <v>190</v>
      </c>
      <c r="B41" s="3" t="s">
        <v>125</v>
      </c>
      <c r="C41" s="3" t="s">
        <v>191</v>
      </c>
      <c r="D41" s="14" t="str">
        <f>IFERROR( VLOOKUP( $C41,covid_vlookup,HLOOKUP(D$1,covid_hlookup,2, FALSE), FALSE), "No Data")</f>
        <v>No Data</v>
      </c>
      <c r="E41" s="14" t="str">
        <f>IFERROR( VLOOKUP( $C41,covid_vlookup,HLOOKUP(E$1,covid_hlookup,2, FALSE), FALSE), "No Data")</f>
        <v>No Data</v>
      </c>
      <c r="F41" s="14" t="str">
        <f>IFERROR( VLOOKUP( $C41,covid_vlookup,HLOOKUP(F$1,covid_hlookup,2, FALSE), FALSE), "No Data")</f>
        <v>No Data</v>
      </c>
      <c r="G41" s="14" t="str">
        <f>IFERROR( VLOOKUP( $C41,covid_vlookup,HLOOKUP(G$1,covid_hlookup,2, FALSE), FALSE), "No Data")</f>
        <v>No Data</v>
      </c>
      <c r="H41" s="2"/>
    </row>
    <row r="42">
      <c r="A42" s="3" t="s">
        <v>192</v>
      </c>
      <c r="B42" s="3" t="s">
        <v>135</v>
      </c>
      <c r="C42" s="3" t="s">
        <v>193</v>
      </c>
      <c r="D42" s="14" t="str">
        <f>IFERROR( VLOOKUP( $C42,covid_vlookup,HLOOKUP(D$1,covid_hlookup,2, FALSE), FALSE), "No Data")</f>
        <v>No Data</v>
      </c>
      <c r="E42" s="14" t="str">
        <f>IFERROR( VLOOKUP( $C42,covid_vlookup,HLOOKUP(E$1,covid_hlookup,2, FALSE), FALSE), "No Data")</f>
        <v>No Data</v>
      </c>
      <c r="F42" s="14" t="str">
        <f>IFERROR( VLOOKUP( $C42,covid_vlookup,HLOOKUP(F$1,covid_hlookup,2, FALSE), FALSE), "No Data")</f>
        <v>No Data</v>
      </c>
      <c r="G42" s="14" t="str">
        <f>IFERROR( VLOOKUP( $C42,covid_vlookup,HLOOKUP(G$1,covid_hlookup,2, FALSE), FALSE), "No Data")</f>
        <v>No Data</v>
      </c>
      <c r="H42" s="2"/>
    </row>
    <row r="43">
      <c r="A43" s="3" t="s">
        <v>194</v>
      </c>
      <c r="B43" s="3" t="s">
        <v>122</v>
      </c>
      <c r="C43" s="3" t="s">
        <v>195</v>
      </c>
      <c r="D43" s="14" t="str">
        <f>IFERROR( VLOOKUP( $C43,covid_vlookup,HLOOKUP(D$1,covid_hlookup,2, FALSE), FALSE), "No Data")</f>
        <v>No Data</v>
      </c>
      <c r="E43" s="14" t="str">
        <f>IFERROR( VLOOKUP( $C43,covid_vlookup,HLOOKUP(E$1,covid_hlookup,2, FALSE), FALSE), "No Data")</f>
        <v>No Data</v>
      </c>
      <c r="F43" s="14" t="str">
        <f>IFERROR( VLOOKUP( $C43,covid_vlookup,HLOOKUP(F$1,covid_hlookup,2, FALSE), FALSE), "No Data")</f>
        <v>No Data</v>
      </c>
      <c r="G43" s="14" t="str">
        <f>IFERROR( VLOOKUP( $C43,covid_vlookup,HLOOKUP(G$1,covid_hlookup,2, FALSE), FALSE), "No Data")</f>
        <v>No Data</v>
      </c>
      <c r="H43" s="2"/>
    </row>
    <row r="44">
      <c r="A44" s="3" t="s">
        <v>196</v>
      </c>
      <c r="B44" s="3" t="s">
        <v>135</v>
      </c>
      <c r="C44" s="3" t="s">
        <v>197</v>
      </c>
      <c r="D44" s="14" t="str">
        <f>IFERROR( VLOOKUP( $C44,covid_vlookup,HLOOKUP(D$1,covid_hlookup,2, FALSE), FALSE), "No Data")</f>
        <v>No Data</v>
      </c>
      <c r="E44" s="14" t="str">
        <f>IFERROR( VLOOKUP( $C44,covid_vlookup,HLOOKUP(E$1,covid_hlookup,2, FALSE), FALSE), "No Data")</f>
        <v>No Data</v>
      </c>
      <c r="F44" s="14" t="str">
        <f>IFERROR( VLOOKUP( $C44,covid_vlookup,HLOOKUP(F$1,covid_hlookup,2, FALSE), FALSE), "No Data")</f>
        <v>No Data</v>
      </c>
      <c r="G44" s="14" t="str">
        <f>IFERROR( VLOOKUP( $C44,covid_vlookup,HLOOKUP(G$1,covid_hlookup,2, FALSE), FALSE), "No Data")</f>
        <v>No Data</v>
      </c>
      <c r="H44" s="2"/>
    </row>
    <row r="45">
      <c r="A45" s="3" t="s">
        <v>198</v>
      </c>
      <c r="B45" s="3" t="s">
        <v>125</v>
      </c>
      <c r="C45" s="3" t="s">
        <v>199</v>
      </c>
      <c r="D45" s="14" t="str">
        <f>IFERROR( VLOOKUP( $C45,covid_vlookup,HLOOKUP(D$1,covid_hlookup,2, FALSE), FALSE), "No Data")</f>
        <v>No Data</v>
      </c>
      <c r="E45" s="14" t="str">
        <f>IFERROR( VLOOKUP( $C45,covid_vlookup,HLOOKUP(E$1,covid_hlookup,2, FALSE), FALSE), "No Data")</f>
        <v>No Data</v>
      </c>
      <c r="F45" s="14" t="str">
        <f>IFERROR( VLOOKUP( $C45,covid_vlookup,HLOOKUP(F$1,covid_hlookup,2, FALSE), FALSE), "No Data")</f>
        <v>No Data</v>
      </c>
      <c r="G45" s="14" t="str">
        <f>IFERROR( VLOOKUP( $C45,covid_vlookup,HLOOKUP(G$1,covid_hlookup,2, FALSE), FALSE), "No Data")</f>
        <v>No Data</v>
      </c>
      <c r="H45" s="2"/>
    </row>
    <row r="46">
      <c r="A46" s="3" t="s">
        <v>200</v>
      </c>
      <c r="B46" s="3" t="s">
        <v>125</v>
      </c>
      <c r="C46" s="3" t="s">
        <v>201</v>
      </c>
      <c r="D46" s="14" t="str">
        <f>IFERROR( VLOOKUP( $C46,covid_vlookup,HLOOKUP(D$1,covid_hlookup,2, FALSE), FALSE), "No Data")</f>
        <v>No Data</v>
      </c>
      <c r="E46" s="14" t="str">
        <f>IFERROR( VLOOKUP( $C46,covid_vlookup,HLOOKUP(E$1,covid_hlookup,2, FALSE), FALSE), "No Data")</f>
        <v>No Data</v>
      </c>
      <c r="F46" s="14" t="str">
        <f>IFERROR( VLOOKUP( $C46,covid_vlookup,HLOOKUP(F$1,covid_hlookup,2, FALSE), FALSE), "No Data")</f>
        <v>No Data</v>
      </c>
      <c r="G46" s="14" t="str">
        <f>IFERROR( VLOOKUP( $C46,covid_vlookup,HLOOKUP(G$1,covid_hlookup,2, FALSE), FALSE), "No Data")</f>
        <v>No Data</v>
      </c>
      <c r="H46" s="2"/>
    </row>
    <row r="47">
      <c r="A47" s="3" t="s">
        <v>202</v>
      </c>
      <c r="B47" s="3" t="s">
        <v>130</v>
      </c>
      <c r="C47" s="3" t="s">
        <v>203</v>
      </c>
      <c r="D47" s="14" t="str">
        <f>IFERROR( VLOOKUP( $C47,covid_vlookup,HLOOKUP(D$1,covid_hlookup,2, FALSE), FALSE), "No Data")</f>
        <v>No Data</v>
      </c>
      <c r="E47" s="14" t="str">
        <f>IFERROR( VLOOKUP( $C47,covid_vlookup,HLOOKUP(E$1,covid_hlookup,2, FALSE), FALSE), "No Data")</f>
        <v>No Data</v>
      </c>
      <c r="F47" s="14" t="str">
        <f>IFERROR( VLOOKUP( $C47,covid_vlookup,HLOOKUP(F$1,covid_hlookup,2, FALSE), FALSE), "No Data")</f>
        <v>No Data</v>
      </c>
      <c r="G47" s="14" t="str">
        <f>IFERROR( VLOOKUP( $C47,covid_vlookup,HLOOKUP(G$1,covid_hlookup,2, FALSE), FALSE), "No Data")</f>
        <v>No Data</v>
      </c>
      <c r="H47" s="2"/>
    </row>
    <row r="48">
      <c r="A48" s="3" t="s">
        <v>204</v>
      </c>
      <c r="B48" s="3" t="s">
        <v>125</v>
      </c>
      <c r="C48" s="3" t="s">
        <v>205</v>
      </c>
      <c r="D48" s="14" t="str">
        <f>IFERROR( VLOOKUP( $C48,covid_vlookup,HLOOKUP(D$1,covid_hlookup,2, FALSE), FALSE), "No Data")</f>
        <v>No Data</v>
      </c>
      <c r="E48" s="14" t="str">
        <f>IFERROR( VLOOKUP( $C48,covid_vlookup,HLOOKUP(E$1,covid_hlookup,2, FALSE), FALSE), "No Data")</f>
        <v>No Data</v>
      </c>
      <c r="F48" s="14" t="str">
        <f>IFERROR( VLOOKUP( $C48,covid_vlookup,HLOOKUP(F$1,covid_hlookup,2, FALSE), FALSE), "No Data")</f>
        <v>No Data</v>
      </c>
      <c r="G48" s="14" t="str">
        <f>IFERROR( VLOOKUP( $C48,covid_vlookup,HLOOKUP(G$1,covid_hlookup,2, FALSE), FALSE), "No Data")</f>
        <v>No Data</v>
      </c>
      <c r="H48" s="2"/>
    </row>
    <row r="49">
      <c r="A49" s="3" t="s">
        <v>63</v>
      </c>
      <c r="B49" s="3" t="s">
        <v>23</v>
      </c>
      <c r="C49" s="3" t="s">
        <v>64</v>
      </c>
      <c r="D49" s="14">
        <f>IFERROR( VLOOKUP( $C49,covid_vlookup,HLOOKUP(D$1,covid_hlookup,2, FALSE), FALSE), "No Data")</f>
        <v>715245</v>
      </c>
      <c r="E49" s="14">
        <f>IFERROR( VLOOKUP( $C49,covid_vlookup,HLOOKUP(E$1,covid_hlookup,2, FALSE), FALSE), "No Data")</f>
        <v>12538</v>
      </c>
      <c r="F49" s="14">
        <f>IFERROR( VLOOKUP( $C49,covid_vlookup,HLOOKUP(F$1,covid_hlookup,2, FALSE), FALSE), "No Data")</f>
        <v>4081657</v>
      </c>
      <c r="G49" s="14">
        <f>IFERROR( VLOOKUP( $C49,covid_vlookup,HLOOKUP(G$1,covid_hlookup,2, FALSE), FALSE), "No Data")</f>
        <v>22669.797</v>
      </c>
      <c r="H49" s="2"/>
    </row>
    <row r="50">
      <c r="A50" s="3" t="s">
        <v>206</v>
      </c>
      <c r="B50" s="3" t="s">
        <v>130</v>
      </c>
      <c r="C50" s="3" t="s">
        <v>207</v>
      </c>
      <c r="D50" s="14" t="str">
        <f>IFERROR( VLOOKUP( $C50,covid_vlookup,HLOOKUP(D$1,covid_hlookup,2, FALSE), FALSE), "No Data")</f>
        <v>No Data</v>
      </c>
      <c r="E50" s="14" t="str">
        <f>IFERROR( VLOOKUP( $C50,covid_vlookup,HLOOKUP(E$1,covid_hlookup,2, FALSE), FALSE), "No Data")</f>
        <v>No Data</v>
      </c>
      <c r="F50" s="14" t="str">
        <f>IFERROR( VLOOKUP( $C50,covid_vlookup,HLOOKUP(F$1,covid_hlookup,2, FALSE), FALSE), "No Data")</f>
        <v>No Data</v>
      </c>
      <c r="G50" s="14" t="str">
        <f>IFERROR( VLOOKUP( $C50,covid_vlookup,HLOOKUP(G$1,covid_hlookup,2, FALSE), FALSE), "No Data")</f>
        <v>No Data</v>
      </c>
      <c r="H50" s="2"/>
    </row>
    <row r="51">
      <c r="A51" s="3" t="s">
        <v>208</v>
      </c>
      <c r="B51" s="3" t="s">
        <v>130</v>
      </c>
      <c r="C51" s="3" t="s">
        <v>209</v>
      </c>
      <c r="D51" s="14" t="str">
        <f>IFERROR( VLOOKUP( $C51,covid_vlookup,HLOOKUP(D$1,covid_hlookup,2, FALSE), FALSE), "No Data")</f>
        <v>No Data</v>
      </c>
      <c r="E51" s="14" t="str">
        <f>IFERROR( VLOOKUP( $C51,covid_vlookup,HLOOKUP(E$1,covid_hlookup,2, FALSE), FALSE), "No Data")</f>
        <v>No Data</v>
      </c>
      <c r="F51" s="14" t="str">
        <f>IFERROR( VLOOKUP( $C51,covid_vlookup,HLOOKUP(F$1,covid_hlookup,2, FALSE), FALSE), "No Data")</f>
        <v>No Data</v>
      </c>
      <c r="G51" s="14" t="str">
        <f>IFERROR( VLOOKUP( $C51,covid_vlookup,HLOOKUP(G$1,covid_hlookup,2, FALSE), FALSE), "No Data")</f>
        <v>No Data</v>
      </c>
      <c r="H51" s="2"/>
    </row>
    <row r="52">
      <c r="A52" s="3" t="s">
        <v>39</v>
      </c>
      <c r="B52" s="3" t="s">
        <v>23</v>
      </c>
      <c r="C52" s="3" t="s">
        <v>210</v>
      </c>
      <c r="D52" s="14" t="str">
        <f>IFERROR( VLOOKUP( $C52,covid_vlookup,HLOOKUP(D$1,covid_hlookup,2, FALSE), FALSE), "No Data")</f>
        <v>No Data</v>
      </c>
      <c r="E52" s="14" t="str">
        <f>IFERROR( VLOOKUP( $C52,covid_vlookup,HLOOKUP(E$1,covid_hlookup,2, FALSE), FALSE), "No Data")</f>
        <v>No Data</v>
      </c>
      <c r="F52" s="14" t="str">
        <f>IFERROR( VLOOKUP( $C52,covid_vlookup,HLOOKUP(F$1,covid_hlookup,2, FALSE), FALSE), "No Data")</f>
        <v>No Data</v>
      </c>
      <c r="G52" s="14" t="str">
        <f>IFERROR( VLOOKUP( $C52,covid_vlookup,HLOOKUP(G$1,covid_hlookup,2, FALSE), FALSE), "No Data")</f>
        <v>No Data</v>
      </c>
      <c r="H52" s="2"/>
    </row>
    <row r="53">
      <c r="A53" s="3" t="s">
        <v>211</v>
      </c>
      <c r="B53" s="3" t="s">
        <v>125</v>
      </c>
      <c r="C53" s="3" t="s">
        <v>212</v>
      </c>
      <c r="D53" s="14" t="str">
        <f>IFERROR( VLOOKUP( $C53,covid_vlookup,HLOOKUP(D$1,covid_hlookup,2, FALSE), FALSE), "No Data")</f>
        <v>No Data</v>
      </c>
      <c r="E53" s="14" t="str">
        <f>IFERROR( VLOOKUP( $C53,covid_vlookup,HLOOKUP(E$1,covid_hlookup,2, FALSE), FALSE), "No Data")</f>
        <v>No Data</v>
      </c>
      <c r="F53" s="14" t="str">
        <f>IFERROR( VLOOKUP( $C53,covid_vlookup,HLOOKUP(F$1,covid_hlookup,2, FALSE), FALSE), "No Data")</f>
        <v>No Data</v>
      </c>
      <c r="G53" s="14" t="str">
        <f>IFERROR( VLOOKUP( $C53,covid_vlookup,HLOOKUP(G$1,covid_hlookup,2, FALSE), FALSE), "No Data")</f>
        <v>No Data</v>
      </c>
      <c r="H53" s="2"/>
    </row>
    <row r="54">
      <c r="A54" s="3" t="s">
        <v>43</v>
      </c>
      <c r="B54" s="3" t="s">
        <v>23</v>
      </c>
      <c r="C54" s="3" t="s">
        <v>44</v>
      </c>
      <c r="D54" s="14">
        <f>IFERROR( VLOOKUP( $C54,covid_vlookup,HLOOKUP(D$1,covid_hlookup,2, FALSE), FALSE), "No Data")</f>
        <v>802397</v>
      </c>
      <c r="E54" s="14">
        <f>IFERROR( VLOOKUP( $C54,covid_vlookup,HLOOKUP(E$1,covid_hlookup,2, FALSE), FALSE), "No Data")</f>
        <v>3207</v>
      </c>
      <c r="F54" s="14">
        <f>IFERROR( VLOOKUP( $C54,covid_vlookup,HLOOKUP(F$1,covid_hlookup,2, FALSE), FALSE), "No Data")</f>
        <v>5813302</v>
      </c>
      <c r="G54" s="14">
        <f>IFERROR( VLOOKUP( $C54,covid_vlookup,HLOOKUP(G$1,covid_hlookup,2, FALSE), FALSE), "No Data")</f>
        <v>46682.515</v>
      </c>
      <c r="H54" s="2"/>
    </row>
    <row r="55">
      <c r="A55" s="3" t="s">
        <v>213</v>
      </c>
      <c r="B55" s="3" t="s">
        <v>125</v>
      </c>
      <c r="C55" s="3" t="s">
        <v>214</v>
      </c>
      <c r="D55" s="14" t="str">
        <f>IFERROR( VLOOKUP( $C55,covid_vlookup,HLOOKUP(D$1,covid_hlookup,2, FALSE), FALSE), "No Data")</f>
        <v>No Data</v>
      </c>
      <c r="E55" s="14" t="str">
        <f>IFERROR( VLOOKUP( $C55,covid_vlookup,HLOOKUP(E$1,covid_hlookup,2, FALSE), FALSE), "No Data")</f>
        <v>No Data</v>
      </c>
      <c r="F55" s="14" t="str">
        <f>IFERROR( VLOOKUP( $C55,covid_vlookup,HLOOKUP(F$1,covid_hlookup,2, FALSE), FALSE), "No Data")</f>
        <v>No Data</v>
      </c>
      <c r="G55" s="14" t="str">
        <f>IFERROR( VLOOKUP( $C55,covid_vlookup,HLOOKUP(G$1,covid_hlookup,2, FALSE), FALSE), "No Data")</f>
        <v>No Data</v>
      </c>
      <c r="H55" s="2"/>
    </row>
    <row r="56">
      <c r="A56" s="3" t="s">
        <v>215</v>
      </c>
      <c r="B56" s="3" t="s">
        <v>130</v>
      </c>
      <c r="C56" s="3" t="s">
        <v>216</v>
      </c>
      <c r="D56" s="14" t="str">
        <f>IFERROR( VLOOKUP( $C56,covid_vlookup,HLOOKUP(D$1,covid_hlookup,2, FALSE), FALSE), "No Data")</f>
        <v>No Data</v>
      </c>
      <c r="E56" s="14" t="str">
        <f>IFERROR( VLOOKUP( $C56,covid_vlookup,HLOOKUP(E$1,covid_hlookup,2, FALSE), FALSE), "No Data")</f>
        <v>No Data</v>
      </c>
      <c r="F56" s="14" t="str">
        <f>IFERROR( VLOOKUP( $C56,covid_vlookup,HLOOKUP(F$1,covid_hlookup,2, FALSE), FALSE), "No Data")</f>
        <v>No Data</v>
      </c>
      <c r="G56" s="14" t="str">
        <f>IFERROR( VLOOKUP( $C56,covid_vlookup,HLOOKUP(G$1,covid_hlookup,2, FALSE), FALSE), "No Data")</f>
        <v>No Data</v>
      </c>
      <c r="H56" s="2"/>
    </row>
    <row r="57">
      <c r="A57" s="3" t="s">
        <v>217</v>
      </c>
      <c r="B57" s="3" t="s">
        <v>130</v>
      </c>
      <c r="C57" s="3" t="s">
        <v>218</v>
      </c>
      <c r="D57" s="14" t="str">
        <f>IFERROR( VLOOKUP( $C57,covid_vlookup,HLOOKUP(D$1,covid_hlookup,2, FALSE), FALSE), "No Data")</f>
        <v>No Data</v>
      </c>
      <c r="E57" s="14" t="str">
        <f>IFERROR( VLOOKUP( $C57,covid_vlookup,HLOOKUP(E$1,covid_hlookup,2, FALSE), FALSE), "No Data")</f>
        <v>No Data</v>
      </c>
      <c r="F57" s="14" t="str">
        <f>IFERROR( VLOOKUP( $C57,covid_vlookup,HLOOKUP(F$1,covid_hlookup,2, FALSE), FALSE), "No Data")</f>
        <v>No Data</v>
      </c>
      <c r="G57" s="14" t="str">
        <f>IFERROR( VLOOKUP( $C57,covid_vlookup,HLOOKUP(G$1,covid_hlookup,2, FALSE), FALSE), "No Data")</f>
        <v>No Data</v>
      </c>
      <c r="H57" s="2"/>
    </row>
    <row r="58">
      <c r="A58" s="3" t="s">
        <v>219</v>
      </c>
      <c r="B58" s="3" t="s">
        <v>135</v>
      </c>
      <c r="C58" s="3" t="s">
        <v>220</v>
      </c>
      <c r="D58" s="14" t="str">
        <f>IFERROR( VLOOKUP( $C58,covid_vlookup,HLOOKUP(D$1,covid_hlookup,2, FALSE), FALSE), "No Data")</f>
        <v>No Data</v>
      </c>
      <c r="E58" s="14" t="str">
        <f>IFERROR( VLOOKUP( $C58,covid_vlookup,HLOOKUP(E$1,covid_hlookup,2, FALSE), FALSE), "No Data")</f>
        <v>No Data</v>
      </c>
      <c r="F58" s="14" t="str">
        <f>IFERROR( VLOOKUP( $C58,covid_vlookup,HLOOKUP(F$1,covid_hlookup,2, FALSE), FALSE), "No Data")</f>
        <v>No Data</v>
      </c>
      <c r="G58" s="14" t="str">
        <f>IFERROR( VLOOKUP( $C58,covid_vlookup,HLOOKUP(G$1,covid_hlookup,2, FALSE), FALSE), "No Data")</f>
        <v>No Data</v>
      </c>
      <c r="H58" s="2"/>
    </row>
    <row r="59">
      <c r="A59" s="3" t="s">
        <v>221</v>
      </c>
      <c r="B59" s="3" t="s">
        <v>125</v>
      </c>
      <c r="C59" s="3" t="s">
        <v>222</v>
      </c>
      <c r="D59" s="14" t="str">
        <f>IFERROR( VLOOKUP( $C59,covid_vlookup,HLOOKUP(D$1,covid_hlookup,2, FALSE), FALSE), "No Data")</f>
        <v>No Data</v>
      </c>
      <c r="E59" s="14" t="str">
        <f>IFERROR( VLOOKUP( $C59,covid_vlookup,HLOOKUP(E$1,covid_hlookup,2, FALSE), FALSE), "No Data")</f>
        <v>No Data</v>
      </c>
      <c r="F59" s="14" t="str">
        <f>IFERROR( VLOOKUP( $C59,covid_vlookup,HLOOKUP(F$1,covid_hlookup,2, FALSE), FALSE), "No Data")</f>
        <v>No Data</v>
      </c>
      <c r="G59" s="14" t="str">
        <f>IFERROR( VLOOKUP( $C59,covid_vlookup,HLOOKUP(G$1,covid_hlookup,2, FALSE), FALSE), "No Data")</f>
        <v>No Data</v>
      </c>
      <c r="H59" s="2"/>
    </row>
    <row r="60">
      <c r="A60" s="3" t="s">
        <v>223</v>
      </c>
      <c r="B60" s="3" t="s">
        <v>130</v>
      </c>
      <c r="C60" s="3" t="s">
        <v>224</v>
      </c>
      <c r="D60" s="14" t="str">
        <f>IFERROR( VLOOKUP( $C60,covid_vlookup,HLOOKUP(D$1,covid_hlookup,2, FALSE), FALSE), "No Data")</f>
        <v>No Data</v>
      </c>
      <c r="E60" s="14" t="str">
        <f>IFERROR( VLOOKUP( $C60,covid_vlookup,HLOOKUP(E$1,covid_hlookup,2, FALSE), FALSE), "No Data")</f>
        <v>No Data</v>
      </c>
      <c r="F60" s="14" t="str">
        <f>IFERROR( VLOOKUP( $C60,covid_vlookup,HLOOKUP(F$1,covid_hlookup,2, FALSE), FALSE), "No Data")</f>
        <v>No Data</v>
      </c>
      <c r="G60" s="14" t="str">
        <f>IFERROR( VLOOKUP( $C60,covid_vlookup,HLOOKUP(G$1,covid_hlookup,2, FALSE), FALSE), "No Data")</f>
        <v>No Data</v>
      </c>
      <c r="H60" s="2"/>
    </row>
    <row r="61">
      <c r="A61" s="3" t="s">
        <v>225</v>
      </c>
      <c r="B61" s="3" t="s">
        <v>125</v>
      </c>
      <c r="C61" s="3" t="s">
        <v>226</v>
      </c>
      <c r="D61" s="14" t="str">
        <f>IFERROR( VLOOKUP( $C61,covid_vlookup,HLOOKUP(D$1,covid_hlookup,2, FALSE), FALSE), "No Data")</f>
        <v>No Data</v>
      </c>
      <c r="E61" s="14" t="str">
        <f>IFERROR( VLOOKUP( $C61,covid_vlookup,HLOOKUP(E$1,covid_hlookup,2, FALSE), FALSE), "No Data")</f>
        <v>No Data</v>
      </c>
      <c r="F61" s="14" t="str">
        <f>IFERROR( VLOOKUP( $C61,covid_vlookup,HLOOKUP(F$1,covid_hlookup,2, FALSE), FALSE), "No Data")</f>
        <v>No Data</v>
      </c>
      <c r="G61" s="14" t="str">
        <f>IFERROR( VLOOKUP( $C61,covid_vlookup,HLOOKUP(G$1,covid_hlookup,2, FALSE), FALSE), "No Data")</f>
        <v>No Data</v>
      </c>
      <c r="H61" s="2"/>
    </row>
    <row r="62">
      <c r="A62" s="3" t="s">
        <v>227</v>
      </c>
      <c r="B62" s="3" t="s">
        <v>125</v>
      </c>
      <c r="C62" s="3" t="s">
        <v>228</v>
      </c>
      <c r="D62" s="14" t="str">
        <f>IFERROR( VLOOKUP( $C62,covid_vlookup,HLOOKUP(D$1,covid_hlookup,2, FALSE), FALSE), "No Data")</f>
        <v>No Data</v>
      </c>
      <c r="E62" s="14" t="str">
        <f>IFERROR( VLOOKUP( $C62,covid_vlookup,HLOOKUP(E$1,covid_hlookup,2, FALSE), FALSE), "No Data")</f>
        <v>No Data</v>
      </c>
      <c r="F62" s="14" t="str">
        <f>IFERROR( VLOOKUP( $C62,covid_vlookup,HLOOKUP(F$1,covid_hlookup,2, FALSE), FALSE), "No Data")</f>
        <v>No Data</v>
      </c>
      <c r="G62" s="14" t="str">
        <f>IFERROR( VLOOKUP( $C62,covid_vlookup,HLOOKUP(G$1,covid_hlookup,2, FALSE), FALSE), "No Data")</f>
        <v>No Data</v>
      </c>
      <c r="H62" s="2"/>
    </row>
    <row r="63">
      <c r="A63" s="3" t="s">
        <v>47</v>
      </c>
      <c r="B63" s="3" t="s">
        <v>23</v>
      </c>
      <c r="C63" s="3" t="s">
        <v>48</v>
      </c>
      <c r="D63" s="14">
        <f>IFERROR( VLOOKUP( $C63,covid_vlookup,HLOOKUP(D$1,covid_hlookup,2, FALSE), FALSE), "No Data")</f>
        <v>241408</v>
      </c>
      <c r="E63" s="14">
        <f>IFERROR( VLOOKUP( $C63,covid_vlookup,HLOOKUP(E$1,covid_hlookup,2, FALSE), FALSE), "No Data")</f>
        <v>1932</v>
      </c>
      <c r="F63" s="14">
        <f>IFERROR( VLOOKUP( $C63,covid_vlookup,HLOOKUP(F$1,covid_hlookup,2, FALSE), FALSE), "No Data")</f>
        <v>1325188</v>
      </c>
      <c r="G63" s="14">
        <f>IFERROR( VLOOKUP( $C63,covid_vlookup,HLOOKUP(G$1,covid_hlookup,2, FALSE), FALSE), "No Data")</f>
        <v>29481.252</v>
      </c>
      <c r="H63" s="2"/>
    </row>
    <row r="64">
      <c r="A64" s="3" t="s">
        <v>229</v>
      </c>
      <c r="B64" s="3" t="s">
        <v>125</v>
      </c>
      <c r="C64" s="3" t="s">
        <v>230</v>
      </c>
      <c r="D64" s="14" t="str">
        <f>IFERROR( VLOOKUP( $C64,covid_vlookup,HLOOKUP(D$1,covid_hlookup,2, FALSE), FALSE), "No Data")</f>
        <v>No Data</v>
      </c>
      <c r="E64" s="14" t="str">
        <f>IFERROR( VLOOKUP( $C64,covid_vlookup,HLOOKUP(E$1,covid_hlookup,2, FALSE), FALSE), "No Data")</f>
        <v>No Data</v>
      </c>
      <c r="F64" s="14" t="str">
        <f>IFERROR( VLOOKUP( $C64,covid_vlookup,HLOOKUP(F$1,covid_hlookup,2, FALSE), FALSE), "No Data")</f>
        <v>No Data</v>
      </c>
      <c r="G64" s="14" t="str">
        <f>IFERROR( VLOOKUP( $C64,covid_vlookup,HLOOKUP(G$1,covid_hlookup,2, FALSE), FALSE), "No Data")</f>
        <v>No Data</v>
      </c>
      <c r="H64" s="2"/>
    </row>
    <row r="65">
      <c r="A65" s="3" t="s">
        <v>53</v>
      </c>
      <c r="B65" s="3" t="s">
        <v>23</v>
      </c>
      <c r="C65" s="3" t="s">
        <v>54</v>
      </c>
      <c r="D65" s="14">
        <f>IFERROR( VLOOKUP( $C65,covid_vlookup,HLOOKUP(D$1,covid_hlookup,2, FALSE), FALSE), "No Data")</f>
        <v>5764</v>
      </c>
      <c r="E65" s="14">
        <f>IFERROR( VLOOKUP( $C65,covid_vlookup,HLOOKUP(E$1,covid_hlookup,2, FALSE), FALSE), "No Data")</f>
        <v>14</v>
      </c>
      <c r="F65" s="14">
        <f>IFERROR( VLOOKUP( $C65,covid_vlookup,HLOOKUP(F$1,covid_hlookup,2, FALSE), FALSE), "No Data")</f>
        <v>49053</v>
      </c>
      <c r="G65" s="14" t="str">
        <f>IFERROR( VLOOKUP( $C65,covid_vlookup,HLOOKUP(G$1,covid_hlookup,2, FALSE), FALSE), "No Data")</f>
        <v/>
      </c>
      <c r="H65" s="2"/>
    </row>
    <row r="66">
      <c r="A66" s="3" t="s">
        <v>231</v>
      </c>
      <c r="B66" s="3" t="s">
        <v>135</v>
      </c>
      <c r="C66" s="3" t="s">
        <v>232</v>
      </c>
      <c r="D66" s="14" t="str">
        <f>IFERROR( VLOOKUP( $C66,covid_vlookup,HLOOKUP(D$1,covid_hlookup,2, FALSE), FALSE), "No Data")</f>
        <v>No Data</v>
      </c>
      <c r="E66" s="14" t="str">
        <f>IFERROR( VLOOKUP( $C66,covid_vlookup,HLOOKUP(E$1,covid_hlookup,2, FALSE), FALSE), "No Data")</f>
        <v>No Data</v>
      </c>
      <c r="F66" s="14" t="str">
        <f>IFERROR( VLOOKUP( $C66,covid_vlookup,HLOOKUP(F$1,covid_hlookup,2, FALSE), FALSE), "No Data")</f>
        <v>No Data</v>
      </c>
      <c r="G66" s="14" t="str">
        <f>IFERROR( VLOOKUP( $C66,covid_vlookup,HLOOKUP(G$1,covid_hlookup,2, FALSE), FALSE), "No Data")</f>
        <v>No Data</v>
      </c>
      <c r="H66" s="2"/>
    </row>
    <row r="67">
      <c r="A67" s="3" t="s">
        <v>233</v>
      </c>
      <c r="B67" s="3" t="s">
        <v>142</v>
      </c>
      <c r="C67" s="3" t="s">
        <v>234</v>
      </c>
      <c r="D67" s="14" t="str">
        <f>IFERROR( VLOOKUP( $C67,covid_vlookup,HLOOKUP(D$1,covid_hlookup,2, FALSE), FALSE), "No Data")</f>
        <v>No Data</v>
      </c>
      <c r="E67" s="14" t="str">
        <f>IFERROR( VLOOKUP( $C67,covid_vlookup,HLOOKUP(E$1,covid_hlookup,2, FALSE), FALSE), "No Data")</f>
        <v>No Data</v>
      </c>
      <c r="F67" s="14" t="str">
        <f>IFERROR( VLOOKUP( $C67,covid_vlookup,HLOOKUP(F$1,covid_hlookup,2, FALSE), FALSE), "No Data")</f>
        <v>No Data</v>
      </c>
      <c r="G67" s="14" t="str">
        <f>IFERROR( VLOOKUP( $C67,covid_vlookup,HLOOKUP(G$1,covid_hlookup,2, FALSE), FALSE), "No Data")</f>
        <v>No Data</v>
      </c>
      <c r="H67" s="2"/>
    </row>
    <row r="68">
      <c r="A68" s="3" t="s">
        <v>49</v>
      </c>
      <c r="B68" s="3" t="s">
        <v>23</v>
      </c>
      <c r="C68" s="3" t="s">
        <v>50</v>
      </c>
      <c r="D68" s="14">
        <f>IFERROR( VLOOKUP( $C68,covid_vlookup,HLOOKUP(D$1,covid_hlookup,2, FALSE), FALSE), "No Data")</f>
        <v>260292</v>
      </c>
      <c r="E68" s="14">
        <f>IFERROR( VLOOKUP( $C68,covid_vlookup,HLOOKUP(E$1,covid_hlookup,2, FALSE), FALSE), "No Data")</f>
        <v>1564</v>
      </c>
      <c r="F68" s="14">
        <f>IFERROR( VLOOKUP( $C68,covid_vlookup,HLOOKUP(F$1,covid_hlookup,2, FALSE), FALSE), "No Data")</f>
        <v>5548361</v>
      </c>
      <c r="G68" s="14">
        <f>IFERROR( VLOOKUP( $C68,covid_vlookup,HLOOKUP(G$1,covid_hlookup,2, FALSE), FALSE), "No Data")</f>
        <v>40585.721</v>
      </c>
      <c r="H68" s="2"/>
    </row>
    <row r="69">
      <c r="A69" s="3" t="s">
        <v>51</v>
      </c>
      <c r="B69" s="3" t="s">
        <v>23</v>
      </c>
      <c r="C69" s="3" t="s">
        <v>52</v>
      </c>
      <c r="D69" s="14">
        <f>IFERROR( VLOOKUP( $C69,covid_vlookup,HLOOKUP(D$1,covid_hlookup,2, FALSE), FALSE), "No Data")</f>
        <v>10412480</v>
      </c>
      <c r="E69" s="14">
        <f>IFERROR( VLOOKUP( $C69,covid_vlookup,HLOOKUP(E$1,covid_hlookup,2, FALSE), FALSE), "No Data")</f>
        <v>123805</v>
      </c>
      <c r="F69" s="14">
        <f>IFERROR( VLOOKUP( $C69,covid_vlookup,HLOOKUP(F$1,covid_hlookup,2, FALSE), FALSE), "No Data")</f>
        <v>67422000</v>
      </c>
      <c r="G69" s="14">
        <f>IFERROR( VLOOKUP( $C69,covid_vlookup,HLOOKUP(G$1,covid_hlookup,2, FALSE), FALSE), "No Data")</f>
        <v>38605.671</v>
      </c>
      <c r="H69" s="2"/>
    </row>
    <row r="70">
      <c r="A70" s="3" t="s">
        <v>235</v>
      </c>
      <c r="B70" s="3" t="s">
        <v>142</v>
      </c>
      <c r="C70" s="3" t="s">
        <v>236</v>
      </c>
      <c r="D70" s="14" t="str">
        <f>IFERROR( VLOOKUP( $C70,covid_vlookup,HLOOKUP(D$1,covid_hlookup,2, FALSE), FALSE), "No Data")</f>
        <v>No Data</v>
      </c>
      <c r="E70" s="14" t="str">
        <f>IFERROR( VLOOKUP( $C70,covid_vlookup,HLOOKUP(E$1,covid_hlookup,2, FALSE), FALSE), "No Data")</f>
        <v>No Data</v>
      </c>
      <c r="F70" s="14" t="str">
        <f>IFERROR( VLOOKUP( $C70,covid_vlookup,HLOOKUP(F$1,covid_hlookup,2, FALSE), FALSE), "No Data")</f>
        <v>No Data</v>
      </c>
      <c r="G70" s="14" t="str">
        <f>IFERROR( VLOOKUP( $C70,covid_vlookup,HLOOKUP(G$1,covid_hlookup,2, FALSE), FALSE), "No Data")</f>
        <v>No Data</v>
      </c>
      <c r="H70" s="2"/>
    </row>
    <row r="71">
      <c r="A71" s="3" t="s">
        <v>237</v>
      </c>
      <c r="B71" s="3" t="s">
        <v>125</v>
      </c>
      <c r="C71" s="3" t="s">
        <v>238</v>
      </c>
      <c r="D71" s="14" t="str">
        <f>IFERROR( VLOOKUP( $C71,covid_vlookup,HLOOKUP(D$1,covid_hlookup,2, FALSE), FALSE), "No Data")</f>
        <v>No Data</v>
      </c>
      <c r="E71" s="14" t="str">
        <f>IFERROR( VLOOKUP( $C71,covid_vlookup,HLOOKUP(E$1,covid_hlookup,2, FALSE), FALSE), "No Data")</f>
        <v>No Data</v>
      </c>
      <c r="F71" s="14" t="str">
        <f>IFERROR( VLOOKUP( $C71,covid_vlookup,HLOOKUP(F$1,covid_hlookup,2, FALSE), FALSE), "No Data")</f>
        <v>No Data</v>
      </c>
      <c r="G71" s="14" t="str">
        <f>IFERROR( VLOOKUP( $C71,covid_vlookup,HLOOKUP(G$1,covid_hlookup,2, FALSE), FALSE), "No Data")</f>
        <v>No Data</v>
      </c>
      <c r="H71" s="2"/>
    </row>
    <row r="72">
      <c r="A72" s="3" t="s">
        <v>239</v>
      </c>
      <c r="B72" s="3" t="s">
        <v>125</v>
      </c>
      <c r="C72" s="3" t="s">
        <v>240</v>
      </c>
      <c r="D72" s="14" t="str">
        <f>IFERROR( VLOOKUP( $C72,covid_vlookup,HLOOKUP(D$1,covid_hlookup,2, FALSE), FALSE), "No Data")</f>
        <v>No Data</v>
      </c>
      <c r="E72" s="14" t="str">
        <f>IFERROR( VLOOKUP( $C72,covid_vlookup,HLOOKUP(E$1,covid_hlookup,2, FALSE), FALSE), "No Data")</f>
        <v>No Data</v>
      </c>
      <c r="F72" s="14" t="str">
        <f>IFERROR( VLOOKUP( $C72,covid_vlookup,HLOOKUP(F$1,covid_hlookup,2, FALSE), FALSE), "No Data")</f>
        <v>No Data</v>
      </c>
      <c r="G72" s="14" t="str">
        <f>IFERROR( VLOOKUP( $C72,covid_vlookup,HLOOKUP(G$1,covid_hlookup,2, FALSE), FALSE), "No Data")</f>
        <v>No Data</v>
      </c>
      <c r="H72" s="2"/>
    </row>
    <row r="73">
      <c r="A73" s="3" t="s">
        <v>241</v>
      </c>
      <c r="B73" s="3" t="s">
        <v>122</v>
      </c>
      <c r="C73" s="3" t="s">
        <v>242</v>
      </c>
      <c r="D73" s="14" t="str">
        <f>IFERROR( VLOOKUP( $C73,covid_vlookup,HLOOKUP(D$1,covid_hlookup,2, FALSE), FALSE), "No Data")</f>
        <v>No Data</v>
      </c>
      <c r="E73" s="14" t="str">
        <f>IFERROR( VLOOKUP( $C73,covid_vlookup,HLOOKUP(E$1,covid_hlookup,2, FALSE), FALSE), "No Data")</f>
        <v>No Data</v>
      </c>
      <c r="F73" s="14" t="str">
        <f>IFERROR( VLOOKUP( $C73,covid_vlookup,HLOOKUP(F$1,covid_hlookup,2, FALSE), FALSE), "No Data")</f>
        <v>No Data</v>
      </c>
      <c r="G73" s="14" t="str">
        <f>IFERROR( VLOOKUP( $C73,covid_vlookup,HLOOKUP(G$1,covid_hlookup,2, FALSE), FALSE), "No Data")</f>
        <v>No Data</v>
      </c>
      <c r="H73" s="2"/>
    </row>
    <row r="74">
      <c r="A74" s="3" t="s">
        <v>41</v>
      </c>
      <c r="B74" s="3" t="s">
        <v>23</v>
      </c>
      <c r="C74" s="3" t="s">
        <v>42</v>
      </c>
      <c r="D74" s="14">
        <f>IFERROR( VLOOKUP( $C74,covid_vlookup,HLOOKUP(D$1,covid_hlookup,2, FALSE), FALSE), "No Data")</f>
        <v>7193186</v>
      </c>
      <c r="E74" s="14">
        <f>IFERROR( VLOOKUP( $C74,covid_vlookup,HLOOKUP(E$1,covid_hlookup,2, FALSE), FALSE), "No Data")</f>
        <v>112111</v>
      </c>
      <c r="F74" s="14">
        <f>IFERROR( VLOOKUP( $C74,covid_vlookup,HLOOKUP(F$1,covid_hlookup,2, FALSE), FALSE), "No Data")</f>
        <v>83900471</v>
      </c>
      <c r="G74" s="14">
        <f>IFERROR( VLOOKUP( $C74,covid_vlookup,HLOOKUP(G$1,covid_hlookup,2, FALSE), FALSE), "No Data")</f>
        <v>45229.245</v>
      </c>
      <c r="H74" s="2"/>
    </row>
    <row r="75">
      <c r="A75" s="3" t="s">
        <v>243</v>
      </c>
      <c r="B75" s="3" t="s">
        <v>125</v>
      </c>
      <c r="C75" s="3" t="s">
        <v>244</v>
      </c>
      <c r="D75" s="14" t="str">
        <f>IFERROR( VLOOKUP( $C75,covid_vlookup,HLOOKUP(D$1,covid_hlookup,2, FALSE), FALSE), "No Data")</f>
        <v>No Data</v>
      </c>
      <c r="E75" s="14" t="str">
        <f>IFERROR( VLOOKUP( $C75,covid_vlookup,HLOOKUP(E$1,covid_hlookup,2, FALSE), FALSE), "No Data")</f>
        <v>No Data</v>
      </c>
      <c r="F75" s="14" t="str">
        <f>IFERROR( VLOOKUP( $C75,covid_vlookup,HLOOKUP(F$1,covid_hlookup,2, FALSE), FALSE), "No Data")</f>
        <v>No Data</v>
      </c>
      <c r="G75" s="14" t="str">
        <f>IFERROR( VLOOKUP( $C75,covid_vlookup,HLOOKUP(G$1,covid_hlookup,2, FALSE), FALSE), "No Data")</f>
        <v>No Data</v>
      </c>
      <c r="H75" s="2"/>
    </row>
    <row r="76">
      <c r="A76" s="3" t="s">
        <v>59</v>
      </c>
      <c r="B76" s="3" t="s">
        <v>23</v>
      </c>
      <c r="C76" s="3" t="s">
        <v>60</v>
      </c>
      <c r="D76" s="14">
        <f>IFERROR( VLOOKUP( $C76,covid_vlookup,HLOOKUP(D$1,covid_hlookup,2, FALSE), FALSE), "No Data")</f>
        <v>8701</v>
      </c>
      <c r="E76" s="14">
        <f>IFERROR( VLOOKUP( $C76,covid_vlookup,HLOOKUP(E$1,covid_hlookup,2, FALSE), FALSE), "No Data")</f>
        <v>100</v>
      </c>
      <c r="F76" s="14">
        <f>IFERROR( VLOOKUP( $C76,covid_vlookup,HLOOKUP(F$1,covid_hlookup,2, FALSE), FALSE), "No Data")</f>
        <v>33691</v>
      </c>
      <c r="G76" s="14" t="str">
        <f>IFERROR( VLOOKUP( $C76,covid_vlookup,HLOOKUP(G$1,covid_hlookup,2, FALSE), FALSE), "No Data")</f>
        <v/>
      </c>
      <c r="H76" s="2"/>
    </row>
    <row r="77">
      <c r="A77" s="3" t="s">
        <v>61</v>
      </c>
      <c r="B77" s="3" t="s">
        <v>23</v>
      </c>
      <c r="C77" s="3" t="s">
        <v>62</v>
      </c>
      <c r="D77" s="14">
        <f>IFERROR( VLOOKUP( $C77,covid_vlookup,HLOOKUP(D$1,covid_hlookup,2, FALSE), FALSE), "No Data")</f>
        <v>1210853</v>
      </c>
      <c r="E77" s="14">
        <f>IFERROR( VLOOKUP( $C77,covid_vlookup,HLOOKUP(E$1,covid_hlookup,2, FALSE), FALSE), "No Data")</f>
        <v>20790</v>
      </c>
      <c r="F77" s="14">
        <f>IFERROR( VLOOKUP( $C77,covid_vlookup,HLOOKUP(F$1,covid_hlookup,2, FALSE), FALSE), "No Data")</f>
        <v>10370747</v>
      </c>
      <c r="G77" s="14">
        <f>IFERROR( VLOOKUP( $C77,covid_vlookup,HLOOKUP(G$1,covid_hlookup,2, FALSE), FALSE), "No Data")</f>
        <v>24574.382</v>
      </c>
      <c r="H77" s="2"/>
    </row>
    <row r="78">
      <c r="A78" s="3" t="s">
        <v>245</v>
      </c>
      <c r="B78" s="3" t="s">
        <v>130</v>
      </c>
      <c r="C78" s="3" t="s">
        <v>246</v>
      </c>
      <c r="D78" s="14" t="str">
        <f>IFERROR( VLOOKUP( $C78,covid_vlookup,HLOOKUP(D$1,covid_hlookup,2, FALSE), FALSE), "No Data")</f>
        <v>No Data</v>
      </c>
      <c r="E78" s="14" t="str">
        <f>IFERROR( VLOOKUP( $C78,covid_vlookup,HLOOKUP(E$1,covid_hlookup,2, FALSE), FALSE), "No Data")</f>
        <v>No Data</v>
      </c>
      <c r="F78" s="14" t="str">
        <f>IFERROR( VLOOKUP( $C78,covid_vlookup,HLOOKUP(F$1,covid_hlookup,2, FALSE), FALSE), "No Data")</f>
        <v>No Data</v>
      </c>
      <c r="G78" s="14" t="str">
        <f>IFERROR( VLOOKUP( $C78,covid_vlookup,HLOOKUP(G$1,covid_hlookup,2, FALSE), FALSE), "No Data")</f>
        <v>No Data</v>
      </c>
      <c r="H78" s="2"/>
    </row>
    <row r="79">
      <c r="A79" s="3" t="s">
        <v>247</v>
      </c>
      <c r="B79" s="3" t="s">
        <v>130</v>
      </c>
      <c r="C79" s="3" t="s">
        <v>248</v>
      </c>
      <c r="D79" s="14" t="str">
        <f>IFERROR( VLOOKUP( $C79,covid_vlookup,HLOOKUP(D$1,covid_hlookup,2, FALSE), FALSE), "No Data")</f>
        <v>No Data</v>
      </c>
      <c r="E79" s="14" t="str">
        <f>IFERROR( VLOOKUP( $C79,covid_vlookup,HLOOKUP(E$1,covid_hlookup,2, FALSE), FALSE), "No Data")</f>
        <v>No Data</v>
      </c>
      <c r="F79" s="14" t="str">
        <f>IFERROR( VLOOKUP( $C79,covid_vlookup,HLOOKUP(F$1,covid_hlookup,2, FALSE), FALSE), "No Data")</f>
        <v>No Data</v>
      </c>
      <c r="G79" s="14" t="str">
        <f>IFERROR( VLOOKUP( $C79,covid_vlookup,HLOOKUP(G$1,covid_hlookup,2, FALSE), FALSE), "No Data")</f>
        <v>No Data</v>
      </c>
      <c r="H79" s="2"/>
    </row>
    <row r="80">
      <c r="A80" s="3" t="s">
        <v>249</v>
      </c>
      <c r="B80" s="3" t="s">
        <v>142</v>
      </c>
      <c r="C80" s="3" t="s">
        <v>250</v>
      </c>
      <c r="D80" s="14" t="str">
        <f>IFERROR( VLOOKUP( $C80,covid_vlookup,HLOOKUP(D$1,covid_hlookup,2, FALSE), FALSE), "No Data")</f>
        <v>No Data</v>
      </c>
      <c r="E80" s="14" t="str">
        <f>IFERROR( VLOOKUP( $C80,covid_vlookup,HLOOKUP(E$1,covid_hlookup,2, FALSE), FALSE), "No Data")</f>
        <v>No Data</v>
      </c>
      <c r="F80" s="14" t="str">
        <f>IFERROR( VLOOKUP( $C80,covid_vlookup,HLOOKUP(F$1,covid_hlookup,2, FALSE), FALSE), "No Data")</f>
        <v>No Data</v>
      </c>
      <c r="G80" s="14" t="str">
        <f>IFERROR( VLOOKUP( $C80,covid_vlookup,HLOOKUP(G$1,covid_hlookup,2, FALSE), FALSE), "No Data")</f>
        <v>No Data</v>
      </c>
      <c r="H80" s="2"/>
    </row>
    <row r="81">
      <c r="A81" s="3" t="s">
        <v>251</v>
      </c>
      <c r="B81" s="3" t="s">
        <v>130</v>
      </c>
      <c r="C81" s="3" t="s">
        <v>252</v>
      </c>
      <c r="D81" s="14" t="str">
        <f>IFERROR( VLOOKUP( $C81,covid_vlookup,HLOOKUP(D$1,covid_hlookup,2, FALSE), FALSE), "No Data")</f>
        <v>No Data</v>
      </c>
      <c r="E81" s="14" t="str">
        <f>IFERROR( VLOOKUP( $C81,covid_vlookup,HLOOKUP(E$1,covid_hlookup,2, FALSE), FALSE), "No Data")</f>
        <v>No Data</v>
      </c>
      <c r="F81" s="14" t="str">
        <f>IFERROR( VLOOKUP( $C81,covid_vlookup,HLOOKUP(F$1,covid_hlookup,2, FALSE), FALSE), "No Data")</f>
        <v>No Data</v>
      </c>
      <c r="G81" s="14" t="str">
        <f>IFERROR( VLOOKUP( $C81,covid_vlookup,HLOOKUP(G$1,covid_hlookup,2, FALSE), FALSE), "No Data")</f>
        <v>No Data</v>
      </c>
      <c r="H81" s="2"/>
    </row>
    <row r="82">
      <c r="A82" s="3" t="s">
        <v>57</v>
      </c>
      <c r="B82" s="3" t="s">
        <v>23</v>
      </c>
      <c r="C82" s="3" t="s">
        <v>58</v>
      </c>
      <c r="D82" s="14" t="str">
        <f>IFERROR( VLOOKUP( $C82,covid_vlookup,HLOOKUP(D$1,covid_hlookup,2, FALSE), FALSE), "No Data")</f>
        <v/>
      </c>
      <c r="E82" s="14" t="str">
        <f>IFERROR( VLOOKUP( $C82,covid_vlookup,HLOOKUP(E$1,covid_hlookup,2, FALSE), FALSE), "No Data")</f>
        <v/>
      </c>
      <c r="F82" s="14">
        <f>IFERROR( VLOOKUP( $C82,covid_vlookup,HLOOKUP(F$1,covid_hlookup,2, FALSE), FALSE), "No Data")</f>
        <v>63385</v>
      </c>
      <c r="G82" s="14" t="str">
        <f>IFERROR( VLOOKUP( $C82,covid_vlookup,HLOOKUP(G$1,covid_hlookup,2, FALSE), FALSE), "No Data")</f>
        <v/>
      </c>
      <c r="H82" s="2"/>
    </row>
    <row r="83">
      <c r="A83" s="3" t="s">
        <v>253</v>
      </c>
      <c r="B83" s="3" t="s">
        <v>125</v>
      </c>
      <c r="C83" s="3" t="s">
        <v>254</v>
      </c>
      <c r="D83" s="14" t="str">
        <f>IFERROR( VLOOKUP( $C83,covid_vlookup,HLOOKUP(D$1,covid_hlookup,2, FALSE), FALSE), "No Data")</f>
        <v>No Data</v>
      </c>
      <c r="E83" s="14" t="str">
        <f>IFERROR( VLOOKUP( $C83,covid_vlookup,HLOOKUP(E$1,covid_hlookup,2, FALSE), FALSE), "No Data")</f>
        <v>No Data</v>
      </c>
      <c r="F83" s="14" t="str">
        <f>IFERROR( VLOOKUP( $C83,covid_vlookup,HLOOKUP(F$1,covid_hlookup,2, FALSE), FALSE), "No Data")</f>
        <v>No Data</v>
      </c>
      <c r="G83" s="14" t="str">
        <f>IFERROR( VLOOKUP( $C83,covid_vlookup,HLOOKUP(G$1,covid_hlookup,2, FALSE), FALSE), "No Data")</f>
        <v>No Data</v>
      </c>
      <c r="H83" s="2"/>
    </row>
    <row r="84">
      <c r="A84" s="3" t="s">
        <v>255</v>
      </c>
      <c r="B84" s="3" t="s">
        <v>125</v>
      </c>
      <c r="C84" s="3" t="s">
        <v>256</v>
      </c>
      <c r="D84" s="14" t="str">
        <f>IFERROR( VLOOKUP( $C84,covid_vlookup,HLOOKUP(D$1,covid_hlookup,2, FALSE), FALSE), "No Data")</f>
        <v>No Data</v>
      </c>
      <c r="E84" s="14" t="str">
        <f>IFERROR( VLOOKUP( $C84,covid_vlookup,HLOOKUP(E$1,covid_hlookup,2, FALSE), FALSE), "No Data")</f>
        <v>No Data</v>
      </c>
      <c r="F84" s="14" t="str">
        <f>IFERROR( VLOOKUP( $C84,covid_vlookup,HLOOKUP(F$1,covid_hlookup,2, FALSE), FALSE), "No Data")</f>
        <v>No Data</v>
      </c>
      <c r="G84" s="14" t="str">
        <f>IFERROR( VLOOKUP( $C84,covid_vlookup,HLOOKUP(G$1,covid_hlookup,2, FALSE), FALSE), "No Data")</f>
        <v>No Data</v>
      </c>
      <c r="H84" s="2"/>
    </row>
    <row r="85">
      <c r="A85" s="3" t="s">
        <v>257</v>
      </c>
      <c r="B85" s="3" t="s">
        <v>135</v>
      </c>
      <c r="C85" s="3" t="s">
        <v>258</v>
      </c>
      <c r="D85" s="14" t="str">
        <f>IFERROR( VLOOKUP( $C85,covid_vlookup,HLOOKUP(D$1,covid_hlookup,2, FALSE), FALSE), "No Data")</f>
        <v>No Data</v>
      </c>
      <c r="E85" s="14" t="str">
        <f>IFERROR( VLOOKUP( $C85,covid_vlookup,HLOOKUP(E$1,covid_hlookup,2, FALSE), FALSE), "No Data")</f>
        <v>No Data</v>
      </c>
      <c r="F85" s="14" t="str">
        <f>IFERROR( VLOOKUP( $C85,covid_vlookup,HLOOKUP(F$1,covid_hlookup,2, FALSE), FALSE), "No Data")</f>
        <v>No Data</v>
      </c>
      <c r="G85" s="14" t="str">
        <f>IFERROR( VLOOKUP( $C85,covid_vlookup,HLOOKUP(G$1,covid_hlookup,2, FALSE), FALSE), "No Data")</f>
        <v>No Data</v>
      </c>
      <c r="H85" s="2"/>
    </row>
    <row r="86">
      <c r="A86" s="3" t="s">
        <v>259</v>
      </c>
      <c r="B86" s="3" t="s">
        <v>130</v>
      </c>
      <c r="C86" s="3" t="s">
        <v>260</v>
      </c>
      <c r="D86" s="14" t="str">
        <f>IFERROR( VLOOKUP( $C86,covid_vlookup,HLOOKUP(D$1,covid_hlookup,2, FALSE), FALSE), "No Data")</f>
        <v>No Data</v>
      </c>
      <c r="E86" s="14" t="str">
        <f>IFERROR( VLOOKUP( $C86,covid_vlookup,HLOOKUP(E$1,covid_hlookup,2, FALSE), FALSE), "No Data")</f>
        <v>No Data</v>
      </c>
      <c r="F86" s="14" t="str">
        <f>IFERROR( VLOOKUP( $C86,covid_vlookup,HLOOKUP(F$1,covid_hlookup,2, FALSE), FALSE), "No Data")</f>
        <v>No Data</v>
      </c>
      <c r="G86" s="14" t="str">
        <f>IFERROR( VLOOKUP( $C86,covid_vlookup,HLOOKUP(G$1,covid_hlookup,2, FALSE), FALSE), "No Data")</f>
        <v>No Data</v>
      </c>
      <c r="H86" s="2"/>
    </row>
    <row r="87">
      <c r="A87" s="3" t="s">
        <v>261</v>
      </c>
      <c r="B87" s="3" t="s">
        <v>130</v>
      </c>
      <c r="C87" s="3" t="s">
        <v>262</v>
      </c>
      <c r="D87" s="14" t="str">
        <f>IFERROR( VLOOKUP( $C87,covid_vlookup,HLOOKUP(D$1,covid_hlookup,2, FALSE), FALSE), "No Data")</f>
        <v>No Data</v>
      </c>
      <c r="E87" s="14" t="str">
        <f>IFERROR( VLOOKUP( $C87,covid_vlookup,HLOOKUP(E$1,covid_hlookup,2, FALSE), FALSE), "No Data")</f>
        <v>No Data</v>
      </c>
      <c r="F87" s="14" t="str">
        <f>IFERROR( VLOOKUP( $C87,covid_vlookup,HLOOKUP(F$1,covid_hlookup,2, FALSE), FALSE), "No Data")</f>
        <v>No Data</v>
      </c>
      <c r="G87" s="14" t="str">
        <f>IFERROR( VLOOKUP( $C87,covid_vlookup,HLOOKUP(G$1,covid_hlookup,2, FALSE), FALSE), "No Data")</f>
        <v>No Data</v>
      </c>
      <c r="H87" s="2"/>
    </row>
    <row r="88">
      <c r="A88" s="3" t="s">
        <v>263</v>
      </c>
      <c r="B88" s="3" t="s">
        <v>122</v>
      </c>
      <c r="C88" s="3" t="s">
        <v>264</v>
      </c>
      <c r="D88" s="14" t="str">
        <f>IFERROR( VLOOKUP( $C88,covid_vlookup,HLOOKUP(D$1,covid_hlookup,2, FALSE), FALSE), "No Data")</f>
        <v>No Data</v>
      </c>
      <c r="E88" s="14" t="str">
        <f>IFERROR( VLOOKUP( $C88,covid_vlookup,HLOOKUP(E$1,covid_hlookup,2, FALSE), FALSE), "No Data")</f>
        <v>No Data</v>
      </c>
      <c r="F88" s="14" t="str">
        <f>IFERROR( VLOOKUP( $C88,covid_vlookup,HLOOKUP(F$1,covid_hlookup,2, FALSE), FALSE), "No Data")</f>
        <v>No Data</v>
      </c>
      <c r="G88" s="14" t="str">
        <f>IFERROR( VLOOKUP( $C88,covid_vlookup,HLOOKUP(G$1,covid_hlookup,2, FALSE), FALSE), "No Data")</f>
        <v>No Data</v>
      </c>
      <c r="H88" s="2"/>
    </row>
    <row r="89">
      <c r="A89" s="3" t="s">
        <v>65</v>
      </c>
      <c r="B89" s="3" t="s">
        <v>23</v>
      </c>
      <c r="C89" s="3" t="s">
        <v>66</v>
      </c>
      <c r="D89" s="14">
        <f>IFERROR( VLOOKUP( $C89,covid_vlookup,HLOOKUP(D$1,covid_hlookup,2, FALSE), FALSE), "No Data")</f>
        <v>1256415</v>
      </c>
      <c r="E89" s="14">
        <f>IFERROR( VLOOKUP( $C89,covid_vlookup,HLOOKUP(E$1,covid_hlookup,2, FALSE), FALSE), "No Data")</f>
        <v>39186</v>
      </c>
      <c r="F89" s="14">
        <f>IFERROR( VLOOKUP( $C89,covid_vlookup,HLOOKUP(F$1,covid_hlookup,2, FALSE), FALSE), "No Data")</f>
        <v>9634162</v>
      </c>
      <c r="G89" s="14">
        <f>IFERROR( VLOOKUP( $C89,covid_vlookup,HLOOKUP(G$1,covid_hlookup,2, FALSE), FALSE), "No Data")</f>
        <v>26777.561</v>
      </c>
      <c r="H89" s="2"/>
    </row>
    <row r="90">
      <c r="A90" s="3" t="s">
        <v>71</v>
      </c>
      <c r="B90" s="3" t="s">
        <v>23</v>
      </c>
      <c r="C90" s="3" t="s">
        <v>72</v>
      </c>
      <c r="D90" s="14">
        <f>IFERROR( VLOOKUP( $C90,covid_vlookup,HLOOKUP(D$1,covid_hlookup,2, FALSE), FALSE), "No Data")</f>
        <v>27059</v>
      </c>
      <c r="E90" s="14">
        <f>IFERROR( VLOOKUP( $C90,covid_vlookup,HLOOKUP(E$1,covid_hlookup,2, FALSE), FALSE), "No Data")</f>
        <v>37</v>
      </c>
      <c r="F90" s="14">
        <f>IFERROR( VLOOKUP( $C90,covid_vlookup,HLOOKUP(F$1,covid_hlookup,2, FALSE), FALSE), "No Data")</f>
        <v>368792</v>
      </c>
      <c r="G90" s="14">
        <f>IFERROR( VLOOKUP( $C90,covid_vlookup,HLOOKUP(G$1,covid_hlookup,2, FALSE), FALSE), "No Data")</f>
        <v>46482.958</v>
      </c>
      <c r="H90" s="2"/>
    </row>
    <row r="91">
      <c r="A91" s="3" t="s">
        <v>265</v>
      </c>
      <c r="B91" s="3" t="s">
        <v>122</v>
      </c>
      <c r="C91" s="3" t="s">
        <v>266</v>
      </c>
      <c r="D91" s="14" t="str">
        <f>IFERROR( VLOOKUP( $C91,covid_vlookup,HLOOKUP(D$1,covid_hlookup,2, FALSE), FALSE), "No Data")</f>
        <v>No Data</v>
      </c>
      <c r="E91" s="14" t="str">
        <f>IFERROR( VLOOKUP( $C91,covid_vlookup,HLOOKUP(E$1,covid_hlookup,2, FALSE), FALSE), "No Data")</f>
        <v>No Data</v>
      </c>
      <c r="F91" s="14" t="str">
        <f>IFERROR( VLOOKUP( $C91,covid_vlookup,HLOOKUP(F$1,covid_hlookup,2, FALSE), FALSE), "No Data")</f>
        <v>No Data</v>
      </c>
      <c r="G91" s="14" t="str">
        <f>IFERROR( VLOOKUP( $C91,covid_vlookup,HLOOKUP(G$1,covid_hlookup,2, FALSE), FALSE), "No Data")</f>
        <v>No Data</v>
      </c>
      <c r="H91" s="2"/>
    </row>
    <row r="92">
      <c r="A92" s="3" t="s">
        <v>267</v>
      </c>
      <c r="B92" s="3" t="s">
        <v>122</v>
      </c>
      <c r="C92" s="3" t="s">
        <v>268</v>
      </c>
      <c r="D92" s="14" t="str">
        <f>IFERROR( VLOOKUP( $C92,covid_vlookup,HLOOKUP(D$1,covid_hlookup,2, FALSE), FALSE), "No Data")</f>
        <v>No Data</v>
      </c>
      <c r="E92" s="14" t="str">
        <f>IFERROR( VLOOKUP( $C92,covid_vlookup,HLOOKUP(E$1,covid_hlookup,2, FALSE), FALSE), "No Data")</f>
        <v>No Data</v>
      </c>
      <c r="F92" s="14" t="str">
        <f>IFERROR( VLOOKUP( $C92,covid_vlookup,HLOOKUP(F$1,covid_hlookup,2, FALSE), FALSE), "No Data")</f>
        <v>No Data</v>
      </c>
      <c r="G92" s="14" t="str">
        <f>IFERROR( VLOOKUP( $C92,covid_vlookup,HLOOKUP(G$1,covid_hlookup,2, FALSE), FALSE), "No Data")</f>
        <v>No Data</v>
      </c>
      <c r="H92" s="2"/>
    </row>
    <row r="93">
      <c r="A93" s="3" t="s">
        <v>269</v>
      </c>
      <c r="B93" s="3" t="s">
        <v>122</v>
      </c>
      <c r="C93" s="3" t="s">
        <v>270</v>
      </c>
      <c r="D93" s="14" t="str">
        <f>IFERROR( VLOOKUP( $C93,covid_vlookup,HLOOKUP(D$1,covid_hlookup,2, FALSE), FALSE), "No Data")</f>
        <v>No Data</v>
      </c>
      <c r="E93" s="14" t="str">
        <f>IFERROR( VLOOKUP( $C93,covid_vlookup,HLOOKUP(E$1,covid_hlookup,2, FALSE), FALSE), "No Data")</f>
        <v>No Data</v>
      </c>
      <c r="F93" s="14" t="str">
        <f>IFERROR( VLOOKUP( $C93,covid_vlookup,HLOOKUP(F$1,covid_hlookup,2, FALSE), FALSE), "No Data")</f>
        <v>No Data</v>
      </c>
      <c r="G93" s="14" t="str">
        <f>IFERROR( VLOOKUP( $C93,covid_vlookup,HLOOKUP(G$1,covid_hlookup,2, FALSE), FALSE), "No Data")</f>
        <v>No Data</v>
      </c>
      <c r="H93" s="2"/>
    </row>
    <row r="94">
      <c r="A94" s="3" t="s">
        <v>271</v>
      </c>
      <c r="B94" s="3" t="s">
        <v>122</v>
      </c>
      <c r="C94" s="3" t="s">
        <v>272</v>
      </c>
      <c r="D94" s="14" t="str">
        <f>IFERROR( VLOOKUP( $C94,covid_vlookup,HLOOKUP(D$1,covid_hlookup,2, FALSE), FALSE), "No Data")</f>
        <v>No Data</v>
      </c>
      <c r="E94" s="14" t="str">
        <f>IFERROR( VLOOKUP( $C94,covid_vlookup,HLOOKUP(E$1,covid_hlookup,2, FALSE), FALSE), "No Data")</f>
        <v>No Data</v>
      </c>
      <c r="F94" s="14" t="str">
        <f>IFERROR( VLOOKUP( $C94,covid_vlookup,HLOOKUP(F$1,covid_hlookup,2, FALSE), FALSE), "No Data")</f>
        <v>No Data</v>
      </c>
      <c r="G94" s="14" t="str">
        <f>IFERROR( VLOOKUP( $C94,covid_vlookup,HLOOKUP(G$1,covid_hlookup,2, FALSE), FALSE), "No Data")</f>
        <v>No Data</v>
      </c>
      <c r="H94" s="2"/>
    </row>
    <row r="95">
      <c r="A95" s="3" t="s">
        <v>69</v>
      </c>
      <c r="B95" s="3" t="s">
        <v>23</v>
      </c>
      <c r="C95" s="3" t="s">
        <v>70</v>
      </c>
      <c r="D95" s="14">
        <f>IFERROR( VLOOKUP( $C95,covid_vlookup,HLOOKUP(D$1,covid_hlookup,2, FALSE), FALSE), "No Data")</f>
        <v>788559</v>
      </c>
      <c r="E95" s="14">
        <f>IFERROR( VLOOKUP( $C95,covid_vlookup,HLOOKUP(E$1,covid_hlookup,2, FALSE), FALSE), "No Data")</f>
        <v>5912</v>
      </c>
      <c r="F95" s="14">
        <f>IFERROR( VLOOKUP( $C95,covid_vlookup,HLOOKUP(F$1,covid_hlookup,2, FALSE), FALSE), "No Data")</f>
        <v>4982904</v>
      </c>
      <c r="G95" s="14">
        <f>IFERROR( VLOOKUP( $C95,covid_vlookup,HLOOKUP(G$1,covid_hlookup,2, FALSE), FALSE), "No Data")</f>
        <v>67335.293</v>
      </c>
      <c r="H95" s="2"/>
    </row>
    <row r="96">
      <c r="A96" s="3" t="s">
        <v>67</v>
      </c>
      <c r="B96" s="3" t="s">
        <v>23</v>
      </c>
      <c r="C96" s="3" t="s">
        <v>68</v>
      </c>
      <c r="D96" s="14">
        <f>IFERROR( VLOOKUP( $C96,covid_vlookup,HLOOKUP(D$1,covid_hlookup,2, FALSE), FALSE), "No Data")</f>
        <v>13641</v>
      </c>
      <c r="E96" s="14">
        <f>IFERROR( VLOOKUP( $C96,covid_vlookup,HLOOKUP(E$1,covid_hlookup,2, FALSE), FALSE), "No Data")</f>
        <v>67</v>
      </c>
      <c r="F96" s="14">
        <f>IFERROR( VLOOKUP( $C96,covid_vlookup,HLOOKUP(F$1,covid_hlookup,2, FALSE), FALSE), "No Data")</f>
        <v>85410</v>
      </c>
      <c r="G96" s="14" t="str">
        <f>IFERROR( VLOOKUP( $C96,covid_vlookup,HLOOKUP(G$1,covid_hlookup,2, FALSE), FALSE), "No Data")</f>
        <v/>
      </c>
      <c r="H96" s="2"/>
    </row>
    <row r="97">
      <c r="A97" s="3" t="s">
        <v>273</v>
      </c>
      <c r="B97" s="3" t="s">
        <v>122</v>
      </c>
      <c r="C97" s="3" t="s">
        <v>274</v>
      </c>
      <c r="D97" s="14" t="str">
        <f>IFERROR( VLOOKUP( $C97,covid_vlookup,HLOOKUP(D$1,covid_hlookup,2, FALSE), FALSE), "No Data")</f>
        <v>No Data</v>
      </c>
      <c r="E97" s="14" t="str">
        <f>IFERROR( VLOOKUP( $C97,covid_vlookup,HLOOKUP(E$1,covid_hlookup,2, FALSE), FALSE), "No Data")</f>
        <v>No Data</v>
      </c>
      <c r="F97" s="14" t="str">
        <f>IFERROR( VLOOKUP( $C97,covid_vlookup,HLOOKUP(F$1,covid_hlookup,2, FALSE), FALSE), "No Data")</f>
        <v>No Data</v>
      </c>
      <c r="G97" s="14" t="str">
        <f>IFERROR( VLOOKUP( $C97,covid_vlookup,HLOOKUP(G$1,covid_hlookup,2, FALSE), FALSE), "No Data")</f>
        <v>No Data</v>
      </c>
      <c r="H97" s="2"/>
    </row>
    <row r="98">
      <c r="A98" s="3" t="s">
        <v>73</v>
      </c>
      <c r="B98" s="3" t="s">
        <v>23</v>
      </c>
      <c r="C98" s="3" t="s">
        <v>74</v>
      </c>
      <c r="D98" s="14">
        <f>IFERROR( VLOOKUP( $C98,covid_vlookup,HLOOKUP(D$1,covid_hlookup,2, FALSE), FALSE), "No Data")</f>
        <v>6125683</v>
      </c>
      <c r="E98" s="14">
        <f>IFERROR( VLOOKUP( $C98,covid_vlookup,HLOOKUP(E$1,covid_hlookup,2, FALSE), FALSE), "No Data")</f>
        <v>137402</v>
      </c>
      <c r="F98" s="14">
        <f>IFERROR( VLOOKUP( $C98,covid_vlookup,HLOOKUP(F$1,covid_hlookup,2, FALSE), FALSE), "No Data")</f>
        <v>60367471</v>
      </c>
      <c r="G98" s="14">
        <f>IFERROR( VLOOKUP( $C98,covid_vlookup,HLOOKUP(G$1,covid_hlookup,2, FALSE), FALSE), "No Data")</f>
        <v>35220.084</v>
      </c>
      <c r="H98" s="2"/>
    </row>
    <row r="99">
      <c r="A99" s="3" t="s">
        <v>275</v>
      </c>
      <c r="B99" s="3" t="s">
        <v>130</v>
      </c>
      <c r="C99" s="3" t="s">
        <v>276</v>
      </c>
      <c r="D99" s="14" t="str">
        <f>IFERROR( VLOOKUP( $C99,covid_vlookup,HLOOKUP(D$1,covid_hlookup,2, FALSE), FALSE), "No Data")</f>
        <v>No Data</v>
      </c>
      <c r="E99" s="14" t="str">
        <f>IFERROR( VLOOKUP( $C99,covid_vlookup,HLOOKUP(E$1,covid_hlookup,2, FALSE), FALSE), "No Data")</f>
        <v>No Data</v>
      </c>
      <c r="F99" s="14" t="str">
        <f>IFERROR( VLOOKUP( $C99,covid_vlookup,HLOOKUP(F$1,covid_hlookup,2, FALSE), FALSE), "No Data")</f>
        <v>No Data</v>
      </c>
      <c r="G99" s="14" t="str">
        <f>IFERROR( VLOOKUP( $C99,covid_vlookup,HLOOKUP(G$1,covid_hlookup,2, FALSE), FALSE), "No Data")</f>
        <v>No Data</v>
      </c>
      <c r="H99" s="2"/>
    </row>
    <row r="100">
      <c r="A100" s="3" t="s">
        <v>277</v>
      </c>
      <c r="B100" s="3" t="s">
        <v>122</v>
      </c>
      <c r="C100" s="3" t="s">
        <v>278</v>
      </c>
      <c r="D100" s="14" t="str">
        <f>IFERROR( VLOOKUP( $C100,covid_vlookup,HLOOKUP(D$1,covid_hlookup,2, FALSE), FALSE), "No Data")</f>
        <v>No Data</v>
      </c>
      <c r="E100" s="14" t="str">
        <f>IFERROR( VLOOKUP( $C100,covid_vlookup,HLOOKUP(E$1,covid_hlookup,2, FALSE), FALSE), "No Data")</f>
        <v>No Data</v>
      </c>
      <c r="F100" s="14" t="str">
        <f>IFERROR( VLOOKUP( $C100,covid_vlookup,HLOOKUP(F$1,covid_hlookup,2, FALSE), FALSE), "No Data")</f>
        <v>No Data</v>
      </c>
      <c r="G100" s="14" t="str">
        <f>IFERROR( VLOOKUP( $C100,covid_vlookup,HLOOKUP(G$1,covid_hlookup,2, FALSE), FALSE), "No Data")</f>
        <v>No Data</v>
      </c>
      <c r="H100" s="2"/>
    </row>
    <row r="101">
      <c r="A101" s="3" t="s">
        <v>75</v>
      </c>
      <c r="B101" s="3" t="s">
        <v>23</v>
      </c>
      <c r="C101" s="3" t="s">
        <v>76</v>
      </c>
      <c r="D101" s="14" t="str">
        <f>IFERROR( VLOOKUP( $C101,covid_vlookup,HLOOKUP(D$1,covid_hlookup,2, FALSE), FALSE), "No Data")</f>
        <v/>
      </c>
      <c r="E101" s="14" t="str">
        <f>IFERROR( VLOOKUP( $C101,covid_vlookup,HLOOKUP(E$1,covid_hlookup,2, FALSE), FALSE), "No Data")</f>
        <v/>
      </c>
      <c r="F101" s="14">
        <f>IFERROR( VLOOKUP( $C101,covid_vlookup,HLOOKUP(F$1,covid_hlookup,2, FALSE), FALSE), "No Data")</f>
        <v>101073</v>
      </c>
      <c r="G101" s="14" t="str">
        <f>IFERROR( VLOOKUP( $C101,covid_vlookup,HLOOKUP(G$1,covid_hlookup,2, FALSE), FALSE), "No Data")</f>
        <v/>
      </c>
      <c r="H101" s="2"/>
    </row>
    <row r="102">
      <c r="A102" s="3" t="s">
        <v>279</v>
      </c>
      <c r="B102" s="3" t="s">
        <v>122</v>
      </c>
      <c r="C102" s="3" t="s">
        <v>280</v>
      </c>
      <c r="D102" s="14" t="str">
        <f>IFERROR( VLOOKUP( $C102,covid_vlookup,HLOOKUP(D$1,covid_hlookup,2, FALSE), FALSE), "No Data")</f>
        <v>No Data</v>
      </c>
      <c r="E102" s="14" t="str">
        <f>IFERROR( VLOOKUP( $C102,covid_vlookup,HLOOKUP(E$1,covid_hlookup,2, FALSE), FALSE), "No Data")</f>
        <v>No Data</v>
      </c>
      <c r="F102" s="14" t="str">
        <f>IFERROR( VLOOKUP( $C102,covid_vlookup,HLOOKUP(F$1,covid_hlookup,2, FALSE), FALSE), "No Data")</f>
        <v>No Data</v>
      </c>
      <c r="G102" s="14" t="str">
        <f>IFERROR( VLOOKUP( $C102,covid_vlookup,HLOOKUP(G$1,covid_hlookup,2, FALSE), FALSE), "No Data")</f>
        <v>No Data</v>
      </c>
      <c r="H102" s="2"/>
    </row>
    <row r="103">
      <c r="A103" s="3" t="s">
        <v>281</v>
      </c>
      <c r="B103" s="3" t="s">
        <v>122</v>
      </c>
      <c r="C103" s="3" t="s">
        <v>282</v>
      </c>
      <c r="D103" s="14" t="str">
        <f>IFERROR( VLOOKUP( $C103,covid_vlookup,HLOOKUP(D$1,covid_hlookup,2, FALSE), FALSE), "No Data")</f>
        <v>No Data</v>
      </c>
      <c r="E103" s="14" t="str">
        <f>IFERROR( VLOOKUP( $C103,covid_vlookup,HLOOKUP(E$1,covid_hlookup,2, FALSE), FALSE), "No Data")</f>
        <v>No Data</v>
      </c>
      <c r="F103" s="14" t="str">
        <f>IFERROR( VLOOKUP( $C103,covid_vlookup,HLOOKUP(F$1,covid_hlookup,2, FALSE), FALSE), "No Data")</f>
        <v>No Data</v>
      </c>
      <c r="G103" s="14" t="str">
        <f>IFERROR( VLOOKUP( $C103,covid_vlookup,HLOOKUP(G$1,covid_hlookup,2, FALSE), FALSE), "No Data")</f>
        <v>No Data</v>
      </c>
      <c r="H103" s="2"/>
    </row>
    <row r="104">
      <c r="A104" s="3" t="s">
        <v>283</v>
      </c>
      <c r="B104" s="3" t="s">
        <v>125</v>
      </c>
      <c r="C104" s="3" t="s">
        <v>284</v>
      </c>
      <c r="D104" s="14" t="str">
        <f>IFERROR( VLOOKUP( $C104,covid_vlookup,HLOOKUP(D$1,covid_hlookup,2, FALSE), FALSE), "No Data")</f>
        <v>No Data</v>
      </c>
      <c r="E104" s="14" t="str">
        <f>IFERROR( VLOOKUP( $C104,covid_vlookup,HLOOKUP(E$1,covid_hlookup,2, FALSE), FALSE), "No Data")</f>
        <v>No Data</v>
      </c>
      <c r="F104" s="14" t="str">
        <f>IFERROR( VLOOKUP( $C104,covid_vlookup,HLOOKUP(F$1,covid_hlookup,2, FALSE), FALSE), "No Data")</f>
        <v>No Data</v>
      </c>
      <c r="G104" s="14" t="str">
        <f>IFERROR( VLOOKUP( $C104,covid_vlookup,HLOOKUP(G$1,covid_hlookup,2, FALSE), FALSE), "No Data")</f>
        <v>No Data</v>
      </c>
      <c r="H104" s="2"/>
    </row>
    <row r="105">
      <c r="A105" s="3" t="s">
        <v>285</v>
      </c>
      <c r="B105" s="3" t="s">
        <v>23</v>
      </c>
      <c r="C105" s="3" t="s">
        <v>286</v>
      </c>
      <c r="D105" s="14" t="str">
        <f>IFERROR( VLOOKUP( $C105,covid_vlookup,HLOOKUP(D$1,covid_hlookup,2, FALSE), FALSE), "No Data")</f>
        <v>No Data</v>
      </c>
      <c r="E105" s="14" t="str">
        <f>IFERROR( VLOOKUP( $C105,covid_vlookup,HLOOKUP(E$1,covid_hlookup,2, FALSE), FALSE), "No Data")</f>
        <v>No Data</v>
      </c>
      <c r="F105" s="14" t="str">
        <f>IFERROR( VLOOKUP( $C105,covid_vlookup,HLOOKUP(F$1,covid_hlookup,2, FALSE), FALSE), "No Data")</f>
        <v>No Data</v>
      </c>
      <c r="G105" s="14" t="str">
        <f>IFERROR( VLOOKUP( $C105,covid_vlookup,HLOOKUP(G$1,covid_hlookup,2, FALSE), FALSE), "No Data")</f>
        <v>No Data</v>
      </c>
      <c r="H105" s="2"/>
    </row>
    <row r="106">
      <c r="A106" s="3" t="s">
        <v>287</v>
      </c>
      <c r="B106" s="3" t="s">
        <v>122</v>
      </c>
      <c r="C106" s="3" t="s">
        <v>288</v>
      </c>
      <c r="D106" s="14" t="str">
        <f>IFERROR( VLOOKUP( $C106,covid_vlookup,HLOOKUP(D$1,covid_hlookup,2, FALSE), FALSE), "No Data")</f>
        <v>No Data</v>
      </c>
      <c r="E106" s="14" t="str">
        <f>IFERROR( VLOOKUP( $C106,covid_vlookup,HLOOKUP(E$1,covid_hlookup,2, FALSE), FALSE), "No Data")</f>
        <v>No Data</v>
      </c>
      <c r="F106" s="14" t="str">
        <f>IFERROR( VLOOKUP( $C106,covid_vlookup,HLOOKUP(F$1,covid_hlookup,2, FALSE), FALSE), "No Data")</f>
        <v>No Data</v>
      </c>
      <c r="G106" s="14" t="str">
        <f>IFERROR( VLOOKUP( $C106,covid_vlookup,HLOOKUP(G$1,covid_hlookup,2, FALSE), FALSE), "No Data")</f>
        <v>No Data</v>
      </c>
      <c r="H106" s="2"/>
    </row>
    <row r="107">
      <c r="A107" s="3" t="s">
        <v>289</v>
      </c>
      <c r="B107" s="3" t="s">
        <v>122</v>
      </c>
      <c r="C107" s="3" t="s">
        <v>290</v>
      </c>
      <c r="D107" s="14" t="str">
        <f>IFERROR( VLOOKUP( $C107,covid_vlookup,HLOOKUP(D$1,covid_hlookup,2, FALSE), FALSE), "No Data")</f>
        <v>No Data</v>
      </c>
      <c r="E107" s="14" t="str">
        <f>IFERROR( VLOOKUP( $C107,covid_vlookup,HLOOKUP(E$1,covid_hlookup,2, FALSE), FALSE), "No Data")</f>
        <v>No Data</v>
      </c>
      <c r="F107" s="14" t="str">
        <f>IFERROR( VLOOKUP( $C107,covid_vlookup,HLOOKUP(F$1,covid_hlookup,2, FALSE), FALSE), "No Data")</f>
        <v>No Data</v>
      </c>
      <c r="G107" s="14" t="str">
        <f>IFERROR( VLOOKUP( $C107,covid_vlookup,HLOOKUP(G$1,covid_hlookup,2, FALSE), FALSE), "No Data")</f>
        <v>No Data</v>
      </c>
      <c r="H107" s="2"/>
    </row>
    <row r="108">
      <c r="A108" s="3" t="s">
        <v>291</v>
      </c>
      <c r="B108" s="3" t="s">
        <v>122</v>
      </c>
      <c r="C108" s="3" t="s">
        <v>292</v>
      </c>
      <c r="D108" s="14" t="str">
        <f>IFERROR( VLOOKUP( $C108,covid_vlookup,HLOOKUP(D$1,covid_hlookup,2, FALSE), FALSE), "No Data")</f>
        <v>No Data</v>
      </c>
      <c r="E108" s="14" t="str">
        <f>IFERROR( VLOOKUP( $C108,covid_vlookup,HLOOKUP(E$1,covid_hlookup,2, FALSE), FALSE), "No Data")</f>
        <v>No Data</v>
      </c>
      <c r="F108" s="14" t="str">
        <f>IFERROR( VLOOKUP( $C108,covid_vlookup,HLOOKUP(F$1,covid_hlookup,2, FALSE), FALSE), "No Data")</f>
        <v>No Data</v>
      </c>
      <c r="G108" s="14" t="str">
        <f>IFERROR( VLOOKUP( $C108,covid_vlookup,HLOOKUP(G$1,covid_hlookup,2, FALSE), FALSE), "No Data")</f>
        <v>No Data</v>
      </c>
      <c r="H108" s="2"/>
    </row>
    <row r="109">
      <c r="A109" s="3" t="s">
        <v>83</v>
      </c>
      <c r="B109" s="3" t="s">
        <v>23</v>
      </c>
      <c r="C109" s="3" t="s">
        <v>84</v>
      </c>
      <c r="D109" s="14">
        <f>IFERROR( VLOOKUP( $C109,covid_vlookup,HLOOKUP(D$1,covid_hlookup,2, FALSE), FALSE), "No Data")</f>
        <v>276674</v>
      </c>
      <c r="E109" s="14">
        <f>IFERROR( VLOOKUP( $C109,covid_vlookup,HLOOKUP(E$1,covid_hlookup,2, FALSE), FALSE), "No Data")</f>
        <v>4570</v>
      </c>
      <c r="F109" s="14">
        <f>IFERROR( VLOOKUP( $C109,covid_vlookup,HLOOKUP(F$1,covid_hlookup,2, FALSE), FALSE), "No Data")</f>
        <v>1866934</v>
      </c>
      <c r="G109" s="14">
        <f>IFERROR( VLOOKUP( $C109,covid_vlookup,HLOOKUP(G$1,covid_hlookup,2, FALSE), FALSE), "No Data")</f>
        <v>25063.846</v>
      </c>
      <c r="H109" s="2"/>
    </row>
    <row r="110">
      <c r="A110" s="3" t="s">
        <v>293</v>
      </c>
      <c r="B110" s="3" t="s">
        <v>122</v>
      </c>
      <c r="C110" s="3" t="s">
        <v>294</v>
      </c>
      <c r="D110" s="14" t="str">
        <f>IFERROR( VLOOKUP( $C110,covid_vlookup,HLOOKUP(D$1,covid_hlookup,2, FALSE), FALSE), "No Data")</f>
        <v>No Data</v>
      </c>
      <c r="E110" s="14" t="str">
        <f>IFERROR( VLOOKUP( $C110,covid_vlookup,HLOOKUP(E$1,covid_hlookup,2, FALSE), FALSE), "No Data")</f>
        <v>No Data</v>
      </c>
      <c r="F110" s="14" t="str">
        <f>IFERROR( VLOOKUP( $C110,covid_vlookup,HLOOKUP(F$1,covid_hlookup,2, FALSE), FALSE), "No Data")</f>
        <v>No Data</v>
      </c>
      <c r="G110" s="14" t="str">
        <f>IFERROR( VLOOKUP( $C110,covid_vlookup,HLOOKUP(G$1,covid_hlookup,2, FALSE), FALSE), "No Data")</f>
        <v>No Data</v>
      </c>
      <c r="H110" s="2"/>
    </row>
    <row r="111">
      <c r="A111" s="3" t="s">
        <v>295</v>
      </c>
      <c r="B111" s="3" t="s">
        <v>125</v>
      </c>
      <c r="C111" s="3" t="s">
        <v>296</v>
      </c>
      <c r="D111" s="14" t="str">
        <f>IFERROR( VLOOKUP( $C111,covid_vlookup,HLOOKUP(D$1,covid_hlookup,2, FALSE), FALSE), "No Data")</f>
        <v>No Data</v>
      </c>
      <c r="E111" s="14" t="str">
        <f>IFERROR( VLOOKUP( $C111,covid_vlookup,HLOOKUP(E$1,covid_hlookup,2, FALSE), FALSE), "No Data")</f>
        <v>No Data</v>
      </c>
      <c r="F111" s="14" t="str">
        <f>IFERROR( VLOOKUP( $C111,covid_vlookup,HLOOKUP(F$1,covid_hlookup,2, FALSE), FALSE), "No Data")</f>
        <v>No Data</v>
      </c>
      <c r="G111" s="14" t="str">
        <f>IFERROR( VLOOKUP( $C111,covid_vlookup,HLOOKUP(G$1,covid_hlookup,2, FALSE), FALSE), "No Data")</f>
        <v>No Data</v>
      </c>
      <c r="H111" s="2"/>
    </row>
    <row r="112">
      <c r="A112" s="3" t="s">
        <v>297</v>
      </c>
      <c r="B112" s="3" t="s">
        <v>125</v>
      </c>
      <c r="C112" s="3" t="s">
        <v>298</v>
      </c>
      <c r="D112" s="14" t="str">
        <f>IFERROR( VLOOKUP( $C112,covid_vlookup,HLOOKUP(D$1,covid_hlookup,2, FALSE), FALSE), "No Data")</f>
        <v>No Data</v>
      </c>
      <c r="E112" s="14" t="str">
        <f>IFERROR( VLOOKUP( $C112,covid_vlookup,HLOOKUP(E$1,covid_hlookup,2, FALSE), FALSE), "No Data")</f>
        <v>No Data</v>
      </c>
      <c r="F112" s="14" t="str">
        <f>IFERROR( VLOOKUP( $C112,covid_vlookup,HLOOKUP(F$1,covid_hlookup,2, FALSE), FALSE), "No Data")</f>
        <v>No Data</v>
      </c>
      <c r="G112" s="14" t="str">
        <f>IFERROR( VLOOKUP( $C112,covid_vlookup,HLOOKUP(G$1,covid_hlookup,2, FALSE), FALSE), "No Data")</f>
        <v>No Data</v>
      </c>
      <c r="H112" s="2"/>
    </row>
    <row r="113">
      <c r="A113" s="3" t="s">
        <v>299</v>
      </c>
      <c r="B113" s="3" t="s">
        <v>125</v>
      </c>
      <c r="C113" s="3" t="s">
        <v>300</v>
      </c>
      <c r="D113" s="14" t="str">
        <f>IFERROR( VLOOKUP( $C113,covid_vlookup,HLOOKUP(D$1,covid_hlookup,2, FALSE), FALSE), "No Data")</f>
        <v>No Data</v>
      </c>
      <c r="E113" s="14" t="str">
        <f>IFERROR( VLOOKUP( $C113,covid_vlookup,HLOOKUP(E$1,covid_hlookup,2, FALSE), FALSE), "No Data")</f>
        <v>No Data</v>
      </c>
      <c r="F113" s="14" t="str">
        <f>IFERROR( VLOOKUP( $C113,covid_vlookup,HLOOKUP(F$1,covid_hlookup,2, FALSE), FALSE), "No Data")</f>
        <v>No Data</v>
      </c>
      <c r="G113" s="14" t="str">
        <f>IFERROR( VLOOKUP( $C113,covid_vlookup,HLOOKUP(G$1,covid_hlookup,2, FALSE), FALSE), "No Data")</f>
        <v>No Data</v>
      </c>
      <c r="H113" s="2"/>
    </row>
    <row r="114">
      <c r="A114" s="3" t="s">
        <v>77</v>
      </c>
      <c r="B114" s="3" t="s">
        <v>23</v>
      </c>
      <c r="C114" s="3" t="s">
        <v>78</v>
      </c>
      <c r="D114" s="14">
        <f>IFERROR( VLOOKUP( $C114,covid_vlookup,HLOOKUP(D$1,covid_hlookup,2, FALSE), FALSE), "No Data")</f>
        <v>6131</v>
      </c>
      <c r="E114" s="14">
        <f>IFERROR( VLOOKUP( $C114,covid_vlookup,HLOOKUP(E$1,covid_hlookup,2, FALSE), FALSE), "No Data")</f>
        <v>69</v>
      </c>
      <c r="F114" s="14">
        <f>IFERROR( VLOOKUP( $C114,covid_vlookup,HLOOKUP(F$1,covid_hlookup,2, FALSE), FALSE), "No Data")</f>
        <v>38254</v>
      </c>
      <c r="G114" s="14" t="str">
        <f>IFERROR( VLOOKUP( $C114,covid_vlookup,HLOOKUP(G$1,covid_hlookup,2, FALSE), FALSE), "No Data")</f>
        <v/>
      </c>
      <c r="H114" s="2"/>
    </row>
    <row r="115">
      <c r="A115" s="3" t="s">
        <v>79</v>
      </c>
      <c r="B115" s="3" t="s">
        <v>23</v>
      </c>
      <c r="C115" s="3" t="s">
        <v>80</v>
      </c>
      <c r="D115" s="14">
        <f>IFERROR( VLOOKUP( $C115,covid_vlookup,HLOOKUP(D$1,covid_hlookup,2, FALSE), FALSE), "No Data")</f>
        <v>519597</v>
      </c>
      <c r="E115" s="14">
        <f>IFERROR( VLOOKUP( $C115,covid_vlookup,HLOOKUP(E$1,covid_hlookup,2, FALSE), FALSE), "No Data")</f>
        <v>7387</v>
      </c>
      <c r="F115" s="14">
        <f>IFERROR( VLOOKUP( $C115,covid_vlookup,HLOOKUP(F$1,covid_hlookup,2, FALSE), FALSE), "No Data")</f>
        <v>2689862</v>
      </c>
      <c r="G115" s="14">
        <f>IFERROR( VLOOKUP( $C115,covid_vlookup,HLOOKUP(G$1,covid_hlookup,2, FALSE), FALSE), "No Data")</f>
        <v>29524.265</v>
      </c>
      <c r="H115" s="2"/>
    </row>
    <row r="116">
      <c r="A116" s="3" t="s">
        <v>81</v>
      </c>
      <c r="B116" s="3" t="s">
        <v>23</v>
      </c>
      <c r="C116" s="3" t="s">
        <v>82</v>
      </c>
      <c r="D116" s="14">
        <f>IFERROR( VLOOKUP( $C116,covid_vlookup,HLOOKUP(D$1,covid_hlookup,2, FALSE), FALSE), "No Data")</f>
        <v>103766</v>
      </c>
      <c r="E116" s="14">
        <f>IFERROR( VLOOKUP( $C116,covid_vlookup,HLOOKUP(E$1,covid_hlookup,2, FALSE), FALSE), "No Data")</f>
        <v>915</v>
      </c>
      <c r="F116" s="14">
        <f>IFERROR( VLOOKUP( $C116,covid_vlookup,HLOOKUP(F$1,covid_hlookup,2, FALSE), FALSE), "No Data")</f>
        <v>634814</v>
      </c>
      <c r="G116" s="14">
        <f>IFERROR( VLOOKUP( $C116,covid_vlookup,HLOOKUP(G$1,covid_hlookup,2, FALSE), FALSE), "No Data")</f>
        <v>94277.965</v>
      </c>
      <c r="H116" s="2"/>
    </row>
    <row r="117">
      <c r="A117" s="3" t="s">
        <v>89</v>
      </c>
      <c r="B117" s="3" t="s">
        <v>23</v>
      </c>
      <c r="C117" s="3" t="s">
        <v>301</v>
      </c>
      <c r="D117" s="14" t="str">
        <f>IFERROR( VLOOKUP( $C117,covid_vlookup,HLOOKUP(D$1,covid_hlookup,2, FALSE), FALSE), "No Data")</f>
        <v>No Data</v>
      </c>
      <c r="E117" s="14" t="str">
        <f>IFERROR( VLOOKUP( $C117,covid_vlookup,HLOOKUP(E$1,covid_hlookup,2, FALSE), FALSE), "No Data")</f>
        <v>No Data</v>
      </c>
      <c r="F117" s="14" t="str">
        <f>IFERROR( VLOOKUP( $C117,covid_vlookup,HLOOKUP(F$1,covid_hlookup,2, FALSE), FALSE), "No Data")</f>
        <v>No Data</v>
      </c>
      <c r="G117" s="14" t="str">
        <f>IFERROR( VLOOKUP( $C117,covid_vlookup,HLOOKUP(G$1,covid_hlookup,2, FALSE), FALSE), "No Data")</f>
        <v>No Data</v>
      </c>
      <c r="H117" s="2"/>
    </row>
    <row r="118">
      <c r="A118" s="3" t="s">
        <v>302</v>
      </c>
      <c r="B118" s="3" t="s">
        <v>125</v>
      </c>
      <c r="C118" s="3" t="s">
        <v>303</v>
      </c>
      <c r="D118" s="14" t="str">
        <f>IFERROR( VLOOKUP( $C118,covid_vlookup,HLOOKUP(D$1,covid_hlookup,2, FALSE), FALSE), "No Data")</f>
        <v>No Data</v>
      </c>
      <c r="E118" s="14" t="str">
        <f>IFERROR( VLOOKUP( $C118,covid_vlookup,HLOOKUP(E$1,covid_hlookup,2, FALSE), FALSE), "No Data")</f>
        <v>No Data</v>
      </c>
      <c r="F118" s="14" t="str">
        <f>IFERROR( VLOOKUP( $C118,covid_vlookup,HLOOKUP(F$1,covid_hlookup,2, FALSE), FALSE), "No Data")</f>
        <v>No Data</v>
      </c>
      <c r="G118" s="14" t="str">
        <f>IFERROR( VLOOKUP( $C118,covid_vlookup,HLOOKUP(G$1,covid_hlookup,2, FALSE), FALSE), "No Data")</f>
        <v>No Data</v>
      </c>
      <c r="H118" s="2"/>
    </row>
    <row r="119">
      <c r="A119" s="3" t="s">
        <v>304</v>
      </c>
      <c r="B119" s="3" t="s">
        <v>125</v>
      </c>
      <c r="C119" s="3" t="s">
        <v>305</v>
      </c>
      <c r="D119" s="14" t="str">
        <f>IFERROR( VLOOKUP( $C119,covid_vlookup,HLOOKUP(D$1,covid_hlookup,2, FALSE), FALSE), "No Data")</f>
        <v>No Data</v>
      </c>
      <c r="E119" s="14" t="str">
        <f>IFERROR( VLOOKUP( $C119,covid_vlookup,HLOOKUP(E$1,covid_hlookup,2, FALSE), FALSE), "No Data")</f>
        <v>No Data</v>
      </c>
      <c r="F119" s="14" t="str">
        <f>IFERROR( VLOOKUP( $C119,covid_vlookup,HLOOKUP(F$1,covid_hlookup,2, FALSE), FALSE), "No Data")</f>
        <v>No Data</v>
      </c>
      <c r="G119" s="14" t="str">
        <f>IFERROR( VLOOKUP( $C119,covid_vlookup,HLOOKUP(G$1,covid_hlookup,2, FALSE), FALSE), "No Data")</f>
        <v>No Data</v>
      </c>
      <c r="H119" s="2"/>
    </row>
    <row r="120">
      <c r="A120" s="3" t="s">
        <v>306</v>
      </c>
      <c r="B120" s="3" t="s">
        <v>122</v>
      </c>
      <c r="C120" s="3" t="s">
        <v>307</v>
      </c>
      <c r="D120" s="14" t="str">
        <f>IFERROR( VLOOKUP( $C120,covid_vlookup,HLOOKUP(D$1,covid_hlookup,2, FALSE), FALSE), "No Data")</f>
        <v>No Data</v>
      </c>
      <c r="E120" s="14" t="str">
        <f>IFERROR( VLOOKUP( $C120,covid_vlookup,HLOOKUP(E$1,covid_hlookup,2, FALSE), FALSE), "No Data")</f>
        <v>No Data</v>
      </c>
      <c r="F120" s="14" t="str">
        <f>IFERROR( VLOOKUP( $C120,covid_vlookup,HLOOKUP(F$1,covid_hlookup,2, FALSE), FALSE), "No Data")</f>
        <v>No Data</v>
      </c>
      <c r="G120" s="14" t="str">
        <f>IFERROR( VLOOKUP( $C120,covid_vlookup,HLOOKUP(G$1,covid_hlookup,2, FALSE), FALSE), "No Data")</f>
        <v>No Data</v>
      </c>
      <c r="H120" s="2"/>
    </row>
    <row r="121">
      <c r="A121" s="3" t="s">
        <v>308</v>
      </c>
      <c r="B121" s="3" t="s">
        <v>122</v>
      </c>
      <c r="C121" s="3" t="s">
        <v>309</v>
      </c>
      <c r="D121" s="14" t="str">
        <f>IFERROR( VLOOKUP( $C121,covid_vlookup,HLOOKUP(D$1,covid_hlookup,2, FALSE), FALSE), "No Data")</f>
        <v>No Data</v>
      </c>
      <c r="E121" s="14" t="str">
        <f>IFERROR( VLOOKUP( $C121,covid_vlookup,HLOOKUP(E$1,covid_hlookup,2, FALSE), FALSE), "No Data")</f>
        <v>No Data</v>
      </c>
      <c r="F121" s="14" t="str">
        <f>IFERROR( VLOOKUP( $C121,covid_vlookup,HLOOKUP(F$1,covid_hlookup,2, FALSE), FALSE), "No Data")</f>
        <v>No Data</v>
      </c>
      <c r="G121" s="14" t="str">
        <f>IFERROR( VLOOKUP( $C121,covid_vlookup,HLOOKUP(G$1,covid_hlookup,2, FALSE), FALSE), "No Data")</f>
        <v>No Data</v>
      </c>
      <c r="H121" s="2"/>
    </row>
    <row r="122">
      <c r="A122" s="3" t="s">
        <v>310</v>
      </c>
      <c r="B122" s="3" t="s">
        <v>125</v>
      </c>
      <c r="C122" s="3" t="s">
        <v>311</v>
      </c>
      <c r="D122" s="14" t="str">
        <f>IFERROR( VLOOKUP( $C122,covid_vlookup,HLOOKUP(D$1,covid_hlookup,2, FALSE), FALSE), "No Data")</f>
        <v>No Data</v>
      </c>
      <c r="E122" s="14" t="str">
        <f>IFERROR( VLOOKUP( $C122,covid_vlookup,HLOOKUP(E$1,covid_hlookup,2, FALSE), FALSE), "No Data")</f>
        <v>No Data</v>
      </c>
      <c r="F122" s="14" t="str">
        <f>IFERROR( VLOOKUP( $C122,covid_vlookup,HLOOKUP(F$1,covid_hlookup,2, FALSE), FALSE), "No Data")</f>
        <v>No Data</v>
      </c>
      <c r="G122" s="14" t="str">
        <f>IFERROR( VLOOKUP( $C122,covid_vlookup,HLOOKUP(G$1,covid_hlookup,2, FALSE), FALSE), "No Data")</f>
        <v>No Data</v>
      </c>
      <c r="H122" s="2"/>
    </row>
    <row r="123">
      <c r="A123" s="3" t="s">
        <v>91</v>
      </c>
      <c r="B123" s="3" t="s">
        <v>23</v>
      </c>
      <c r="C123" s="3" t="s">
        <v>92</v>
      </c>
      <c r="D123" s="14">
        <f>IFERROR( VLOOKUP( $C123,covid_vlookup,HLOOKUP(D$1,covid_hlookup,2, FALSE), FALSE), "No Data")</f>
        <v>52473</v>
      </c>
      <c r="E123" s="14">
        <f>IFERROR( VLOOKUP( $C123,covid_vlookup,HLOOKUP(E$1,covid_hlookup,2, FALSE), FALSE), "No Data")</f>
        <v>476</v>
      </c>
      <c r="F123" s="14">
        <f>IFERROR( VLOOKUP( $C123,covid_vlookup,HLOOKUP(F$1,covid_hlookup,2, FALSE), FALSE), "No Data")</f>
        <v>516100</v>
      </c>
      <c r="G123" s="14">
        <f>IFERROR( VLOOKUP( $C123,covid_vlookup,HLOOKUP(G$1,covid_hlookup,2, FALSE), FALSE), "No Data")</f>
        <v>36513.323</v>
      </c>
      <c r="H123" s="2"/>
    </row>
    <row r="124">
      <c r="A124" s="3" t="s">
        <v>312</v>
      </c>
      <c r="B124" s="3" t="s">
        <v>125</v>
      </c>
      <c r="C124" s="3" t="s">
        <v>313</v>
      </c>
      <c r="D124" s="14" t="str">
        <f>IFERROR( VLOOKUP( $C124,covid_vlookup,HLOOKUP(D$1,covid_hlookup,2, FALSE), FALSE), "No Data")</f>
        <v>No Data</v>
      </c>
      <c r="E124" s="14" t="str">
        <f>IFERROR( VLOOKUP( $C124,covid_vlookup,HLOOKUP(E$1,covid_hlookup,2, FALSE), FALSE), "No Data")</f>
        <v>No Data</v>
      </c>
      <c r="F124" s="14" t="str">
        <f>IFERROR( VLOOKUP( $C124,covid_vlookup,HLOOKUP(F$1,covid_hlookup,2, FALSE), FALSE), "No Data")</f>
        <v>No Data</v>
      </c>
      <c r="G124" s="14" t="str">
        <f>IFERROR( VLOOKUP( $C124,covid_vlookup,HLOOKUP(G$1,covid_hlookup,2, FALSE), FALSE), "No Data")</f>
        <v>No Data</v>
      </c>
      <c r="H124" s="2"/>
    </row>
    <row r="125">
      <c r="A125" s="3" t="s">
        <v>314</v>
      </c>
      <c r="B125" s="3" t="s">
        <v>125</v>
      </c>
      <c r="C125" s="3" t="s">
        <v>315</v>
      </c>
      <c r="D125" s="14" t="str">
        <f>IFERROR( VLOOKUP( $C125,covid_vlookup,HLOOKUP(D$1,covid_hlookup,2, FALSE), FALSE), "No Data")</f>
        <v>No Data</v>
      </c>
      <c r="E125" s="14" t="str">
        <f>IFERROR( VLOOKUP( $C125,covid_vlookup,HLOOKUP(E$1,covid_hlookup,2, FALSE), FALSE), "No Data")</f>
        <v>No Data</v>
      </c>
      <c r="F125" s="14" t="str">
        <f>IFERROR( VLOOKUP( $C125,covid_vlookup,HLOOKUP(F$1,covid_hlookup,2, FALSE), FALSE), "No Data")</f>
        <v>No Data</v>
      </c>
      <c r="G125" s="14" t="str">
        <f>IFERROR( VLOOKUP( $C125,covid_vlookup,HLOOKUP(G$1,covid_hlookup,2, FALSE), FALSE), "No Data")</f>
        <v>No Data</v>
      </c>
      <c r="H125" s="2"/>
    </row>
    <row r="126">
      <c r="A126" s="3" t="s">
        <v>316</v>
      </c>
      <c r="B126" s="3" t="s">
        <v>130</v>
      </c>
      <c r="C126" s="3" t="s">
        <v>317</v>
      </c>
      <c r="D126" s="14" t="str">
        <f>IFERROR( VLOOKUP( $C126,covid_vlookup,HLOOKUP(D$1,covid_hlookup,2, FALSE), FALSE), "No Data")</f>
        <v>No Data</v>
      </c>
      <c r="E126" s="14" t="str">
        <f>IFERROR( VLOOKUP( $C126,covid_vlookup,HLOOKUP(E$1,covid_hlookup,2, FALSE), FALSE), "No Data")</f>
        <v>No Data</v>
      </c>
      <c r="F126" s="14" t="str">
        <f>IFERROR( VLOOKUP( $C126,covid_vlookup,HLOOKUP(F$1,covid_hlookup,2, FALSE), FALSE), "No Data")</f>
        <v>No Data</v>
      </c>
      <c r="G126" s="14" t="str">
        <f>IFERROR( VLOOKUP( $C126,covid_vlookup,HLOOKUP(G$1,covid_hlookup,2, FALSE), FALSE), "No Data")</f>
        <v>No Data</v>
      </c>
      <c r="H126" s="2"/>
    </row>
    <row r="127">
      <c r="A127" s="3" t="s">
        <v>87</v>
      </c>
      <c r="B127" s="3" t="s">
        <v>23</v>
      </c>
      <c r="C127" s="3" t="s">
        <v>88</v>
      </c>
      <c r="D127" s="14">
        <f>IFERROR( VLOOKUP( $C127,covid_vlookup,HLOOKUP(D$1,covid_hlookup,2, FALSE), FALSE), "No Data")</f>
        <v>376155</v>
      </c>
      <c r="E127" s="14">
        <f>IFERROR( VLOOKUP( $C127,covid_vlookup,HLOOKUP(E$1,covid_hlookup,2, FALSE), FALSE), "No Data")</f>
        <v>9690</v>
      </c>
      <c r="F127" s="14">
        <f>IFERROR( VLOOKUP( $C127,covid_vlookup,HLOOKUP(F$1,covid_hlookup,2, FALSE), FALSE), "No Data")</f>
        <v>4024025</v>
      </c>
      <c r="G127" s="14">
        <f>IFERROR( VLOOKUP( $C127,covid_vlookup,HLOOKUP(G$1,covid_hlookup,2, FALSE), FALSE), "No Data")</f>
        <v>5189.972</v>
      </c>
      <c r="H127" s="2"/>
    </row>
    <row r="128">
      <c r="A128" s="3" t="s">
        <v>85</v>
      </c>
      <c r="B128" s="3" t="s">
        <v>23</v>
      </c>
      <c r="C128" s="3" t="s">
        <v>86</v>
      </c>
      <c r="D128" s="14">
        <f>IFERROR( VLOOKUP( $C128,covid_vlookup,HLOOKUP(D$1,covid_hlookup,2, FALSE), FALSE), "No Data")</f>
        <v>4985</v>
      </c>
      <c r="E128" s="14">
        <f>IFERROR( VLOOKUP( $C128,covid_vlookup,HLOOKUP(E$1,covid_hlookup,2, FALSE), FALSE), "No Data")</f>
        <v>38</v>
      </c>
      <c r="F128" s="14">
        <f>IFERROR( VLOOKUP( $C128,covid_vlookup,HLOOKUP(F$1,covid_hlookup,2, FALSE), FALSE), "No Data")</f>
        <v>39520</v>
      </c>
      <c r="G128" s="14" t="str">
        <f>IFERROR( VLOOKUP( $C128,covid_vlookup,HLOOKUP(G$1,covid_hlookup,2, FALSE), FALSE), "No Data")</f>
        <v/>
      </c>
      <c r="H128" s="2"/>
    </row>
    <row r="129">
      <c r="A129" s="3" t="s">
        <v>318</v>
      </c>
      <c r="B129" s="3" t="s">
        <v>122</v>
      </c>
      <c r="C129" s="3" t="s">
        <v>319</v>
      </c>
      <c r="D129" s="14" t="str">
        <f>IFERROR( VLOOKUP( $C129,covid_vlookup,HLOOKUP(D$1,covid_hlookup,2, FALSE), FALSE), "No Data")</f>
        <v>No Data</v>
      </c>
      <c r="E129" s="14" t="str">
        <f>IFERROR( VLOOKUP( $C129,covid_vlookup,HLOOKUP(E$1,covid_hlookup,2, FALSE), FALSE), "No Data")</f>
        <v>No Data</v>
      </c>
      <c r="F129" s="14" t="str">
        <f>IFERROR( VLOOKUP( $C129,covid_vlookup,HLOOKUP(F$1,covid_hlookup,2, FALSE), FALSE), "No Data")</f>
        <v>No Data</v>
      </c>
      <c r="G129" s="14" t="str">
        <f>IFERROR( VLOOKUP( $C129,covid_vlookup,HLOOKUP(G$1,covid_hlookup,2, FALSE), FALSE), "No Data")</f>
        <v>No Data</v>
      </c>
      <c r="H129" s="2"/>
    </row>
    <row r="130">
      <c r="A130" s="3" t="s">
        <v>93</v>
      </c>
      <c r="B130" s="3" t="s">
        <v>23</v>
      </c>
      <c r="C130" s="3" t="s">
        <v>94</v>
      </c>
      <c r="D130" s="14">
        <f>IFERROR( VLOOKUP( $C130,covid_vlookup,HLOOKUP(D$1,covid_hlookup,2, FALSE), FALSE), "No Data")</f>
        <v>170034</v>
      </c>
      <c r="E130" s="14">
        <f>IFERROR( VLOOKUP( $C130,covid_vlookup,HLOOKUP(E$1,covid_hlookup,2, FALSE), FALSE), "No Data")</f>
        <v>2411</v>
      </c>
      <c r="F130" s="14">
        <f>IFERROR( VLOOKUP( $C130,covid_vlookup,HLOOKUP(F$1,covid_hlookup,2, FALSE), FALSE), "No Data")</f>
        <v>628051</v>
      </c>
      <c r="G130" s="14">
        <f>IFERROR( VLOOKUP( $C130,covid_vlookup,HLOOKUP(G$1,covid_hlookup,2, FALSE), FALSE), "No Data")</f>
        <v>16409.288</v>
      </c>
      <c r="H130" s="2"/>
    </row>
    <row r="131">
      <c r="A131" s="3" t="s">
        <v>320</v>
      </c>
      <c r="B131" s="3" t="s">
        <v>130</v>
      </c>
      <c r="C131" s="3" t="s">
        <v>321</v>
      </c>
      <c r="D131" s="14" t="str">
        <f>IFERROR( VLOOKUP( $C131,covid_vlookup,HLOOKUP(D$1,covid_hlookup,2, FALSE), FALSE), "No Data")</f>
        <v>No Data</v>
      </c>
      <c r="E131" s="14" t="str">
        <f>IFERROR( VLOOKUP( $C131,covid_vlookup,HLOOKUP(E$1,covid_hlookup,2, FALSE), FALSE), "No Data")</f>
        <v>No Data</v>
      </c>
      <c r="F131" s="14" t="str">
        <f>IFERROR( VLOOKUP( $C131,covid_vlookup,HLOOKUP(F$1,covid_hlookup,2, FALSE), FALSE), "No Data")</f>
        <v>No Data</v>
      </c>
      <c r="G131" s="14" t="str">
        <f>IFERROR( VLOOKUP( $C131,covid_vlookup,HLOOKUP(G$1,covid_hlookup,2, FALSE), FALSE), "No Data")</f>
        <v>No Data</v>
      </c>
      <c r="H131" s="2"/>
    </row>
    <row r="132">
      <c r="A132" s="3" t="s">
        <v>322</v>
      </c>
      <c r="B132" s="3" t="s">
        <v>125</v>
      </c>
      <c r="C132" s="3" t="s">
        <v>323</v>
      </c>
      <c r="D132" s="14" t="str">
        <f>IFERROR( VLOOKUP( $C132,covid_vlookup,HLOOKUP(D$1,covid_hlookup,2, FALSE), FALSE), "No Data")</f>
        <v>No Data</v>
      </c>
      <c r="E132" s="14" t="str">
        <f>IFERROR( VLOOKUP( $C132,covid_vlookup,HLOOKUP(E$1,covid_hlookup,2, FALSE), FALSE), "No Data")</f>
        <v>No Data</v>
      </c>
      <c r="F132" s="14" t="str">
        <f>IFERROR( VLOOKUP( $C132,covid_vlookup,HLOOKUP(F$1,covid_hlookup,2, FALSE), FALSE), "No Data")</f>
        <v>No Data</v>
      </c>
      <c r="G132" s="14" t="str">
        <f>IFERROR( VLOOKUP( $C132,covid_vlookup,HLOOKUP(G$1,covid_hlookup,2, FALSE), FALSE), "No Data")</f>
        <v>No Data</v>
      </c>
      <c r="H132" s="2"/>
    </row>
    <row r="133">
      <c r="A133" s="3" t="s">
        <v>324</v>
      </c>
      <c r="B133" s="3" t="s">
        <v>125</v>
      </c>
      <c r="C133" s="3" t="s">
        <v>325</v>
      </c>
      <c r="D133" s="14" t="str">
        <f>IFERROR( VLOOKUP( $C133,covid_vlookup,HLOOKUP(D$1,covid_hlookup,2, FALSE), FALSE), "No Data")</f>
        <v>No Data</v>
      </c>
      <c r="E133" s="14" t="str">
        <f>IFERROR( VLOOKUP( $C133,covid_vlookup,HLOOKUP(E$1,covid_hlookup,2, FALSE), FALSE), "No Data")</f>
        <v>No Data</v>
      </c>
      <c r="F133" s="14" t="str">
        <f>IFERROR( VLOOKUP( $C133,covid_vlookup,HLOOKUP(F$1,covid_hlookup,2, FALSE), FALSE), "No Data")</f>
        <v>No Data</v>
      </c>
      <c r="G133" s="14" t="str">
        <f>IFERROR( VLOOKUP( $C133,covid_vlookup,HLOOKUP(G$1,covid_hlookup,2, FALSE), FALSE), "No Data")</f>
        <v>No Data</v>
      </c>
      <c r="H133" s="2"/>
    </row>
    <row r="134">
      <c r="A134" s="3" t="s">
        <v>326</v>
      </c>
      <c r="B134" s="3" t="s">
        <v>122</v>
      </c>
      <c r="C134" s="3" t="s">
        <v>327</v>
      </c>
      <c r="D134" s="14" t="str">
        <f>IFERROR( VLOOKUP( $C134,covid_vlookup,HLOOKUP(D$1,covid_hlookup,2, FALSE), FALSE), "No Data")</f>
        <v>No Data</v>
      </c>
      <c r="E134" s="14" t="str">
        <f>IFERROR( VLOOKUP( $C134,covid_vlookup,HLOOKUP(E$1,covid_hlookup,2, FALSE), FALSE), "No Data")</f>
        <v>No Data</v>
      </c>
      <c r="F134" s="14" t="str">
        <f>IFERROR( VLOOKUP( $C134,covid_vlookup,HLOOKUP(F$1,covid_hlookup,2, FALSE), FALSE), "No Data")</f>
        <v>No Data</v>
      </c>
      <c r="G134" s="14" t="str">
        <f>IFERROR( VLOOKUP( $C134,covid_vlookup,HLOOKUP(G$1,covid_hlookup,2, FALSE), FALSE), "No Data")</f>
        <v>No Data</v>
      </c>
      <c r="H134" s="2"/>
    </row>
    <row r="135">
      <c r="A135" s="3" t="s">
        <v>328</v>
      </c>
      <c r="B135" s="3" t="s">
        <v>125</v>
      </c>
      <c r="C135" s="3" t="s">
        <v>329</v>
      </c>
      <c r="D135" s="14" t="str">
        <f>IFERROR( VLOOKUP( $C135,covid_vlookup,HLOOKUP(D$1,covid_hlookup,2, FALSE), FALSE), "No Data")</f>
        <v>No Data</v>
      </c>
      <c r="E135" s="14" t="str">
        <f>IFERROR( VLOOKUP( $C135,covid_vlookup,HLOOKUP(E$1,covid_hlookup,2, FALSE), FALSE), "No Data")</f>
        <v>No Data</v>
      </c>
      <c r="F135" s="14" t="str">
        <f>IFERROR( VLOOKUP( $C135,covid_vlookup,HLOOKUP(F$1,covid_hlookup,2, FALSE), FALSE), "No Data")</f>
        <v>No Data</v>
      </c>
      <c r="G135" s="14" t="str">
        <f>IFERROR( VLOOKUP( $C135,covid_vlookup,HLOOKUP(G$1,covid_hlookup,2, FALSE), FALSE), "No Data")</f>
        <v>No Data</v>
      </c>
      <c r="H135" s="2"/>
    </row>
    <row r="136">
      <c r="A136" s="3" t="s">
        <v>330</v>
      </c>
      <c r="B136" s="3" t="s">
        <v>122</v>
      </c>
      <c r="C136" s="3" t="s">
        <v>331</v>
      </c>
      <c r="D136" s="14" t="str">
        <f>IFERROR( VLOOKUP( $C136,covid_vlookup,HLOOKUP(D$1,covid_hlookup,2, FALSE), FALSE), "No Data")</f>
        <v>No Data</v>
      </c>
      <c r="E136" s="14" t="str">
        <f>IFERROR( VLOOKUP( $C136,covid_vlookup,HLOOKUP(E$1,covid_hlookup,2, FALSE), FALSE), "No Data")</f>
        <v>No Data</v>
      </c>
      <c r="F136" s="14" t="str">
        <f>IFERROR( VLOOKUP( $C136,covid_vlookup,HLOOKUP(F$1,covid_hlookup,2, FALSE), FALSE), "No Data")</f>
        <v>No Data</v>
      </c>
      <c r="G136" s="14" t="str">
        <f>IFERROR( VLOOKUP( $C136,covid_vlookup,HLOOKUP(G$1,covid_hlookup,2, FALSE), FALSE), "No Data")</f>
        <v>No Data</v>
      </c>
      <c r="H136" s="2"/>
    </row>
    <row r="137">
      <c r="A137" s="3" t="s">
        <v>95</v>
      </c>
      <c r="B137" s="3" t="s">
        <v>23</v>
      </c>
      <c r="C137" s="3" t="s">
        <v>96</v>
      </c>
      <c r="D137" s="14">
        <f>IFERROR( VLOOKUP( $C137,covid_vlookup,HLOOKUP(D$1,covid_hlookup,2, FALSE), FALSE), "No Data")</f>
        <v>3137942</v>
      </c>
      <c r="E137" s="14">
        <f>IFERROR( VLOOKUP( $C137,covid_vlookup,HLOOKUP(E$1,covid_hlookup,2, FALSE), FALSE), "No Data")</f>
        <v>20999</v>
      </c>
      <c r="F137" s="14">
        <f>IFERROR( VLOOKUP( $C137,covid_vlookup,HLOOKUP(F$1,covid_hlookup,2, FALSE), FALSE), "No Data")</f>
        <v>17173094</v>
      </c>
      <c r="G137" s="14">
        <f>IFERROR( VLOOKUP( $C137,covid_vlookup,HLOOKUP(G$1,covid_hlookup,2, FALSE), FALSE), "No Data")</f>
        <v>48472.545</v>
      </c>
      <c r="H137" s="2"/>
    </row>
    <row r="138">
      <c r="A138" s="3" t="s">
        <v>332</v>
      </c>
      <c r="B138" s="3" t="s">
        <v>142</v>
      </c>
      <c r="C138" s="3" t="s">
        <v>333</v>
      </c>
      <c r="D138" s="14" t="str">
        <f>IFERROR( VLOOKUP( $C138,covid_vlookup,HLOOKUP(D$1,covid_hlookup,2, FALSE), FALSE), "No Data")</f>
        <v>No Data</v>
      </c>
      <c r="E138" s="14" t="str">
        <f>IFERROR( VLOOKUP( $C138,covid_vlookup,HLOOKUP(E$1,covid_hlookup,2, FALSE), FALSE), "No Data")</f>
        <v>No Data</v>
      </c>
      <c r="F138" s="14" t="str">
        <f>IFERROR( VLOOKUP( $C138,covid_vlookup,HLOOKUP(F$1,covid_hlookup,2, FALSE), FALSE), "No Data")</f>
        <v>No Data</v>
      </c>
      <c r="G138" s="14" t="str">
        <f>IFERROR( VLOOKUP( $C138,covid_vlookup,HLOOKUP(G$1,covid_hlookup,2, FALSE), FALSE), "No Data")</f>
        <v>No Data</v>
      </c>
      <c r="H138" s="2"/>
    </row>
    <row r="139">
      <c r="A139" s="3" t="s">
        <v>334</v>
      </c>
      <c r="B139" s="3" t="s">
        <v>142</v>
      </c>
      <c r="C139" s="3" t="s">
        <v>335</v>
      </c>
      <c r="D139" s="14" t="str">
        <f>IFERROR( VLOOKUP( $C139,covid_vlookup,HLOOKUP(D$1,covid_hlookup,2, FALSE), FALSE), "No Data")</f>
        <v>No Data</v>
      </c>
      <c r="E139" s="14" t="str">
        <f>IFERROR( VLOOKUP( $C139,covid_vlookup,HLOOKUP(E$1,covid_hlookup,2, FALSE), FALSE), "No Data")</f>
        <v>No Data</v>
      </c>
      <c r="F139" s="14" t="str">
        <f>IFERROR( VLOOKUP( $C139,covid_vlookup,HLOOKUP(F$1,covid_hlookup,2, FALSE), FALSE), "No Data")</f>
        <v>No Data</v>
      </c>
      <c r="G139" s="14" t="str">
        <f>IFERROR( VLOOKUP( $C139,covid_vlookup,HLOOKUP(G$1,covid_hlookup,2, FALSE), FALSE), "No Data")</f>
        <v>No Data</v>
      </c>
      <c r="H139" s="2"/>
    </row>
    <row r="140">
      <c r="A140" s="3" t="s">
        <v>336</v>
      </c>
      <c r="B140" s="3" t="s">
        <v>130</v>
      </c>
      <c r="C140" s="3" t="s">
        <v>337</v>
      </c>
      <c r="D140" s="14" t="str">
        <f>IFERROR( VLOOKUP( $C140,covid_vlookup,HLOOKUP(D$1,covid_hlookup,2, FALSE), FALSE), "No Data")</f>
        <v>No Data</v>
      </c>
      <c r="E140" s="14" t="str">
        <f>IFERROR( VLOOKUP( $C140,covid_vlookup,HLOOKUP(E$1,covid_hlookup,2, FALSE), FALSE), "No Data")</f>
        <v>No Data</v>
      </c>
      <c r="F140" s="14" t="str">
        <f>IFERROR( VLOOKUP( $C140,covid_vlookup,HLOOKUP(F$1,covid_hlookup,2, FALSE), FALSE), "No Data")</f>
        <v>No Data</v>
      </c>
      <c r="G140" s="14" t="str">
        <f>IFERROR( VLOOKUP( $C140,covid_vlookup,HLOOKUP(G$1,covid_hlookup,2, FALSE), FALSE), "No Data")</f>
        <v>No Data</v>
      </c>
      <c r="H140" s="2"/>
    </row>
    <row r="141">
      <c r="A141" s="3" t="s">
        <v>338</v>
      </c>
      <c r="B141" s="3" t="s">
        <v>125</v>
      </c>
      <c r="C141" s="3" t="s">
        <v>339</v>
      </c>
      <c r="D141" s="14" t="str">
        <f>IFERROR( VLOOKUP( $C141,covid_vlookup,HLOOKUP(D$1,covid_hlookup,2, FALSE), FALSE), "No Data")</f>
        <v>No Data</v>
      </c>
      <c r="E141" s="14" t="str">
        <f>IFERROR( VLOOKUP( $C141,covid_vlookup,HLOOKUP(E$1,covid_hlookup,2, FALSE), FALSE), "No Data")</f>
        <v>No Data</v>
      </c>
      <c r="F141" s="14" t="str">
        <f>IFERROR( VLOOKUP( $C141,covid_vlookup,HLOOKUP(F$1,covid_hlookup,2, FALSE), FALSE), "No Data")</f>
        <v>No Data</v>
      </c>
      <c r="G141" s="14" t="str">
        <f>IFERROR( VLOOKUP( $C141,covid_vlookup,HLOOKUP(G$1,covid_hlookup,2, FALSE), FALSE), "No Data")</f>
        <v>No Data</v>
      </c>
      <c r="H141" s="2"/>
    </row>
    <row r="142">
      <c r="A142" s="3" t="s">
        <v>340</v>
      </c>
      <c r="B142" s="3" t="s">
        <v>125</v>
      </c>
      <c r="C142" s="3" t="s">
        <v>341</v>
      </c>
      <c r="D142" s="14" t="str">
        <f>IFERROR( VLOOKUP( $C142,covid_vlookup,HLOOKUP(D$1,covid_hlookup,2, FALSE), FALSE), "No Data")</f>
        <v>No Data</v>
      </c>
      <c r="E142" s="14" t="str">
        <f>IFERROR( VLOOKUP( $C142,covid_vlookup,HLOOKUP(E$1,covid_hlookup,2, FALSE), FALSE), "No Data")</f>
        <v>No Data</v>
      </c>
      <c r="F142" s="14" t="str">
        <f>IFERROR( VLOOKUP( $C142,covid_vlookup,HLOOKUP(F$1,covid_hlookup,2, FALSE), FALSE), "No Data")</f>
        <v>No Data</v>
      </c>
      <c r="G142" s="14" t="str">
        <f>IFERROR( VLOOKUP( $C142,covid_vlookup,HLOOKUP(G$1,covid_hlookup,2, FALSE), FALSE), "No Data")</f>
        <v>No Data</v>
      </c>
      <c r="H142" s="2"/>
    </row>
    <row r="143">
      <c r="A143" s="3" t="s">
        <v>342</v>
      </c>
      <c r="B143" s="3" t="s">
        <v>142</v>
      </c>
      <c r="C143" s="3" t="s">
        <v>343</v>
      </c>
      <c r="D143" s="14" t="str">
        <f>IFERROR( VLOOKUP( $C143,covid_vlookup,HLOOKUP(D$1,covid_hlookup,2, FALSE), FALSE), "No Data")</f>
        <v>No Data</v>
      </c>
      <c r="E143" s="14" t="str">
        <f>IFERROR( VLOOKUP( $C143,covid_vlookup,HLOOKUP(E$1,covid_hlookup,2, FALSE), FALSE), "No Data")</f>
        <v>No Data</v>
      </c>
      <c r="F143" s="14" t="str">
        <f>IFERROR( VLOOKUP( $C143,covid_vlookup,HLOOKUP(F$1,covid_hlookup,2, FALSE), FALSE), "No Data")</f>
        <v>No Data</v>
      </c>
      <c r="G143" s="14" t="str">
        <f>IFERROR( VLOOKUP( $C143,covid_vlookup,HLOOKUP(G$1,covid_hlookup,2, FALSE), FALSE), "No Data")</f>
        <v>No Data</v>
      </c>
      <c r="H143" s="2"/>
    </row>
    <row r="144">
      <c r="A144" s="3" t="s">
        <v>97</v>
      </c>
      <c r="B144" s="3" t="s">
        <v>23</v>
      </c>
      <c r="C144" s="3" t="s">
        <v>98</v>
      </c>
      <c r="D144" s="14">
        <f>IFERROR( VLOOKUP( $C144,covid_vlookup,HLOOKUP(D$1,covid_hlookup,2, FALSE), FALSE), "No Data")</f>
        <v>394259</v>
      </c>
      <c r="E144" s="14">
        <f>IFERROR( VLOOKUP( $C144,covid_vlookup,HLOOKUP(E$1,covid_hlookup,2, FALSE), FALSE), "No Data")</f>
        <v>1305</v>
      </c>
      <c r="F144" s="14">
        <f>IFERROR( VLOOKUP( $C144,covid_vlookup,HLOOKUP(F$1,covid_hlookup,2, FALSE), FALSE), "No Data")</f>
        <v>5465629</v>
      </c>
      <c r="G144" s="14">
        <f>IFERROR( VLOOKUP( $C144,covid_vlookup,HLOOKUP(G$1,covid_hlookup,2, FALSE), FALSE), "No Data")</f>
        <v>64800.057</v>
      </c>
      <c r="H144" s="2"/>
    </row>
    <row r="145">
      <c r="A145" s="3" t="s">
        <v>344</v>
      </c>
      <c r="B145" s="3" t="s">
        <v>122</v>
      </c>
      <c r="C145" s="3" t="s">
        <v>345</v>
      </c>
      <c r="D145" s="14" t="str">
        <f>IFERROR( VLOOKUP( $C145,covid_vlookup,HLOOKUP(D$1,covid_hlookup,2, FALSE), FALSE), "No Data")</f>
        <v>No Data</v>
      </c>
      <c r="E145" s="14" t="str">
        <f>IFERROR( VLOOKUP( $C145,covid_vlookup,HLOOKUP(E$1,covid_hlookup,2, FALSE), FALSE), "No Data")</f>
        <v>No Data</v>
      </c>
      <c r="F145" s="14" t="str">
        <f>IFERROR( VLOOKUP( $C145,covid_vlookup,HLOOKUP(F$1,covid_hlookup,2, FALSE), FALSE), "No Data")</f>
        <v>No Data</v>
      </c>
      <c r="G145" s="14" t="str">
        <f>IFERROR( VLOOKUP( $C145,covid_vlookup,HLOOKUP(G$1,covid_hlookup,2, FALSE), FALSE), "No Data")</f>
        <v>No Data</v>
      </c>
      <c r="H145" s="2"/>
    </row>
    <row r="146">
      <c r="A146" s="3" t="s">
        <v>346</v>
      </c>
      <c r="B146" s="3" t="s">
        <v>122</v>
      </c>
      <c r="C146" s="3" t="s">
        <v>347</v>
      </c>
      <c r="D146" s="14" t="str">
        <f>IFERROR( VLOOKUP( $C146,covid_vlookup,HLOOKUP(D$1,covid_hlookup,2, FALSE), FALSE), "No Data")</f>
        <v>No Data</v>
      </c>
      <c r="E146" s="14" t="str">
        <f>IFERROR( VLOOKUP( $C146,covid_vlookup,HLOOKUP(E$1,covid_hlookup,2, FALSE), FALSE), "No Data")</f>
        <v>No Data</v>
      </c>
      <c r="F146" s="14" t="str">
        <f>IFERROR( VLOOKUP( $C146,covid_vlookup,HLOOKUP(F$1,covid_hlookup,2, FALSE), FALSE), "No Data")</f>
        <v>No Data</v>
      </c>
      <c r="G146" s="14" t="str">
        <f>IFERROR( VLOOKUP( $C146,covid_vlookup,HLOOKUP(G$1,covid_hlookup,2, FALSE), FALSE), "No Data")</f>
        <v>No Data</v>
      </c>
      <c r="H146" s="2"/>
    </row>
    <row r="147">
      <c r="A147" s="3" t="s">
        <v>348</v>
      </c>
      <c r="B147" s="3" t="s">
        <v>122</v>
      </c>
      <c r="C147" s="3" t="s">
        <v>349</v>
      </c>
      <c r="D147" s="14" t="str">
        <f>IFERROR( VLOOKUP( $C147,covid_vlookup,HLOOKUP(D$1,covid_hlookup,2, FALSE), FALSE), "No Data")</f>
        <v>No Data</v>
      </c>
      <c r="E147" s="14" t="str">
        <f>IFERROR( VLOOKUP( $C147,covid_vlookup,HLOOKUP(E$1,covid_hlookup,2, FALSE), FALSE), "No Data")</f>
        <v>No Data</v>
      </c>
      <c r="F147" s="14" t="str">
        <f>IFERROR( VLOOKUP( $C147,covid_vlookup,HLOOKUP(F$1,covid_hlookup,2, FALSE), FALSE), "No Data")</f>
        <v>No Data</v>
      </c>
      <c r="G147" s="14" t="str">
        <f>IFERROR( VLOOKUP( $C147,covid_vlookup,HLOOKUP(G$1,covid_hlookup,2, FALSE), FALSE), "No Data")</f>
        <v>No Data</v>
      </c>
      <c r="H147" s="2"/>
    </row>
    <row r="148">
      <c r="A148" s="3" t="s">
        <v>350</v>
      </c>
      <c r="B148" s="3" t="s">
        <v>130</v>
      </c>
      <c r="C148" s="3" t="s">
        <v>351</v>
      </c>
      <c r="D148" s="14" t="str">
        <f>IFERROR( VLOOKUP( $C148,covid_vlookup,HLOOKUP(D$1,covid_hlookup,2, FALSE), FALSE), "No Data")</f>
        <v>No Data</v>
      </c>
      <c r="E148" s="14" t="str">
        <f>IFERROR( VLOOKUP( $C148,covid_vlookup,HLOOKUP(E$1,covid_hlookup,2, FALSE), FALSE), "No Data")</f>
        <v>No Data</v>
      </c>
      <c r="F148" s="14" t="str">
        <f>IFERROR( VLOOKUP( $C148,covid_vlookup,HLOOKUP(F$1,covid_hlookup,2, FALSE), FALSE), "No Data")</f>
        <v>No Data</v>
      </c>
      <c r="G148" s="14" t="str">
        <f>IFERROR( VLOOKUP( $C148,covid_vlookup,HLOOKUP(G$1,covid_hlookup,2, FALSE), FALSE), "No Data")</f>
        <v>No Data</v>
      </c>
      <c r="H148" s="2"/>
    </row>
    <row r="149">
      <c r="A149" s="3" t="s">
        <v>352</v>
      </c>
      <c r="B149" s="3" t="s">
        <v>142</v>
      </c>
      <c r="C149" s="3" t="s">
        <v>353</v>
      </c>
      <c r="D149" s="14" t="str">
        <f>IFERROR( VLOOKUP( $C149,covid_vlookup,HLOOKUP(D$1,covid_hlookup,2, FALSE), FALSE), "No Data")</f>
        <v>No Data</v>
      </c>
      <c r="E149" s="14" t="str">
        <f>IFERROR( VLOOKUP( $C149,covid_vlookup,HLOOKUP(E$1,covid_hlookup,2, FALSE), FALSE), "No Data")</f>
        <v>No Data</v>
      </c>
      <c r="F149" s="14" t="str">
        <f>IFERROR( VLOOKUP( $C149,covid_vlookup,HLOOKUP(F$1,covid_hlookup,2, FALSE), FALSE), "No Data")</f>
        <v>No Data</v>
      </c>
      <c r="G149" s="14" t="str">
        <f>IFERROR( VLOOKUP( $C149,covid_vlookup,HLOOKUP(G$1,covid_hlookup,2, FALSE), FALSE), "No Data")</f>
        <v>No Data</v>
      </c>
      <c r="H149" s="2"/>
    </row>
    <row r="150">
      <c r="A150" s="3" t="s">
        <v>354</v>
      </c>
      <c r="B150" s="3" t="s">
        <v>135</v>
      </c>
      <c r="C150" s="3" t="s">
        <v>355</v>
      </c>
      <c r="D150" s="14" t="str">
        <f>IFERROR( VLOOKUP( $C150,covid_vlookup,HLOOKUP(D$1,covid_hlookup,2, FALSE), FALSE), "No Data")</f>
        <v>No Data</v>
      </c>
      <c r="E150" s="14" t="str">
        <f>IFERROR( VLOOKUP( $C150,covid_vlookup,HLOOKUP(E$1,covid_hlookup,2, FALSE), FALSE), "No Data")</f>
        <v>No Data</v>
      </c>
      <c r="F150" s="14" t="str">
        <f>IFERROR( VLOOKUP( $C150,covid_vlookup,HLOOKUP(F$1,covid_hlookup,2, FALSE), FALSE), "No Data")</f>
        <v>No Data</v>
      </c>
      <c r="G150" s="14" t="str">
        <f>IFERROR( VLOOKUP( $C150,covid_vlookup,HLOOKUP(G$1,covid_hlookup,2, FALSE), FALSE), "No Data")</f>
        <v>No Data</v>
      </c>
      <c r="H150" s="2"/>
    </row>
    <row r="151">
      <c r="A151" s="3" t="s">
        <v>356</v>
      </c>
      <c r="B151" s="3" t="s">
        <v>135</v>
      </c>
      <c r="C151" s="3" t="s">
        <v>357</v>
      </c>
      <c r="D151" s="14" t="str">
        <f>IFERROR( VLOOKUP( $C151,covid_vlookup,HLOOKUP(D$1,covid_hlookup,2, FALSE), FALSE), "No Data")</f>
        <v>No Data</v>
      </c>
      <c r="E151" s="14" t="str">
        <f>IFERROR( VLOOKUP( $C151,covid_vlookup,HLOOKUP(E$1,covid_hlookup,2, FALSE), FALSE), "No Data")</f>
        <v>No Data</v>
      </c>
      <c r="F151" s="14" t="str">
        <f>IFERROR( VLOOKUP( $C151,covid_vlookup,HLOOKUP(F$1,covid_hlookup,2, FALSE), FALSE), "No Data")</f>
        <v>No Data</v>
      </c>
      <c r="G151" s="14" t="str">
        <f>IFERROR( VLOOKUP( $C151,covid_vlookup,HLOOKUP(G$1,covid_hlookup,2, FALSE), FALSE), "No Data")</f>
        <v>No Data</v>
      </c>
      <c r="H151" s="2"/>
    </row>
    <row r="152">
      <c r="A152" s="3" t="s">
        <v>358</v>
      </c>
      <c r="B152" s="3" t="s">
        <v>122</v>
      </c>
      <c r="C152" s="3" t="s">
        <v>359</v>
      </c>
      <c r="D152" s="14" t="str">
        <f>IFERROR( VLOOKUP( $C152,covid_vlookup,HLOOKUP(D$1,covid_hlookup,2, FALSE), FALSE), "No Data")</f>
        <v>No Data</v>
      </c>
      <c r="E152" s="14" t="str">
        <f>IFERROR( VLOOKUP( $C152,covid_vlookup,HLOOKUP(E$1,covid_hlookup,2, FALSE), FALSE), "No Data")</f>
        <v>No Data</v>
      </c>
      <c r="F152" s="14" t="str">
        <f>IFERROR( VLOOKUP( $C152,covid_vlookup,HLOOKUP(F$1,covid_hlookup,2, FALSE), FALSE), "No Data")</f>
        <v>No Data</v>
      </c>
      <c r="G152" s="14" t="str">
        <f>IFERROR( VLOOKUP( $C152,covid_vlookup,HLOOKUP(G$1,covid_hlookup,2, FALSE), FALSE), "No Data")</f>
        <v>No Data</v>
      </c>
      <c r="H152" s="2"/>
    </row>
    <row r="153">
      <c r="A153" s="3" t="s">
        <v>99</v>
      </c>
      <c r="B153" s="3" t="s">
        <v>23</v>
      </c>
      <c r="C153" s="3" t="s">
        <v>100</v>
      </c>
      <c r="D153" s="14">
        <f>IFERROR( VLOOKUP( $C153,covid_vlookup,HLOOKUP(D$1,covid_hlookup,2, FALSE), FALSE), "No Data")</f>
        <v>4108215</v>
      </c>
      <c r="E153" s="14">
        <f>IFERROR( VLOOKUP( $C153,covid_vlookup,HLOOKUP(E$1,covid_hlookup,2, FALSE), FALSE), "No Data")</f>
        <v>97054</v>
      </c>
      <c r="F153" s="14">
        <f>IFERROR( VLOOKUP( $C153,covid_vlookup,HLOOKUP(F$1,covid_hlookup,2, FALSE), FALSE), "No Data")</f>
        <v>37797000</v>
      </c>
      <c r="G153" s="14">
        <f>IFERROR( VLOOKUP( $C153,covid_vlookup,HLOOKUP(G$1,covid_hlookup,2, FALSE), FALSE), "No Data")</f>
        <v>27216.445</v>
      </c>
      <c r="H153" s="2"/>
    </row>
    <row r="154">
      <c r="A154" s="3" t="s">
        <v>101</v>
      </c>
      <c r="B154" s="3" t="s">
        <v>23</v>
      </c>
      <c r="C154" s="3" t="s">
        <v>102</v>
      </c>
      <c r="D154" s="14">
        <f>IFERROR( VLOOKUP( $C154,covid_vlookup,HLOOKUP(D$1,covid_hlookup,2, FALSE), FALSE), "No Data")</f>
        <v>1389646</v>
      </c>
      <c r="E154" s="14">
        <f>IFERROR( VLOOKUP( $C154,covid_vlookup,HLOOKUP(E$1,covid_hlookup,2, FALSE), FALSE), "No Data")</f>
        <v>18955</v>
      </c>
      <c r="F154" s="14">
        <f>IFERROR( VLOOKUP( $C154,covid_vlookup,HLOOKUP(F$1,covid_hlookup,2, FALSE), FALSE), "No Data")</f>
        <v>10167923</v>
      </c>
      <c r="G154" s="14">
        <f>IFERROR( VLOOKUP( $C154,covid_vlookup,HLOOKUP(G$1,covid_hlookup,2, FALSE), FALSE), "No Data")</f>
        <v>27936.896</v>
      </c>
      <c r="H154" s="2"/>
    </row>
    <row r="155">
      <c r="A155" s="3" t="s">
        <v>360</v>
      </c>
      <c r="B155" s="3" t="s">
        <v>130</v>
      </c>
      <c r="C155" s="3" t="s">
        <v>361</v>
      </c>
      <c r="D155" s="14" t="str">
        <f>IFERROR( VLOOKUP( $C155,covid_vlookup,HLOOKUP(D$1,covid_hlookup,2, FALSE), FALSE), "No Data")</f>
        <v>No Data</v>
      </c>
      <c r="E155" s="14" t="str">
        <f>IFERROR( VLOOKUP( $C155,covid_vlookup,HLOOKUP(E$1,covid_hlookup,2, FALSE), FALSE), "No Data")</f>
        <v>No Data</v>
      </c>
      <c r="F155" s="14" t="str">
        <f>IFERROR( VLOOKUP( $C155,covid_vlookup,HLOOKUP(F$1,covid_hlookup,2, FALSE), FALSE), "No Data")</f>
        <v>No Data</v>
      </c>
      <c r="G155" s="14" t="str">
        <f>IFERROR( VLOOKUP( $C155,covid_vlookup,HLOOKUP(G$1,covid_hlookup,2, FALSE), FALSE), "No Data")</f>
        <v>No Data</v>
      </c>
      <c r="H155" s="2"/>
    </row>
    <row r="156">
      <c r="A156" s="3" t="s">
        <v>362</v>
      </c>
      <c r="B156" s="3" t="s">
        <v>122</v>
      </c>
      <c r="C156" s="3" t="s">
        <v>363</v>
      </c>
      <c r="D156" s="14" t="str">
        <f>IFERROR( VLOOKUP( $C156,covid_vlookup,HLOOKUP(D$1,covid_hlookup,2, FALSE), FALSE), "No Data")</f>
        <v>No Data</v>
      </c>
      <c r="E156" s="14" t="str">
        <f>IFERROR( VLOOKUP( $C156,covid_vlookup,HLOOKUP(E$1,covid_hlookup,2, FALSE), FALSE), "No Data")</f>
        <v>No Data</v>
      </c>
      <c r="F156" s="14" t="str">
        <f>IFERROR( VLOOKUP( $C156,covid_vlookup,HLOOKUP(F$1,covid_hlookup,2, FALSE), FALSE), "No Data")</f>
        <v>No Data</v>
      </c>
      <c r="G156" s="14" t="str">
        <f>IFERROR( VLOOKUP( $C156,covid_vlookup,HLOOKUP(G$1,covid_hlookup,2, FALSE), FALSE), "No Data")</f>
        <v>No Data</v>
      </c>
      <c r="H156" s="2"/>
    </row>
    <row r="157">
      <c r="A157" s="3" t="s">
        <v>103</v>
      </c>
      <c r="B157" s="3" t="s">
        <v>23</v>
      </c>
      <c r="C157" s="3" t="s">
        <v>104</v>
      </c>
      <c r="D157" s="14">
        <f>IFERROR( VLOOKUP( $C157,covid_vlookup,HLOOKUP(D$1,covid_hlookup,2, FALSE), FALSE), "No Data")</f>
        <v>1808891</v>
      </c>
      <c r="E157" s="14">
        <f>IFERROR( VLOOKUP( $C157,covid_vlookup,HLOOKUP(E$1,covid_hlookup,2, FALSE), FALSE), "No Data")</f>
        <v>58752</v>
      </c>
      <c r="F157" s="14">
        <f>IFERROR( VLOOKUP( $C157,covid_vlookup,HLOOKUP(F$1,covid_hlookup,2, FALSE), FALSE), "No Data")</f>
        <v>19127772</v>
      </c>
      <c r="G157" s="14">
        <f>IFERROR( VLOOKUP( $C157,covid_vlookup,HLOOKUP(G$1,covid_hlookup,2, FALSE), FALSE), "No Data")</f>
        <v>23313.199</v>
      </c>
      <c r="H157" s="2"/>
    </row>
    <row r="158">
      <c r="A158" s="3" t="s">
        <v>105</v>
      </c>
      <c r="B158" s="3" t="s">
        <v>23</v>
      </c>
      <c r="C158" s="3" t="s">
        <v>106</v>
      </c>
      <c r="D158" s="14">
        <f>IFERROR( VLOOKUP( $C158,covid_vlookup,HLOOKUP(D$1,covid_hlookup,2, FALSE), FALSE), "No Data")</f>
        <v>10320405</v>
      </c>
      <c r="E158" s="14">
        <f>IFERROR( VLOOKUP( $C158,covid_vlookup,HLOOKUP(E$1,covid_hlookup,2, FALSE), FALSE), "No Data")</f>
        <v>302671</v>
      </c>
      <c r="F158" s="14">
        <f>IFERROR( VLOOKUP( $C158,covid_vlookup,HLOOKUP(F$1,covid_hlookup,2, FALSE), FALSE), "No Data")</f>
        <v>145912022</v>
      </c>
      <c r="G158" s="14">
        <f>IFERROR( VLOOKUP( $C158,covid_vlookup,HLOOKUP(G$1,covid_hlookup,2, FALSE), FALSE), "No Data")</f>
        <v>24765.954</v>
      </c>
      <c r="H158" s="2"/>
    </row>
    <row r="159">
      <c r="A159" s="3" t="s">
        <v>364</v>
      </c>
      <c r="B159" s="3" t="s">
        <v>125</v>
      </c>
      <c r="C159" s="3" t="s">
        <v>365</v>
      </c>
      <c r="D159" s="14" t="str">
        <f>IFERROR( VLOOKUP( $C159,covid_vlookup,HLOOKUP(D$1,covid_hlookup,2, FALSE), FALSE), "No Data")</f>
        <v>No Data</v>
      </c>
      <c r="E159" s="14" t="str">
        <f>IFERROR( VLOOKUP( $C159,covid_vlookup,HLOOKUP(E$1,covid_hlookup,2, FALSE), FALSE), "No Data")</f>
        <v>No Data</v>
      </c>
      <c r="F159" s="14" t="str">
        <f>IFERROR( VLOOKUP( $C159,covid_vlookup,HLOOKUP(F$1,covid_hlookup,2, FALSE), FALSE), "No Data")</f>
        <v>No Data</v>
      </c>
      <c r="G159" s="14" t="str">
        <f>IFERROR( VLOOKUP( $C159,covid_vlookup,HLOOKUP(G$1,covid_hlookup,2, FALSE), FALSE), "No Data")</f>
        <v>No Data</v>
      </c>
      <c r="H159" s="2"/>
    </row>
    <row r="160">
      <c r="A160" s="3" t="s">
        <v>366</v>
      </c>
      <c r="B160" s="3" t="s">
        <v>130</v>
      </c>
      <c r="C160" s="3" t="s">
        <v>367</v>
      </c>
      <c r="D160" s="14" t="str">
        <f>IFERROR( VLOOKUP( $C160,covid_vlookup,HLOOKUP(D$1,covid_hlookup,2, FALSE), FALSE), "No Data")</f>
        <v>No Data</v>
      </c>
      <c r="E160" s="14" t="str">
        <f>IFERROR( VLOOKUP( $C160,covid_vlookup,HLOOKUP(E$1,covid_hlookup,2, FALSE), FALSE), "No Data")</f>
        <v>No Data</v>
      </c>
      <c r="F160" s="14" t="str">
        <f>IFERROR( VLOOKUP( $C160,covid_vlookup,HLOOKUP(F$1,covid_hlookup,2, FALSE), FALSE), "No Data")</f>
        <v>No Data</v>
      </c>
      <c r="G160" s="14" t="str">
        <f>IFERROR( VLOOKUP( $C160,covid_vlookup,HLOOKUP(G$1,covid_hlookup,2, FALSE), FALSE), "No Data")</f>
        <v>No Data</v>
      </c>
      <c r="H160" s="2"/>
    </row>
    <row r="161">
      <c r="A161" s="3" t="s">
        <v>368</v>
      </c>
      <c r="B161" s="3" t="s">
        <v>130</v>
      </c>
      <c r="C161" s="3" t="s">
        <v>369</v>
      </c>
      <c r="D161" s="14" t="str">
        <f>IFERROR( VLOOKUP( $C161,covid_vlookup,HLOOKUP(D$1,covid_hlookup,2, FALSE), FALSE), "No Data")</f>
        <v>No Data</v>
      </c>
      <c r="E161" s="14" t="str">
        <f>IFERROR( VLOOKUP( $C161,covid_vlookup,HLOOKUP(E$1,covid_hlookup,2, FALSE), FALSE), "No Data")</f>
        <v>No Data</v>
      </c>
      <c r="F161" s="14" t="str">
        <f>IFERROR( VLOOKUP( $C161,covid_vlookup,HLOOKUP(F$1,covid_hlookup,2, FALSE), FALSE), "No Data")</f>
        <v>No Data</v>
      </c>
      <c r="G161" s="14" t="str">
        <f>IFERROR( VLOOKUP( $C161,covid_vlookup,HLOOKUP(G$1,covid_hlookup,2, FALSE), FALSE), "No Data")</f>
        <v>No Data</v>
      </c>
      <c r="H161" s="2"/>
    </row>
    <row r="162">
      <c r="A162" s="3" t="s">
        <v>370</v>
      </c>
      <c r="B162" s="3" t="s">
        <v>130</v>
      </c>
      <c r="C162" s="3" t="s">
        <v>371</v>
      </c>
      <c r="D162" s="14" t="str">
        <f>IFERROR( VLOOKUP( $C162,covid_vlookup,HLOOKUP(D$1,covid_hlookup,2, FALSE), FALSE), "No Data")</f>
        <v>No Data</v>
      </c>
      <c r="E162" s="14" t="str">
        <f>IFERROR( VLOOKUP( $C162,covid_vlookup,HLOOKUP(E$1,covid_hlookup,2, FALSE), FALSE), "No Data")</f>
        <v>No Data</v>
      </c>
      <c r="F162" s="14" t="str">
        <f>IFERROR( VLOOKUP( $C162,covid_vlookup,HLOOKUP(F$1,covid_hlookup,2, FALSE), FALSE), "No Data")</f>
        <v>No Data</v>
      </c>
      <c r="G162" s="14" t="str">
        <f>IFERROR( VLOOKUP( $C162,covid_vlookup,HLOOKUP(G$1,covid_hlookup,2, FALSE), FALSE), "No Data")</f>
        <v>No Data</v>
      </c>
      <c r="H162" s="2"/>
    </row>
    <row r="163">
      <c r="A163" s="3" t="s">
        <v>107</v>
      </c>
      <c r="B163" s="3" t="s">
        <v>23</v>
      </c>
      <c r="C163" s="3" t="s">
        <v>108</v>
      </c>
      <c r="D163" s="14">
        <f>IFERROR( VLOOKUP( $C163,covid_vlookup,HLOOKUP(D$1,covid_hlookup,2, FALSE), FALSE), "No Data")</f>
        <v>8202</v>
      </c>
      <c r="E163" s="14">
        <f>IFERROR( VLOOKUP( $C163,covid_vlookup,HLOOKUP(E$1,covid_hlookup,2, FALSE), FALSE), "No Data")</f>
        <v>100</v>
      </c>
      <c r="F163" s="14">
        <f>IFERROR( VLOOKUP( $C163,covid_vlookup,HLOOKUP(F$1,covid_hlookup,2, FALSE), FALSE), "No Data")</f>
        <v>34010</v>
      </c>
      <c r="G163" s="14">
        <f>IFERROR( VLOOKUP( $C163,covid_vlookup,HLOOKUP(G$1,covid_hlookup,2, FALSE), FALSE), "No Data")</f>
        <v>56861.47</v>
      </c>
      <c r="H163" s="2"/>
    </row>
    <row r="164">
      <c r="A164" s="3" t="s">
        <v>372</v>
      </c>
      <c r="B164" s="3" t="s">
        <v>125</v>
      </c>
      <c r="C164" s="3" t="s">
        <v>373</v>
      </c>
      <c r="D164" s="14" t="str">
        <f>IFERROR( VLOOKUP( $C164,covid_vlookup,HLOOKUP(D$1,covid_hlookup,2, FALSE), FALSE), "No Data")</f>
        <v>No Data</v>
      </c>
      <c r="E164" s="14" t="str">
        <f>IFERROR( VLOOKUP( $C164,covid_vlookup,HLOOKUP(E$1,covid_hlookup,2, FALSE), FALSE), "No Data")</f>
        <v>No Data</v>
      </c>
      <c r="F164" s="14" t="str">
        <f>IFERROR( VLOOKUP( $C164,covid_vlookup,HLOOKUP(F$1,covid_hlookup,2, FALSE), FALSE), "No Data")</f>
        <v>No Data</v>
      </c>
      <c r="G164" s="14" t="str">
        <f>IFERROR( VLOOKUP( $C164,covid_vlookup,HLOOKUP(G$1,covid_hlookup,2, FALSE), FALSE), "No Data")</f>
        <v>No Data</v>
      </c>
      <c r="H164" s="2"/>
    </row>
    <row r="165">
      <c r="A165" s="3" t="s">
        <v>374</v>
      </c>
      <c r="B165" s="3" t="s">
        <v>122</v>
      </c>
      <c r="C165" s="3" t="s">
        <v>375</v>
      </c>
      <c r="D165" s="14" t="str">
        <f>IFERROR( VLOOKUP( $C165,covid_vlookup,HLOOKUP(D$1,covid_hlookup,2, FALSE), FALSE), "No Data")</f>
        <v>No Data</v>
      </c>
      <c r="E165" s="14" t="str">
        <f>IFERROR( VLOOKUP( $C165,covid_vlookup,HLOOKUP(E$1,covid_hlookup,2, FALSE), FALSE), "No Data")</f>
        <v>No Data</v>
      </c>
      <c r="F165" s="14" t="str">
        <f>IFERROR( VLOOKUP( $C165,covid_vlookup,HLOOKUP(F$1,covid_hlookup,2, FALSE), FALSE), "No Data")</f>
        <v>No Data</v>
      </c>
      <c r="G165" s="14" t="str">
        <f>IFERROR( VLOOKUP( $C165,covid_vlookup,HLOOKUP(G$1,covid_hlookup,2, FALSE), FALSE), "No Data")</f>
        <v>No Data</v>
      </c>
      <c r="H165" s="2"/>
    </row>
    <row r="166">
      <c r="A166" s="3" t="s">
        <v>376</v>
      </c>
      <c r="B166" s="3" t="s">
        <v>125</v>
      </c>
      <c r="C166" s="3" t="s">
        <v>377</v>
      </c>
      <c r="D166" s="14" t="str">
        <f>IFERROR( VLOOKUP( $C166,covid_vlookup,HLOOKUP(D$1,covid_hlookup,2, FALSE), FALSE), "No Data")</f>
        <v>No Data</v>
      </c>
      <c r="E166" s="14" t="str">
        <f>IFERROR( VLOOKUP( $C166,covid_vlookup,HLOOKUP(E$1,covid_hlookup,2, FALSE), FALSE), "No Data")</f>
        <v>No Data</v>
      </c>
      <c r="F166" s="14" t="str">
        <f>IFERROR( VLOOKUP( $C166,covid_vlookup,HLOOKUP(F$1,covid_hlookup,2, FALSE), FALSE), "No Data")</f>
        <v>No Data</v>
      </c>
      <c r="G166" s="14" t="str">
        <f>IFERROR( VLOOKUP( $C166,covid_vlookup,HLOOKUP(G$1,covid_hlookup,2, FALSE), FALSE), "No Data")</f>
        <v>No Data</v>
      </c>
      <c r="H166" s="2"/>
    </row>
    <row r="167">
      <c r="A167" s="3" t="s">
        <v>109</v>
      </c>
      <c r="B167" s="3" t="s">
        <v>23</v>
      </c>
      <c r="C167" s="3" t="s">
        <v>110</v>
      </c>
      <c r="D167" s="14">
        <f>IFERROR( VLOOKUP( $C167,covid_vlookup,HLOOKUP(D$1,covid_hlookup,2, FALSE), FALSE), "No Data")</f>
        <v>1299339</v>
      </c>
      <c r="E167" s="14">
        <f>IFERROR( VLOOKUP( $C167,covid_vlookup,HLOOKUP(E$1,covid_hlookup,2, FALSE), FALSE), "No Data")</f>
        <v>12714</v>
      </c>
      <c r="F167" s="14">
        <f>IFERROR( VLOOKUP( $C167,covid_vlookup,HLOOKUP(F$1,covid_hlookup,2, FALSE), FALSE), "No Data")</f>
        <v>6871547</v>
      </c>
      <c r="G167" s="14">
        <f>IFERROR( VLOOKUP( $C167,covid_vlookup,HLOOKUP(G$1,covid_hlookup,2, FALSE), FALSE), "No Data")</f>
        <v>14048.881</v>
      </c>
      <c r="H167" s="2"/>
    </row>
    <row r="168">
      <c r="A168" s="3" t="s">
        <v>378</v>
      </c>
      <c r="B168" s="3" t="s">
        <v>125</v>
      </c>
      <c r="C168" s="3" t="s">
        <v>379</v>
      </c>
      <c r="D168" s="14" t="str">
        <f>IFERROR( VLOOKUP( $C168,covid_vlookup,HLOOKUP(D$1,covid_hlookup,2, FALSE), FALSE), "No Data")</f>
        <v>No Data</v>
      </c>
      <c r="E168" s="14" t="str">
        <f>IFERROR( VLOOKUP( $C168,covid_vlookup,HLOOKUP(E$1,covid_hlookup,2, FALSE), FALSE), "No Data")</f>
        <v>No Data</v>
      </c>
      <c r="F168" s="14" t="str">
        <f>IFERROR( VLOOKUP( $C168,covid_vlookup,HLOOKUP(F$1,covid_hlookup,2, FALSE), FALSE), "No Data")</f>
        <v>No Data</v>
      </c>
      <c r="G168" s="14" t="str">
        <f>IFERROR( VLOOKUP( $C168,covid_vlookup,HLOOKUP(G$1,covid_hlookup,2, FALSE), FALSE), "No Data")</f>
        <v>No Data</v>
      </c>
      <c r="H168" s="2"/>
    </row>
    <row r="169">
      <c r="A169" s="3" t="s">
        <v>380</v>
      </c>
      <c r="B169" s="3" t="s">
        <v>125</v>
      </c>
      <c r="C169" s="3" t="s">
        <v>381</v>
      </c>
      <c r="D169" s="14" t="str">
        <f>IFERROR( VLOOKUP( $C169,covid_vlookup,HLOOKUP(D$1,covid_hlookup,2, FALSE), FALSE), "No Data")</f>
        <v>No Data</v>
      </c>
      <c r="E169" s="14" t="str">
        <f>IFERROR( VLOOKUP( $C169,covid_vlookup,HLOOKUP(E$1,covid_hlookup,2, FALSE), FALSE), "No Data")</f>
        <v>No Data</v>
      </c>
      <c r="F169" s="14" t="str">
        <f>IFERROR( VLOOKUP( $C169,covid_vlookup,HLOOKUP(F$1,covid_hlookup,2, FALSE), FALSE), "No Data")</f>
        <v>No Data</v>
      </c>
      <c r="G169" s="14" t="str">
        <f>IFERROR( VLOOKUP( $C169,covid_vlookup,HLOOKUP(G$1,covid_hlookup,2, FALSE), FALSE), "No Data")</f>
        <v>No Data</v>
      </c>
      <c r="H169" s="2"/>
    </row>
    <row r="170">
      <c r="A170" s="3" t="s">
        <v>382</v>
      </c>
      <c r="B170" s="3" t="s">
        <v>122</v>
      </c>
      <c r="C170" s="3" t="s">
        <v>383</v>
      </c>
      <c r="D170" s="14" t="str">
        <f>IFERROR( VLOOKUP( $C170,covid_vlookup,HLOOKUP(D$1,covid_hlookup,2, FALSE), FALSE), "No Data")</f>
        <v>No Data</v>
      </c>
      <c r="E170" s="14" t="str">
        <f>IFERROR( VLOOKUP( $C170,covid_vlookup,HLOOKUP(E$1,covid_hlookup,2, FALSE), FALSE), "No Data")</f>
        <v>No Data</v>
      </c>
      <c r="F170" s="14" t="str">
        <f>IFERROR( VLOOKUP( $C170,covid_vlookup,HLOOKUP(F$1,covid_hlookup,2, FALSE), FALSE), "No Data")</f>
        <v>No Data</v>
      </c>
      <c r="G170" s="14" t="str">
        <f>IFERROR( VLOOKUP( $C170,covid_vlookup,HLOOKUP(G$1,covid_hlookup,2, FALSE), FALSE), "No Data")</f>
        <v>No Data</v>
      </c>
      <c r="H170" s="2"/>
    </row>
    <row r="171">
      <c r="A171" s="3" t="s">
        <v>384</v>
      </c>
      <c r="B171" s="3" t="s">
        <v>130</v>
      </c>
      <c r="C171" s="3" t="s">
        <v>385</v>
      </c>
      <c r="D171" s="14" t="str">
        <f>IFERROR( VLOOKUP( $C171,covid_vlookup,HLOOKUP(D$1,covid_hlookup,2, FALSE), FALSE), "No Data")</f>
        <v>No Data</v>
      </c>
      <c r="E171" s="14" t="str">
        <f>IFERROR( VLOOKUP( $C171,covid_vlookup,HLOOKUP(E$1,covid_hlookup,2, FALSE), FALSE), "No Data")</f>
        <v>No Data</v>
      </c>
      <c r="F171" s="14" t="str">
        <f>IFERROR( VLOOKUP( $C171,covid_vlookup,HLOOKUP(F$1,covid_hlookup,2, FALSE), FALSE), "No Data")</f>
        <v>No Data</v>
      </c>
      <c r="G171" s="14" t="str">
        <f>IFERROR( VLOOKUP( $C171,covid_vlookup,HLOOKUP(G$1,covid_hlookup,2, FALSE), FALSE), "No Data")</f>
        <v>No Data</v>
      </c>
      <c r="H171" s="2"/>
    </row>
    <row r="172">
      <c r="A172" s="3" t="s">
        <v>111</v>
      </c>
      <c r="B172" s="3" t="s">
        <v>23</v>
      </c>
      <c r="C172" s="3" t="s">
        <v>112</v>
      </c>
      <c r="D172" s="14">
        <f>IFERROR( VLOOKUP( $C172,covid_vlookup,HLOOKUP(D$1,covid_hlookup,2, FALSE), FALSE), "No Data")</f>
        <v>1371082</v>
      </c>
      <c r="E172" s="14">
        <f>IFERROR( VLOOKUP( $C172,covid_vlookup,HLOOKUP(E$1,covid_hlookup,2, FALSE), FALSE), "No Data")</f>
        <v>16635</v>
      </c>
      <c r="F172" s="14">
        <f>IFERROR( VLOOKUP( $C172,covid_vlookup,HLOOKUP(F$1,covid_hlookup,2, FALSE), FALSE), "No Data")</f>
        <v>5449270</v>
      </c>
      <c r="G172" s="14">
        <f>IFERROR( VLOOKUP( $C172,covid_vlookup,HLOOKUP(G$1,covid_hlookup,2, FALSE), FALSE), "No Data")</f>
        <v>30155.152</v>
      </c>
      <c r="H172" s="2"/>
    </row>
    <row r="173">
      <c r="A173" s="3" t="s">
        <v>113</v>
      </c>
      <c r="B173" s="3" t="s">
        <v>23</v>
      </c>
      <c r="C173" s="3" t="s">
        <v>114</v>
      </c>
      <c r="D173" s="14">
        <f>IFERROR( VLOOKUP( $C173,covid_vlookup,HLOOKUP(D$1,covid_hlookup,2, FALSE), FALSE), "No Data")</f>
        <v>464048</v>
      </c>
      <c r="E173" s="14">
        <f>IFERROR( VLOOKUP( $C173,covid_vlookup,HLOOKUP(E$1,covid_hlookup,2, FALSE), FALSE), "No Data")</f>
        <v>5589</v>
      </c>
      <c r="F173" s="14">
        <f>IFERROR( VLOOKUP( $C173,covid_vlookup,HLOOKUP(F$1,covid_hlookup,2, FALSE), FALSE), "No Data")</f>
        <v>2078723</v>
      </c>
      <c r="G173" s="14">
        <f>IFERROR( VLOOKUP( $C173,covid_vlookup,HLOOKUP(G$1,covid_hlookup,2, FALSE), FALSE), "No Data")</f>
        <v>31400.84</v>
      </c>
      <c r="H173" s="2"/>
    </row>
    <row r="174">
      <c r="A174" s="3" t="s">
        <v>386</v>
      </c>
      <c r="B174" s="3" t="s">
        <v>125</v>
      </c>
      <c r="C174" s="3" t="s">
        <v>387</v>
      </c>
      <c r="D174" s="14" t="str">
        <f>IFERROR( VLOOKUP( $C174,covid_vlookup,HLOOKUP(D$1,covid_hlookup,2, FALSE), FALSE), "No Data")</f>
        <v>No Data</v>
      </c>
      <c r="E174" s="14" t="str">
        <f>IFERROR( VLOOKUP( $C174,covid_vlookup,HLOOKUP(E$1,covid_hlookup,2, FALSE), FALSE), "No Data")</f>
        <v>No Data</v>
      </c>
      <c r="F174" s="14" t="str">
        <f>IFERROR( VLOOKUP( $C174,covid_vlookup,HLOOKUP(F$1,covid_hlookup,2, FALSE), FALSE), "No Data")</f>
        <v>No Data</v>
      </c>
      <c r="G174" s="14" t="str">
        <f>IFERROR( VLOOKUP( $C174,covid_vlookup,HLOOKUP(G$1,covid_hlookup,2, FALSE), FALSE), "No Data")</f>
        <v>No Data</v>
      </c>
      <c r="H174" s="2"/>
    </row>
    <row r="175">
      <c r="A175" s="3" t="s">
        <v>388</v>
      </c>
      <c r="B175" s="3" t="s">
        <v>125</v>
      </c>
      <c r="C175" s="3" t="s">
        <v>389</v>
      </c>
      <c r="D175" s="14" t="str">
        <f>IFERROR( VLOOKUP( $C175,covid_vlookup,HLOOKUP(D$1,covid_hlookup,2, FALSE), FALSE), "No Data")</f>
        <v>No Data</v>
      </c>
      <c r="E175" s="14" t="str">
        <f>IFERROR( VLOOKUP( $C175,covid_vlookup,HLOOKUP(E$1,covid_hlookup,2, FALSE), FALSE), "No Data")</f>
        <v>No Data</v>
      </c>
      <c r="F175" s="14" t="str">
        <f>IFERROR( VLOOKUP( $C175,covid_vlookup,HLOOKUP(F$1,covid_hlookup,2, FALSE), FALSE), "No Data")</f>
        <v>No Data</v>
      </c>
      <c r="G175" s="14" t="str">
        <f>IFERROR( VLOOKUP( $C175,covid_vlookup,HLOOKUP(G$1,covid_hlookup,2, FALSE), FALSE), "No Data")</f>
        <v>No Data</v>
      </c>
      <c r="H175" s="2"/>
    </row>
    <row r="176">
      <c r="A176" s="3" t="s">
        <v>390</v>
      </c>
      <c r="B176" s="3" t="s">
        <v>122</v>
      </c>
      <c r="C176" s="3" t="s">
        <v>391</v>
      </c>
      <c r="D176" s="14" t="str">
        <f>IFERROR( VLOOKUP( $C176,covid_vlookup,HLOOKUP(D$1,covid_hlookup,2, FALSE), FALSE), "No Data")</f>
        <v>No Data</v>
      </c>
      <c r="E176" s="14" t="str">
        <f>IFERROR( VLOOKUP( $C176,covid_vlookup,HLOOKUP(E$1,covid_hlookup,2, FALSE), FALSE), "No Data")</f>
        <v>No Data</v>
      </c>
      <c r="F176" s="14" t="str">
        <f>IFERROR( VLOOKUP( $C176,covid_vlookup,HLOOKUP(F$1,covid_hlookup,2, FALSE), FALSE), "No Data")</f>
        <v>No Data</v>
      </c>
      <c r="G176" s="14" t="str">
        <f>IFERROR( VLOOKUP( $C176,covid_vlookup,HLOOKUP(G$1,covid_hlookup,2, FALSE), FALSE), "No Data")</f>
        <v>No Data</v>
      </c>
      <c r="H176" s="2"/>
    </row>
    <row r="177">
      <c r="A177" s="3" t="s">
        <v>392</v>
      </c>
      <c r="B177" s="3" t="s">
        <v>125</v>
      </c>
      <c r="C177" s="3" t="s">
        <v>393</v>
      </c>
      <c r="D177" s="14" t="str">
        <f>IFERROR( VLOOKUP( $C177,covid_vlookup,HLOOKUP(D$1,covid_hlookup,2, FALSE), FALSE), "No Data")</f>
        <v>No Data</v>
      </c>
      <c r="E177" s="14" t="str">
        <f>IFERROR( VLOOKUP( $C177,covid_vlookup,HLOOKUP(E$1,covid_hlookup,2, FALSE), FALSE), "No Data")</f>
        <v>No Data</v>
      </c>
      <c r="F177" s="14" t="str">
        <f>IFERROR( VLOOKUP( $C177,covid_vlookup,HLOOKUP(F$1,covid_hlookup,2, FALSE), FALSE), "No Data")</f>
        <v>No Data</v>
      </c>
      <c r="G177" s="14" t="str">
        <f>IFERROR( VLOOKUP( $C177,covid_vlookup,HLOOKUP(G$1,covid_hlookup,2, FALSE), FALSE), "No Data")</f>
        <v>No Data</v>
      </c>
      <c r="H177" s="2"/>
    </row>
    <row r="178">
      <c r="A178" s="3" t="s">
        <v>45</v>
      </c>
      <c r="B178" s="3" t="s">
        <v>23</v>
      </c>
      <c r="C178" s="3" t="s">
        <v>46</v>
      </c>
      <c r="D178" s="14">
        <f>IFERROR( VLOOKUP( $C178,covid_vlookup,HLOOKUP(D$1,covid_hlookup,2, FALSE), FALSE), "No Data")</f>
        <v>6294745</v>
      </c>
      <c r="E178" s="14">
        <f>IFERROR( VLOOKUP( $C178,covid_vlookup,HLOOKUP(E$1,covid_hlookup,2, FALSE), FALSE), "No Data")</f>
        <v>89405</v>
      </c>
      <c r="F178" s="14">
        <f>IFERROR( VLOOKUP( $C178,covid_vlookup,HLOOKUP(F$1,covid_hlookup,2, FALSE), FALSE), "No Data")</f>
        <v>46745211</v>
      </c>
      <c r="G178" s="14">
        <f>IFERROR( VLOOKUP( $C178,covid_vlookup,HLOOKUP(G$1,covid_hlookup,2, FALSE), FALSE), "No Data")</f>
        <v>34272.36</v>
      </c>
      <c r="H178" s="2"/>
    </row>
    <row r="179">
      <c r="A179" s="3" t="s">
        <v>394</v>
      </c>
      <c r="B179" s="3" t="s">
        <v>122</v>
      </c>
      <c r="C179" s="3" t="s">
        <v>395</v>
      </c>
      <c r="D179" s="14" t="str">
        <f>IFERROR( VLOOKUP( $C179,covid_vlookup,HLOOKUP(D$1,covid_hlookup,2, FALSE), FALSE), "No Data")</f>
        <v>No Data</v>
      </c>
      <c r="E179" s="14" t="str">
        <f>IFERROR( VLOOKUP( $C179,covid_vlookup,HLOOKUP(E$1,covid_hlookup,2, FALSE), FALSE), "No Data")</f>
        <v>No Data</v>
      </c>
      <c r="F179" s="14" t="str">
        <f>IFERROR( VLOOKUP( $C179,covid_vlookup,HLOOKUP(F$1,covid_hlookup,2, FALSE), FALSE), "No Data")</f>
        <v>No Data</v>
      </c>
      <c r="G179" s="14" t="str">
        <f>IFERROR( VLOOKUP( $C179,covid_vlookup,HLOOKUP(G$1,covid_hlookup,2, FALSE), FALSE), "No Data")</f>
        <v>No Data</v>
      </c>
      <c r="H179" s="2"/>
    </row>
    <row r="180">
      <c r="A180" s="3" t="s">
        <v>396</v>
      </c>
      <c r="B180" s="3" t="s">
        <v>125</v>
      </c>
      <c r="C180" s="3" t="s">
        <v>397</v>
      </c>
      <c r="D180" s="14" t="str">
        <f>IFERROR( VLOOKUP( $C180,covid_vlookup,HLOOKUP(D$1,covid_hlookup,2, FALSE), FALSE), "No Data")</f>
        <v>No Data</v>
      </c>
      <c r="E180" s="14" t="str">
        <f>IFERROR( VLOOKUP( $C180,covid_vlookup,HLOOKUP(E$1,covid_hlookup,2, FALSE), FALSE), "No Data")</f>
        <v>No Data</v>
      </c>
      <c r="F180" s="14" t="str">
        <f>IFERROR( VLOOKUP( $C180,covid_vlookup,HLOOKUP(F$1,covid_hlookup,2, FALSE), FALSE), "No Data")</f>
        <v>No Data</v>
      </c>
      <c r="G180" s="14" t="str">
        <f>IFERROR( VLOOKUP( $C180,covid_vlookup,HLOOKUP(G$1,covid_hlookup,2, FALSE), FALSE), "No Data")</f>
        <v>No Data</v>
      </c>
      <c r="H180" s="2"/>
    </row>
    <row r="181">
      <c r="A181" s="3" t="s">
        <v>398</v>
      </c>
      <c r="B181" s="3" t="s">
        <v>135</v>
      </c>
      <c r="C181" s="3" t="s">
        <v>399</v>
      </c>
      <c r="D181" s="14" t="str">
        <f>IFERROR( VLOOKUP( $C181,covid_vlookup,HLOOKUP(D$1,covid_hlookup,2, FALSE), FALSE), "No Data")</f>
        <v>No Data</v>
      </c>
      <c r="E181" s="14" t="str">
        <f>IFERROR( VLOOKUP( $C181,covid_vlookup,HLOOKUP(E$1,covid_hlookup,2, FALSE), FALSE), "No Data")</f>
        <v>No Data</v>
      </c>
      <c r="F181" s="14" t="str">
        <f>IFERROR( VLOOKUP( $C181,covid_vlookup,HLOOKUP(F$1,covid_hlookup,2, FALSE), FALSE), "No Data")</f>
        <v>No Data</v>
      </c>
      <c r="G181" s="14" t="str">
        <f>IFERROR( VLOOKUP( $C181,covid_vlookup,HLOOKUP(G$1,covid_hlookup,2, FALSE), FALSE), "No Data")</f>
        <v>No Data</v>
      </c>
      <c r="H181" s="2"/>
    </row>
    <row r="182">
      <c r="A182" s="3" t="s">
        <v>400</v>
      </c>
      <c r="B182" s="3" t="s">
        <v>125</v>
      </c>
      <c r="C182" s="3" t="s">
        <v>401</v>
      </c>
      <c r="D182" s="14" t="str">
        <f>IFERROR( VLOOKUP( $C182,covid_vlookup,HLOOKUP(D$1,covid_hlookup,2, FALSE), FALSE), "No Data")</f>
        <v>No Data</v>
      </c>
      <c r="E182" s="14" t="str">
        <f>IFERROR( VLOOKUP( $C182,covid_vlookup,HLOOKUP(E$1,covid_hlookup,2, FALSE), FALSE), "No Data")</f>
        <v>No Data</v>
      </c>
      <c r="F182" s="14" t="str">
        <f>IFERROR( VLOOKUP( $C182,covid_vlookup,HLOOKUP(F$1,covid_hlookup,2, FALSE), FALSE), "No Data")</f>
        <v>No Data</v>
      </c>
      <c r="G182" s="14" t="str">
        <f>IFERROR( VLOOKUP( $C182,covid_vlookup,HLOOKUP(G$1,covid_hlookup,2, FALSE), FALSE), "No Data")</f>
        <v>No Data</v>
      </c>
      <c r="H182" s="2"/>
    </row>
    <row r="183">
      <c r="A183" s="3" t="s">
        <v>115</v>
      </c>
      <c r="B183" s="3" t="s">
        <v>23</v>
      </c>
      <c r="C183" s="3" t="s">
        <v>116</v>
      </c>
      <c r="D183" s="14">
        <f>IFERROR( VLOOKUP( $C183,covid_vlookup,HLOOKUP(D$1,covid_hlookup,2, FALSE), FALSE), "No Data")</f>
        <v>1314784</v>
      </c>
      <c r="E183" s="14">
        <f>IFERROR( VLOOKUP( $C183,covid_vlookup,HLOOKUP(E$1,covid_hlookup,2, FALSE), FALSE), "No Data")</f>
        <v>15310</v>
      </c>
      <c r="F183" s="14">
        <f>IFERROR( VLOOKUP( $C183,covid_vlookup,HLOOKUP(F$1,covid_hlookup,2, FALSE), FALSE), "No Data")</f>
        <v>10160159</v>
      </c>
      <c r="G183" s="14">
        <f>IFERROR( VLOOKUP( $C183,covid_vlookup,HLOOKUP(G$1,covid_hlookup,2, FALSE), FALSE), "No Data")</f>
        <v>46949.283</v>
      </c>
      <c r="H183" s="2"/>
    </row>
    <row r="184">
      <c r="A184" s="3" t="s">
        <v>37</v>
      </c>
      <c r="B184" s="3" t="s">
        <v>23</v>
      </c>
      <c r="C184" s="3" t="s">
        <v>38</v>
      </c>
      <c r="D184" s="14">
        <f>IFERROR( VLOOKUP( $C184,covid_vlookup,HLOOKUP(D$1,covid_hlookup,2, FALSE), FALSE), "No Data")</f>
        <v>1332615</v>
      </c>
      <c r="E184" s="14">
        <f>IFERROR( VLOOKUP( $C184,covid_vlookup,HLOOKUP(E$1,covid_hlookup,2, FALSE), FALSE), "No Data")</f>
        <v>12217</v>
      </c>
      <c r="F184" s="14">
        <f>IFERROR( VLOOKUP( $C184,covid_vlookup,HLOOKUP(F$1,covid_hlookup,2, FALSE), FALSE), "No Data")</f>
        <v>8715494</v>
      </c>
      <c r="G184" s="14">
        <f>IFERROR( VLOOKUP( $C184,covid_vlookup,HLOOKUP(G$1,covid_hlookup,2, FALSE), FALSE), "No Data")</f>
        <v>57410.166</v>
      </c>
      <c r="H184" s="2"/>
    </row>
    <row r="185">
      <c r="A185" s="3" t="s">
        <v>402</v>
      </c>
      <c r="B185" s="3" t="s">
        <v>122</v>
      </c>
      <c r="C185" s="3" t="s">
        <v>403</v>
      </c>
      <c r="D185" s="14" t="str">
        <f>IFERROR( VLOOKUP( $C185,covid_vlookup,HLOOKUP(D$1,covid_hlookup,2, FALSE), FALSE), "No Data")</f>
        <v>No Data</v>
      </c>
      <c r="E185" s="14" t="str">
        <f>IFERROR( VLOOKUP( $C185,covid_vlookup,HLOOKUP(E$1,covid_hlookup,2, FALSE), FALSE), "No Data")</f>
        <v>No Data</v>
      </c>
      <c r="F185" s="14" t="str">
        <f>IFERROR( VLOOKUP( $C185,covid_vlookup,HLOOKUP(F$1,covid_hlookup,2, FALSE), FALSE), "No Data")</f>
        <v>No Data</v>
      </c>
      <c r="G185" s="14" t="str">
        <f>IFERROR( VLOOKUP( $C185,covid_vlookup,HLOOKUP(G$1,covid_hlookup,2, FALSE), FALSE), "No Data")</f>
        <v>No Data</v>
      </c>
      <c r="H185" s="2"/>
    </row>
    <row r="186">
      <c r="A186" s="3" t="s">
        <v>404</v>
      </c>
      <c r="B186" s="3" t="s">
        <v>122</v>
      </c>
      <c r="C186" s="3" t="s">
        <v>405</v>
      </c>
      <c r="D186" s="14" t="str">
        <f>IFERROR( VLOOKUP( $C186,covid_vlookup,HLOOKUP(D$1,covid_hlookup,2, FALSE), FALSE), "No Data")</f>
        <v>No Data</v>
      </c>
      <c r="E186" s="14" t="str">
        <f>IFERROR( VLOOKUP( $C186,covid_vlookup,HLOOKUP(E$1,covid_hlookup,2, FALSE), FALSE), "No Data")</f>
        <v>No Data</v>
      </c>
      <c r="F186" s="14" t="str">
        <f>IFERROR( VLOOKUP( $C186,covid_vlookup,HLOOKUP(F$1,covid_hlookup,2, FALSE), FALSE), "No Data")</f>
        <v>No Data</v>
      </c>
      <c r="G186" s="14" t="str">
        <f>IFERROR( VLOOKUP( $C186,covid_vlookup,HLOOKUP(G$1,covid_hlookup,2, FALSE), FALSE), "No Data")</f>
        <v>No Data</v>
      </c>
      <c r="H186" s="2"/>
    </row>
    <row r="187">
      <c r="A187" s="3" t="s">
        <v>406</v>
      </c>
      <c r="B187" s="3" t="s">
        <v>122</v>
      </c>
      <c r="C187" s="3" t="s">
        <v>407</v>
      </c>
      <c r="D187" s="14" t="str">
        <f>IFERROR( VLOOKUP( $C187,covid_vlookup,HLOOKUP(D$1,covid_hlookup,2, FALSE), FALSE), "No Data")</f>
        <v>No Data</v>
      </c>
      <c r="E187" s="14" t="str">
        <f>IFERROR( VLOOKUP( $C187,covid_vlookup,HLOOKUP(E$1,covid_hlookup,2, FALSE), FALSE), "No Data")</f>
        <v>No Data</v>
      </c>
      <c r="F187" s="14" t="str">
        <f>IFERROR( VLOOKUP( $C187,covid_vlookup,HLOOKUP(F$1,covid_hlookup,2, FALSE), FALSE), "No Data")</f>
        <v>No Data</v>
      </c>
      <c r="G187" s="14" t="str">
        <f>IFERROR( VLOOKUP( $C187,covid_vlookup,HLOOKUP(G$1,covid_hlookup,2, FALSE), FALSE), "No Data")</f>
        <v>No Data</v>
      </c>
      <c r="H187" s="2"/>
    </row>
    <row r="188">
      <c r="A188" s="3" t="s">
        <v>408</v>
      </c>
      <c r="B188" s="3" t="s">
        <v>125</v>
      </c>
      <c r="C188" s="3" t="s">
        <v>409</v>
      </c>
      <c r="D188" s="14" t="str">
        <f>IFERROR( VLOOKUP( $C188,covid_vlookup,HLOOKUP(D$1,covid_hlookup,2, FALSE), FALSE), "No Data")</f>
        <v>No Data</v>
      </c>
      <c r="E188" s="14" t="str">
        <f>IFERROR( VLOOKUP( $C188,covid_vlookup,HLOOKUP(E$1,covid_hlookup,2, FALSE), FALSE), "No Data")</f>
        <v>No Data</v>
      </c>
      <c r="F188" s="14" t="str">
        <f>IFERROR( VLOOKUP( $C188,covid_vlookup,HLOOKUP(F$1,covid_hlookup,2, FALSE), FALSE), "No Data")</f>
        <v>No Data</v>
      </c>
      <c r="G188" s="14" t="str">
        <f>IFERROR( VLOOKUP( $C188,covid_vlookup,HLOOKUP(G$1,covid_hlookup,2, FALSE), FALSE), "No Data")</f>
        <v>No Data</v>
      </c>
      <c r="H188" s="2"/>
    </row>
    <row r="189">
      <c r="A189" s="3" t="s">
        <v>410</v>
      </c>
      <c r="B189" s="3" t="s">
        <v>122</v>
      </c>
      <c r="C189" s="3" t="s">
        <v>411</v>
      </c>
      <c r="D189" s="14" t="str">
        <f>IFERROR( VLOOKUP( $C189,covid_vlookup,HLOOKUP(D$1,covid_hlookup,2, FALSE), FALSE), "No Data")</f>
        <v>No Data</v>
      </c>
      <c r="E189" s="14" t="str">
        <f>IFERROR( VLOOKUP( $C189,covid_vlookup,HLOOKUP(E$1,covid_hlookup,2, FALSE), FALSE), "No Data")</f>
        <v>No Data</v>
      </c>
      <c r="F189" s="14" t="str">
        <f>IFERROR( VLOOKUP( $C189,covid_vlookup,HLOOKUP(F$1,covid_hlookup,2, FALSE), FALSE), "No Data")</f>
        <v>No Data</v>
      </c>
      <c r="G189" s="14" t="str">
        <f>IFERROR( VLOOKUP( $C189,covid_vlookup,HLOOKUP(G$1,covid_hlookup,2, FALSE), FALSE), "No Data")</f>
        <v>No Data</v>
      </c>
      <c r="H189" s="2"/>
    </row>
    <row r="190">
      <c r="A190" s="3" t="s">
        <v>412</v>
      </c>
      <c r="B190" s="3" t="s">
        <v>122</v>
      </c>
      <c r="C190" s="3" t="s">
        <v>413</v>
      </c>
      <c r="D190" s="14" t="str">
        <f>IFERROR( VLOOKUP( $C190,covid_vlookup,HLOOKUP(D$1,covid_hlookup,2, FALSE), FALSE), "No Data")</f>
        <v>No Data</v>
      </c>
      <c r="E190" s="14" t="str">
        <f>IFERROR( VLOOKUP( $C190,covid_vlookup,HLOOKUP(E$1,covid_hlookup,2, FALSE), FALSE), "No Data")</f>
        <v>No Data</v>
      </c>
      <c r="F190" s="14" t="str">
        <f>IFERROR( VLOOKUP( $C190,covid_vlookup,HLOOKUP(F$1,covid_hlookup,2, FALSE), FALSE), "No Data")</f>
        <v>No Data</v>
      </c>
      <c r="G190" s="14" t="str">
        <f>IFERROR( VLOOKUP( $C190,covid_vlookup,HLOOKUP(G$1,covid_hlookup,2, FALSE), FALSE), "No Data")</f>
        <v>No Data</v>
      </c>
      <c r="H190" s="2"/>
    </row>
    <row r="191">
      <c r="A191" s="3" t="s">
        <v>414</v>
      </c>
      <c r="B191" s="3" t="s">
        <v>125</v>
      </c>
      <c r="C191" s="3" t="s">
        <v>415</v>
      </c>
      <c r="D191" s="14" t="str">
        <f>IFERROR( VLOOKUP( $C191,covid_vlookup,HLOOKUP(D$1,covid_hlookup,2, FALSE), FALSE), "No Data")</f>
        <v>No Data</v>
      </c>
      <c r="E191" s="14" t="str">
        <f>IFERROR( VLOOKUP( $C191,covid_vlookup,HLOOKUP(E$1,covid_hlookup,2, FALSE), FALSE), "No Data")</f>
        <v>No Data</v>
      </c>
      <c r="F191" s="14" t="str">
        <f>IFERROR( VLOOKUP( $C191,covid_vlookup,HLOOKUP(F$1,covid_hlookup,2, FALSE), FALSE), "No Data")</f>
        <v>No Data</v>
      </c>
      <c r="G191" s="14" t="str">
        <f>IFERROR( VLOOKUP( $C191,covid_vlookup,HLOOKUP(G$1,covid_hlookup,2, FALSE), FALSE), "No Data")</f>
        <v>No Data</v>
      </c>
      <c r="H191" s="2"/>
    </row>
    <row r="192">
      <c r="A192" s="3" t="s">
        <v>416</v>
      </c>
      <c r="B192" s="3" t="s">
        <v>130</v>
      </c>
      <c r="C192" s="3" t="s">
        <v>417</v>
      </c>
      <c r="D192" s="14" t="str">
        <f>IFERROR( VLOOKUP( $C192,covid_vlookup,HLOOKUP(D$1,covid_hlookup,2, FALSE), FALSE), "No Data")</f>
        <v>No Data</v>
      </c>
      <c r="E192" s="14" t="str">
        <f>IFERROR( VLOOKUP( $C192,covid_vlookup,HLOOKUP(E$1,covid_hlookup,2, FALSE), FALSE), "No Data")</f>
        <v>No Data</v>
      </c>
      <c r="F192" s="14" t="str">
        <f>IFERROR( VLOOKUP( $C192,covid_vlookup,HLOOKUP(F$1,covid_hlookup,2, FALSE), FALSE), "No Data")</f>
        <v>No Data</v>
      </c>
      <c r="G192" s="14" t="str">
        <f>IFERROR( VLOOKUP( $C192,covid_vlookup,HLOOKUP(G$1,covid_hlookup,2, FALSE), FALSE), "No Data")</f>
        <v>No Data</v>
      </c>
      <c r="H192" s="2"/>
    </row>
    <row r="193">
      <c r="A193" s="3" t="s">
        <v>418</v>
      </c>
      <c r="B193" s="3" t="s">
        <v>125</v>
      </c>
      <c r="C193" s="3" t="s">
        <v>419</v>
      </c>
      <c r="D193" s="14" t="str">
        <f>IFERROR( VLOOKUP( $C193,covid_vlookup,HLOOKUP(D$1,covid_hlookup,2, FALSE), FALSE), "No Data")</f>
        <v>No Data</v>
      </c>
      <c r="E193" s="14" t="str">
        <f>IFERROR( VLOOKUP( $C193,covid_vlookup,HLOOKUP(E$1,covid_hlookup,2, FALSE), FALSE), "No Data")</f>
        <v>No Data</v>
      </c>
      <c r="F193" s="14" t="str">
        <f>IFERROR( VLOOKUP( $C193,covid_vlookup,HLOOKUP(F$1,covid_hlookup,2, FALSE), FALSE), "No Data")</f>
        <v>No Data</v>
      </c>
      <c r="G193" s="14" t="str">
        <f>IFERROR( VLOOKUP( $C193,covid_vlookup,HLOOKUP(G$1,covid_hlookup,2, FALSE), FALSE), "No Data")</f>
        <v>No Data</v>
      </c>
      <c r="H193" s="2"/>
    </row>
    <row r="194">
      <c r="A194" s="3" t="s">
        <v>420</v>
      </c>
      <c r="B194" s="3" t="s">
        <v>122</v>
      </c>
      <c r="C194" s="3" t="s">
        <v>421</v>
      </c>
      <c r="D194" s="14" t="str">
        <f>IFERROR( VLOOKUP( $C194,covid_vlookup,HLOOKUP(D$1,covid_hlookup,2, FALSE), FALSE), "No Data")</f>
        <v>No Data</v>
      </c>
      <c r="E194" s="14" t="str">
        <f>IFERROR( VLOOKUP( $C194,covid_vlookup,HLOOKUP(E$1,covid_hlookup,2, FALSE), FALSE), "No Data")</f>
        <v>No Data</v>
      </c>
      <c r="F194" s="14" t="str">
        <f>IFERROR( VLOOKUP( $C194,covid_vlookup,HLOOKUP(F$1,covid_hlookup,2, FALSE), FALSE), "No Data")</f>
        <v>No Data</v>
      </c>
      <c r="G194" s="14" t="str">
        <f>IFERROR( VLOOKUP( $C194,covid_vlookup,HLOOKUP(G$1,covid_hlookup,2, FALSE), FALSE), "No Data")</f>
        <v>No Data</v>
      </c>
      <c r="H194" s="2"/>
    </row>
    <row r="195">
      <c r="A195" s="3" t="s">
        <v>422</v>
      </c>
      <c r="B195" s="3" t="s">
        <v>130</v>
      </c>
      <c r="C195" s="3" t="s">
        <v>423</v>
      </c>
      <c r="D195" s="14" t="str">
        <f>IFERROR( VLOOKUP( $C195,covid_vlookup,HLOOKUP(D$1,covid_hlookup,2, FALSE), FALSE), "No Data")</f>
        <v>No Data</v>
      </c>
      <c r="E195" s="14" t="str">
        <f>IFERROR( VLOOKUP( $C195,covid_vlookup,HLOOKUP(E$1,covid_hlookup,2, FALSE), FALSE), "No Data")</f>
        <v>No Data</v>
      </c>
      <c r="F195" s="14" t="str">
        <f>IFERROR( VLOOKUP( $C195,covid_vlookup,HLOOKUP(F$1,covid_hlookup,2, FALSE), FALSE), "No Data")</f>
        <v>No Data</v>
      </c>
      <c r="G195" s="14" t="str">
        <f>IFERROR( VLOOKUP( $C195,covid_vlookup,HLOOKUP(G$1,covid_hlookup,2, FALSE), FALSE), "No Data")</f>
        <v>No Data</v>
      </c>
      <c r="H195" s="2"/>
    </row>
    <row r="196">
      <c r="A196" s="3" t="s">
        <v>424</v>
      </c>
      <c r="B196" s="3" t="s">
        <v>125</v>
      </c>
      <c r="C196" s="3" t="s">
        <v>425</v>
      </c>
      <c r="D196" s="14" t="str">
        <f>IFERROR( VLOOKUP( $C196,covid_vlookup,HLOOKUP(D$1,covid_hlookup,2, FALSE), FALSE), "No Data")</f>
        <v>No Data</v>
      </c>
      <c r="E196" s="14" t="str">
        <f>IFERROR( VLOOKUP( $C196,covid_vlookup,HLOOKUP(E$1,covid_hlookup,2, FALSE), FALSE), "No Data")</f>
        <v>No Data</v>
      </c>
      <c r="F196" s="14" t="str">
        <f>IFERROR( VLOOKUP( $C196,covid_vlookup,HLOOKUP(F$1,covid_hlookup,2, FALSE), FALSE), "No Data")</f>
        <v>No Data</v>
      </c>
      <c r="G196" s="14" t="str">
        <f>IFERROR( VLOOKUP( $C196,covid_vlookup,HLOOKUP(G$1,covid_hlookup,2, FALSE), FALSE), "No Data")</f>
        <v>No Data</v>
      </c>
      <c r="H196" s="2"/>
    </row>
    <row r="197">
      <c r="A197" s="3" t="s">
        <v>117</v>
      </c>
      <c r="B197" s="3" t="s">
        <v>23</v>
      </c>
      <c r="C197" s="3" t="s">
        <v>118</v>
      </c>
      <c r="D197" s="14">
        <f>IFERROR( VLOOKUP( $C197,covid_vlookup,HLOOKUP(D$1,covid_hlookup,2, FALSE), FALSE), "No Data")</f>
        <v>3847226</v>
      </c>
      <c r="E197" s="14">
        <f>IFERROR( VLOOKUP( $C197,covid_vlookup,HLOOKUP(E$1,covid_hlookup,2, FALSE), FALSE), "No Data")</f>
        <v>102088</v>
      </c>
      <c r="F197" s="14">
        <f>IFERROR( VLOOKUP( $C197,covid_vlookup,HLOOKUP(F$1,covid_hlookup,2, FALSE), FALSE), "No Data")</f>
        <v>43466822</v>
      </c>
      <c r="G197" s="14">
        <f>IFERROR( VLOOKUP( $C197,covid_vlookup,HLOOKUP(G$1,covid_hlookup,2, FALSE), FALSE), "No Data")</f>
        <v>7894.393</v>
      </c>
      <c r="H197" s="2"/>
    </row>
    <row r="198">
      <c r="A198" s="3" t="s">
        <v>426</v>
      </c>
      <c r="B198" s="3" t="s">
        <v>122</v>
      </c>
      <c r="C198" s="3" t="s">
        <v>427</v>
      </c>
      <c r="D198" s="14" t="str">
        <f>IFERROR( VLOOKUP( $C198,covid_vlookup,HLOOKUP(D$1,covid_hlookup,2, FALSE), FALSE), "No Data")</f>
        <v>No Data</v>
      </c>
      <c r="E198" s="14" t="str">
        <f>IFERROR( VLOOKUP( $C198,covid_vlookup,HLOOKUP(E$1,covid_hlookup,2, FALSE), FALSE), "No Data")</f>
        <v>No Data</v>
      </c>
      <c r="F198" s="14" t="str">
        <f>IFERROR( VLOOKUP( $C198,covid_vlookup,HLOOKUP(F$1,covid_hlookup,2, FALSE), FALSE), "No Data")</f>
        <v>No Data</v>
      </c>
      <c r="G198" s="14" t="str">
        <f>IFERROR( VLOOKUP( $C198,covid_vlookup,HLOOKUP(G$1,covid_hlookup,2, FALSE), FALSE), "No Data")</f>
        <v>No Data</v>
      </c>
      <c r="H198" s="2"/>
    </row>
    <row r="199">
      <c r="A199" s="3" t="s">
        <v>55</v>
      </c>
      <c r="B199" s="3" t="s">
        <v>23</v>
      </c>
      <c r="C199" s="3" t="s">
        <v>56</v>
      </c>
      <c r="D199" s="14">
        <f>IFERROR( VLOOKUP( $C199,covid_vlookup,HLOOKUP(D$1,covid_hlookup,2, FALSE), FALSE), "No Data")</f>
        <v>12965393</v>
      </c>
      <c r="E199" s="14">
        <f>IFERROR( VLOOKUP( $C199,covid_vlookup,HLOOKUP(E$1,covid_hlookup,2, FALSE), FALSE), "No Data")</f>
        <v>148737</v>
      </c>
      <c r="F199" s="14">
        <f>IFERROR( VLOOKUP( $C199,covid_vlookup,HLOOKUP(F$1,covid_hlookup,2, FALSE), FALSE), "No Data")</f>
        <v>68207114</v>
      </c>
      <c r="G199" s="14">
        <f>IFERROR( VLOOKUP( $C199,covid_vlookup,HLOOKUP(G$1,covid_hlookup,2, FALSE), FALSE), "No Data")</f>
        <v>39753.244</v>
      </c>
      <c r="H199" s="2"/>
    </row>
    <row r="200">
      <c r="A200" s="3" t="s">
        <v>428</v>
      </c>
      <c r="B200" s="3" t="s">
        <v>130</v>
      </c>
      <c r="C200" s="3" t="s">
        <v>429</v>
      </c>
      <c r="D200" s="14" t="str">
        <f>IFERROR( VLOOKUP( $C200,covid_vlookup,HLOOKUP(D$1,covid_hlookup,2, FALSE), FALSE), "No Data")</f>
        <v>No Data</v>
      </c>
      <c r="E200" s="14" t="str">
        <f>IFERROR( VLOOKUP( $C200,covid_vlookup,HLOOKUP(E$1,covid_hlookup,2, FALSE), FALSE), "No Data")</f>
        <v>No Data</v>
      </c>
      <c r="F200" s="14" t="str">
        <f>IFERROR( VLOOKUP( $C200,covid_vlookup,HLOOKUP(F$1,covid_hlookup,2, FALSE), FALSE), "No Data")</f>
        <v>No Data</v>
      </c>
      <c r="G200" s="14" t="str">
        <f>IFERROR( VLOOKUP( $C200,covid_vlookup,HLOOKUP(G$1,covid_hlookup,2, FALSE), FALSE), "No Data")</f>
        <v>No Data</v>
      </c>
      <c r="H200" s="2"/>
    </row>
    <row r="201">
      <c r="A201" s="3" t="s">
        <v>430</v>
      </c>
      <c r="B201" s="3" t="s">
        <v>130</v>
      </c>
      <c r="C201" s="3" t="s">
        <v>431</v>
      </c>
      <c r="D201" s="14" t="str">
        <f>IFERROR( VLOOKUP( $C201,covid_vlookup,HLOOKUP(D$1,covid_hlookup,2, FALSE), FALSE), "No Data")</f>
        <v>No Data</v>
      </c>
      <c r="E201" s="14" t="str">
        <f>IFERROR( VLOOKUP( $C201,covid_vlookup,HLOOKUP(E$1,covid_hlookup,2, FALSE), FALSE), "No Data")</f>
        <v>No Data</v>
      </c>
      <c r="F201" s="14" t="str">
        <f>IFERROR( VLOOKUP( $C201,covid_vlookup,HLOOKUP(F$1,covid_hlookup,2, FALSE), FALSE), "No Data")</f>
        <v>No Data</v>
      </c>
      <c r="G201" s="14" t="str">
        <f>IFERROR( VLOOKUP( $C201,covid_vlookup,HLOOKUP(G$1,covid_hlookup,2, FALSE), FALSE), "No Data")</f>
        <v>No Data</v>
      </c>
      <c r="H201" s="2"/>
    </row>
    <row r="202">
      <c r="A202" s="3" t="s">
        <v>432</v>
      </c>
      <c r="B202" s="3" t="s">
        <v>135</v>
      </c>
      <c r="C202" s="3" t="s">
        <v>433</v>
      </c>
      <c r="D202" s="14" t="str">
        <f>IFERROR( VLOOKUP( $C202,covid_vlookup,HLOOKUP(D$1,covid_hlookup,2, FALSE), FALSE), "No Data")</f>
        <v>No Data</v>
      </c>
      <c r="E202" s="14" t="str">
        <f>IFERROR( VLOOKUP( $C202,covid_vlookup,HLOOKUP(E$1,covid_hlookup,2, FALSE), FALSE), "No Data")</f>
        <v>No Data</v>
      </c>
      <c r="F202" s="14" t="str">
        <f>IFERROR( VLOOKUP( $C202,covid_vlookup,HLOOKUP(F$1,covid_hlookup,2, FALSE), FALSE), "No Data")</f>
        <v>No Data</v>
      </c>
      <c r="G202" s="14" t="str">
        <f>IFERROR( VLOOKUP( $C202,covid_vlookup,HLOOKUP(G$1,covid_hlookup,2, FALSE), FALSE), "No Data")</f>
        <v>No Data</v>
      </c>
      <c r="H202" s="2"/>
    </row>
    <row r="203">
      <c r="A203" s="3" t="s">
        <v>434</v>
      </c>
      <c r="B203" s="3" t="s">
        <v>122</v>
      </c>
      <c r="C203" s="3" t="s">
        <v>435</v>
      </c>
      <c r="D203" s="14" t="str">
        <f>IFERROR( VLOOKUP( $C203,covid_vlookup,HLOOKUP(D$1,covid_hlookup,2, FALSE), FALSE), "No Data")</f>
        <v>No Data</v>
      </c>
      <c r="E203" s="14" t="str">
        <f>IFERROR( VLOOKUP( $C203,covid_vlookup,HLOOKUP(E$1,covid_hlookup,2, FALSE), FALSE), "No Data")</f>
        <v>No Data</v>
      </c>
      <c r="F203" s="14" t="str">
        <f>IFERROR( VLOOKUP( $C203,covid_vlookup,HLOOKUP(F$1,covid_hlookup,2, FALSE), FALSE), "No Data")</f>
        <v>No Data</v>
      </c>
      <c r="G203" s="14" t="str">
        <f>IFERROR( VLOOKUP( $C203,covid_vlookup,HLOOKUP(G$1,covid_hlookup,2, FALSE), FALSE), "No Data")</f>
        <v>No Data</v>
      </c>
      <c r="H203" s="2"/>
    </row>
    <row r="204">
      <c r="A204" s="3" t="s">
        <v>119</v>
      </c>
      <c r="B204" s="3" t="s">
        <v>23</v>
      </c>
      <c r="C204" s="3" t="s">
        <v>120</v>
      </c>
      <c r="D204" s="14">
        <f>IFERROR( VLOOKUP( $C204,covid_vlookup,HLOOKUP(D$1,covid_hlookup,2, FALSE), FALSE), "No Data")</f>
        <v>27</v>
      </c>
      <c r="E204" s="14" t="str">
        <f>IFERROR( VLOOKUP( $C204,covid_vlookup,HLOOKUP(E$1,covid_hlookup,2, FALSE), FALSE), "No Data")</f>
        <v/>
      </c>
      <c r="F204" s="14">
        <f>IFERROR( VLOOKUP( $C204,covid_vlookup,HLOOKUP(F$1,covid_hlookup,2, FALSE), FALSE), "No Data")</f>
        <v>812</v>
      </c>
      <c r="G204" s="14" t="str">
        <f>IFERROR( VLOOKUP( $C204,covid_vlookup,HLOOKUP(G$1,covid_hlookup,2, FALSE), FALSE), "No Data")</f>
        <v/>
      </c>
      <c r="H204" s="2"/>
    </row>
    <row r="205">
      <c r="A205" s="3" t="s">
        <v>436</v>
      </c>
      <c r="B205" s="3" t="s">
        <v>135</v>
      </c>
      <c r="C205" s="3" t="s">
        <v>437</v>
      </c>
      <c r="D205" s="14" t="str">
        <f>IFERROR( VLOOKUP( $C205,covid_vlookup,HLOOKUP(D$1,covid_hlookup,2, FALSE), FALSE), "No Data")</f>
        <v>No Data</v>
      </c>
      <c r="E205" s="14" t="str">
        <f>IFERROR( VLOOKUP( $C205,covid_vlookup,HLOOKUP(E$1,covid_hlookup,2, FALSE), FALSE), "No Data")</f>
        <v>No Data</v>
      </c>
      <c r="F205" s="14" t="str">
        <f>IFERROR( VLOOKUP( $C205,covid_vlookup,HLOOKUP(F$1,covid_hlookup,2, FALSE), FALSE), "No Data")</f>
        <v>No Data</v>
      </c>
      <c r="G205" s="14" t="str">
        <f>IFERROR( VLOOKUP( $C205,covid_vlookup,HLOOKUP(G$1,covid_hlookup,2, FALSE), FALSE), "No Data")</f>
        <v>No Data</v>
      </c>
      <c r="H205" s="2"/>
    </row>
    <row r="206">
      <c r="A206" s="3" t="s">
        <v>438</v>
      </c>
      <c r="B206" s="3" t="s">
        <v>122</v>
      </c>
      <c r="C206" s="3" t="s">
        <v>439</v>
      </c>
      <c r="D206" s="14" t="str">
        <f>IFERROR( VLOOKUP( $C206,covid_vlookup,HLOOKUP(D$1,covid_hlookup,2, FALSE), FALSE), "No Data")</f>
        <v>No Data</v>
      </c>
      <c r="E206" s="14" t="str">
        <f>IFERROR( VLOOKUP( $C206,covid_vlookup,HLOOKUP(E$1,covid_hlookup,2, FALSE), FALSE), "No Data")</f>
        <v>No Data</v>
      </c>
      <c r="F206" s="14" t="str">
        <f>IFERROR( VLOOKUP( $C206,covid_vlookup,HLOOKUP(F$1,covid_hlookup,2, FALSE), FALSE), "No Data")</f>
        <v>No Data</v>
      </c>
      <c r="G206" s="14" t="str">
        <f>IFERROR( VLOOKUP( $C206,covid_vlookup,HLOOKUP(G$1,covid_hlookup,2, FALSE), FALSE), "No Data")</f>
        <v>No Data</v>
      </c>
      <c r="H206" s="2"/>
    </row>
    <row r="207">
      <c r="A207" s="3" t="s">
        <v>440</v>
      </c>
      <c r="B207" s="3" t="s">
        <v>125</v>
      </c>
      <c r="C207" s="3" t="s">
        <v>441</v>
      </c>
      <c r="D207" s="14" t="str">
        <f>IFERROR( VLOOKUP( $C207,covid_vlookup,HLOOKUP(D$1,covid_hlookup,2, FALSE), FALSE), "No Data")</f>
        <v>No Data</v>
      </c>
      <c r="E207" s="14" t="str">
        <f>IFERROR( VLOOKUP( $C207,covid_vlookup,HLOOKUP(E$1,covid_hlookup,2, FALSE), FALSE), "No Data")</f>
        <v>No Data</v>
      </c>
      <c r="F207" s="14" t="str">
        <f>IFERROR( VLOOKUP( $C207,covid_vlookup,HLOOKUP(F$1,covid_hlookup,2, FALSE), FALSE), "No Data")</f>
        <v>No Data</v>
      </c>
      <c r="G207" s="14" t="str">
        <f>IFERROR( VLOOKUP( $C207,covid_vlookup,HLOOKUP(G$1,covid_hlookup,2, FALSE), FALSE), "No Data")</f>
        <v>No Data</v>
      </c>
      <c r="H207" s="2"/>
    </row>
    <row r="208">
      <c r="A208" s="3" t="s">
        <v>442</v>
      </c>
      <c r="B208" s="3" t="s">
        <v>122</v>
      </c>
      <c r="C208" s="3" t="s">
        <v>443</v>
      </c>
      <c r="D208" s="14" t="str">
        <f>IFERROR( VLOOKUP( $C208,covid_vlookup,HLOOKUP(D$1,covid_hlookup,2, FALSE), FALSE), "No Data")</f>
        <v>No Data</v>
      </c>
      <c r="E208" s="14" t="str">
        <f>IFERROR( VLOOKUP( $C208,covid_vlookup,HLOOKUP(E$1,covid_hlookup,2, FALSE), FALSE), "No Data")</f>
        <v>No Data</v>
      </c>
      <c r="F208" s="14" t="str">
        <f>IFERROR( VLOOKUP( $C208,covid_vlookup,HLOOKUP(F$1,covid_hlookup,2, FALSE), FALSE), "No Data")</f>
        <v>No Data</v>
      </c>
      <c r="G208" s="14" t="str">
        <f>IFERROR( VLOOKUP( $C208,covid_vlookup,HLOOKUP(G$1,covid_hlookup,2, FALSE), FALSE), "No Data")</f>
        <v>No Data</v>
      </c>
      <c r="H208" s="2"/>
    </row>
    <row r="209">
      <c r="A209" s="3" t="s">
        <v>444</v>
      </c>
      <c r="B209" s="3" t="s">
        <v>125</v>
      </c>
      <c r="C209" s="3" t="s">
        <v>445</v>
      </c>
      <c r="D209" s="14" t="str">
        <f>IFERROR( VLOOKUP( $C209,covid_vlookup,HLOOKUP(D$1,covid_hlookup,2, FALSE), FALSE), "No Data")</f>
        <v>No Data</v>
      </c>
      <c r="E209" s="14" t="str">
        <f>IFERROR( VLOOKUP( $C209,covid_vlookup,HLOOKUP(E$1,covid_hlookup,2, FALSE), FALSE), "No Data")</f>
        <v>No Data</v>
      </c>
      <c r="F209" s="14" t="str">
        <f>IFERROR( VLOOKUP( $C209,covid_vlookup,HLOOKUP(F$1,covid_hlookup,2, FALSE), FALSE), "No Data")</f>
        <v>No Data</v>
      </c>
      <c r="G209" s="14" t="str">
        <f>IFERROR( VLOOKUP( $C209,covid_vlookup,HLOOKUP(G$1,covid_hlookup,2, FALSE), FALSE), "No Data")</f>
        <v>No Data</v>
      </c>
      <c r="H209" s="2"/>
    </row>
    <row r="210">
      <c r="A210" s="3" t="s">
        <v>446</v>
      </c>
      <c r="B210" s="3" t="s">
        <v>125</v>
      </c>
      <c r="C210" s="3" t="s">
        <v>447</v>
      </c>
      <c r="D210" s="14" t="str">
        <f>IFERROR( VLOOKUP( $C210,covid_vlookup,HLOOKUP(D$1,covid_hlookup,2, FALSE), FALSE), "No Data")</f>
        <v>No Data</v>
      </c>
      <c r="E210" s="14" t="str">
        <f>IFERROR( VLOOKUP( $C210,covid_vlookup,HLOOKUP(E$1,covid_hlookup,2, FALSE), FALSE), "No Data")</f>
        <v>No Data</v>
      </c>
      <c r="F210" s="14" t="str">
        <f>IFERROR( VLOOKUP( $C210,covid_vlookup,HLOOKUP(F$1,covid_hlookup,2, FALSE), FALSE), "No Data")</f>
        <v>No Data</v>
      </c>
      <c r="G210" s="14" t="str">
        <f>IFERROR( VLOOKUP( $C210,covid_vlookup,HLOOKUP(G$1,covid_hlookup,2, FALSE), FALSE), "No Data")</f>
        <v>No Data</v>
      </c>
      <c r="H210" s="2"/>
    </row>
    <row r="211">
      <c r="A211" s="2"/>
      <c r="B211" s="2"/>
      <c r="C211" s="2"/>
      <c r="D211" s="2"/>
      <c r="E211" s="2"/>
      <c r="F211" s="2"/>
      <c r="G211" s="2"/>
      <c r="H2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 t="array" ref="D2">XLOOKUP($C2,location,'COVID-19 Raw Data'!$D$3:$D$52,"No Data")</f>
        <v>No Data</v>
      </c>
      <c r="E2" s="14" t="str">
        <f t="array" ref="E2">XLOOKUP($C2,location,'COVID-19 Raw Data'!$E$3:$E$52,"No Data")</f>
        <v>No Data</v>
      </c>
      <c r="F2" s="14" t="str">
        <f t="array" ref="F2">XLOOKUP($C2,location,'COVID-19 Raw Data'!$J$3:$J$52,"No Data")</f>
        <v>No Data</v>
      </c>
      <c r="G2" s="14" t="str">
        <f t="array" ref="G2">XLOOKUP($C2,location,'COVID-19 Raw Data'!$O$3:$O$52,"No Data")</f>
        <v>No Data</v>
      </c>
      <c r="H2" s="2"/>
    </row>
    <row r="3">
      <c r="A3" s="3" t="s">
        <v>22</v>
      </c>
      <c r="B3" s="3" t="s">
        <v>23</v>
      </c>
      <c r="C3" s="3" t="s">
        <v>24</v>
      </c>
      <c r="D3" s="14">
        <f t="array" ref="D3">XLOOKUP($C3,location,'COVID-19 Raw Data'!$D$3:$D$52,"No Data")</f>
        <v>210224</v>
      </c>
      <c r="E3" s="14">
        <f t="array" ref="E3">XLOOKUP($C3,location,'COVID-19 Raw Data'!$E$3:$E$52,"No Data")</f>
        <v>3217</v>
      </c>
      <c r="F3" s="14">
        <f t="array" ref="F3">XLOOKUP($C3,location,'COVID-19 Raw Data'!$J$3:$J$52,"No Data")</f>
        <v>2872934</v>
      </c>
      <c r="G3" s="14">
        <f t="array" ref="G3">XLOOKUP($C3,location,'COVID-19 Raw Data'!$O$3:$O$52,"No Data")</f>
        <v>11803.431</v>
      </c>
      <c r="H3" s="2"/>
    </row>
    <row r="4">
      <c r="A4" s="3" t="s">
        <v>124</v>
      </c>
      <c r="B4" s="3" t="s">
        <v>125</v>
      </c>
      <c r="C4" s="3" t="s">
        <v>126</v>
      </c>
      <c r="D4" s="14" t="str">
        <f t="array" ref="D4">XLOOKUP($C4,location,'COVID-19 Raw Data'!$D$3:$D$52,"No Data")</f>
        <v>No Data</v>
      </c>
      <c r="E4" s="14" t="str">
        <f t="array" ref="E4">XLOOKUP($C4,location,'COVID-19 Raw Data'!$E$3:$E$52,"No Data")</f>
        <v>No Data</v>
      </c>
      <c r="F4" s="14" t="str">
        <f t="array" ref="F4">XLOOKUP($C4,location,'COVID-19 Raw Data'!$J$3:$J$52,"No Data")</f>
        <v>No Data</v>
      </c>
      <c r="G4" s="14" t="str">
        <f t="array" ref="G4">XLOOKUP($C4,location,'COVID-19 Raw Data'!$O$3:$O$52,"No Data")</f>
        <v>No Data</v>
      </c>
      <c r="H4" s="2"/>
    </row>
    <row r="5">
      <c r="A5" s="3" t="s">
        <v>25</v>
      </c>
      <c r="B5" s="3" t="s">
        <v>23</v>
      </c>
      <c r="C5" s="3" t="s">
        <v>26</v>
      </c>
      <c r="D5" s="14">
        <f t="array" ref="D5">XLOOKUP($C5,location,'COVID-19 Raw Data'!$D$3:$D$52,"No Data")</f>
        <v>23740</v>
      </c>
      <c r="E5" s="14">
        <f t="array" ref="E5">XLOOKUP($C5,location,'COVID-19 Raw Data'!$E$3:$E$52,"No Data")</f>
        <v>140</v>
      </c>
      <c r="F5" s="14">
        <f t="array" ref="F5">XLOOKUP($C5,location,'COVID-19 Raw Data'!$J$3:$J$52,"No Data")</f>
        <v>77354</v>
      </c>
      <c r="G5" s="14" t="str">
        <f t="array" ref="G5">XLOOKUP($C5,location,'COVID-19 Raw Data'!$O$3:$O$52,"No Data")</f>
        <v/>
      </c>
      <c r="H5" s="5"/>
    </row>
    <row r="6">
      <c r="A6" s="3" t="s">
        <v>127</v>
      </c>
      <c r="B6" s="3" t="s">
        <v>125</v>
      </c>
      <c r="C6" s="3" t="s">
        <v>128</v>
      </c>
      <c r="D6" s="14" t="str">
        <f t="array" ref="D6">XLOOKUP($C6,location,'COVID-19 Raw Data'!$D$3:$D$52,"No Data")</f>
        <v>No Data</v>
      </c>
      <c r="E6" s="14" t="str">
        <f t="array" ref="E6">XLOOKUP($C6,location,'COVID-19 Raw Data'!$E$3:$E$52,"No Data")</f>
        <v>No Data</v>
      </c>
      <c r="F6" s="14" t="str">
        <f t="array" ref="F6">XLOOKUP($C6,location,'COVID-19 Raw Data'!$J$3:$J$52,"No Data")</f>
        <v>No Data</v>
      </c>
      <c r="G6" s="14" t="str">
        <f t="array" ref="G6">XLOOKUP($C6,location,'COVID-19 Raw Data'!$O$3:$O$52,"No Data")</f>
        <v>No Data</v>
      </c>
      <c r="H6" s="6"/>
    </row>
    <row r="7">
      <c r="A7" s="3" t="s">
        <v>129</v>
      </c>
      <c r="B7" s="3" t="s">
        <v>130</v>
      </c>
      <c r="C7" s="3" t="s">
        <v>131</v>
      </c>
      <c r="D7" s="14" t="str">
        <f t="array" ref="D7">XLOOKUP($C7,location,'COVID-19 Raw Data'!$D$3:$D$52,"No Data")</f>
        <v>No Data</v>
      </c>
      <c r="E7" s="14" t="str">
        <f t="array" ref="E7">XLOOKUP($C7,location,'COVID-19 Raw Data'!$E$3:$E$52,"No Data")</f>
        <v>No Data</v>
      </c>
      <c r="F7" s="14" t="str">
        <f t="array" ref="F7">XLOOKUP($C7,location,'COVID-19 Raw Data'!$J$3:$J$52,"No Data")</f>
        <v>No Data</v>
      </c>
      <c r="G7" s="14" t="str">
        <f t="array" ref="G7">XLOOKUP($C7,location,'COVID-19 Raw Data'!$O$3:$O$52,"No Data")</f>
        <v>No Data</v>
      </c>
      <c r="H7" s="5"/>
    </row>
    <row r="8">
      <c r="A8" s="3" t="s">
        <v>132</v>
      </c>
      <c r="B8" s="3" t="s">
        <v>130</v>
      </c>
      <c r="C8" s="3" t="s">
        <v>133</v>
      </c>
      <c r="D8" s="14" t="str">
        <f t="array" ref="D8">XLOOKUP($C8,location,'COVID-19 Raw Data'!$D$3:$D$52,"No Data")</f>
        <v>No Data</v>
      </c>
      <c r="E8" s="14" t="str">
        <f t="array" ref="E8">XLOOKUP($C8,location,'COVID-19 Raw Data'!$E$3:$E$52,"No Data")</f>
        <v>No Data</v>
      </c>
      <c r="F8" s="14" t="str">
        <f t="array" ref="F8">XLOOKUP($C8,location,'COVID-19 Raw Data'!$J$3:$J$52,"No Data")</f>
        <v>No Data</v>
      </c>
      <c r="G8" s="14" t="str">
        <f t="array" ref="G8">XLOOKUP($C8,location,'COVID-19 Raw Data'!$O$3:$O$52,"No Data")</f>
        <v>No Data</v>
      </c>
      <c r="H8" s="6"/>
    </row>
    <row r="9">
      <c r="A9" s="3" t="s">
        <v>134</v>
      </c>
      <c r="B9" s="3" t="s">
        <v>135</v>
      </c>
      <c r="C9" s="3" t="s">
        <v>136</v>
      </c>
      <c r="D9" s="14" t="str">
        <f t="array" ref="D9">XLOOKUP($C9,location,'COVID-19 Raw Data'!$D$3:$D$52,"No Data")</f>
        <v>No Data</v>
      </c>
      <c r="E9" s="14" t="str">
        <f t="array" ref="E9">XLOOKUP($C9,location,'COVID-19 Raw Data'!$E$3:$E$52,"No Data")</f>
        <v>No Data</v>
      </c>
      <c r="F9" s="14" t="str">
        <f t="array" ref="F9">XLOOKUP($C9,location,'COVID-19 Raw Data'!$J$3:$J$52,"No Data")</f>
        <v>No Data</v>
      </c>
      <c r="G9" s="14" t="str">
        <f t="array" ref="G9">XLOOKUP($C9,location,'COVID-19 Raw Data'!$O$3:$O$52,"No Data")</f>
        <v>No Data</v>
      </c>
      <c r="H9" s="5"/>
    </row>
    <row r="10">
      <c r="A10" s="3" t="s">
        <v>137</v>
      </c>
      <c r="B10" s="3" t="s">
        <v>122</v>
      </c>
      <c r="C10" s="3" t="s">
        <v>138</v>
      </c>
      <c r="D10" s="14" t="str">
        <f t="array" ref="D10">XLOOKUP($C10,location,'COVID-19 Raw Data'!$D$3:$D$52,"No Data")</f>
        <v>No Data</v>
      </c>
      <c r="E10" s="14" t="str">
        <f t="array" ref="E10">XLOOKUP($C10,location,'COVID-19 Raw Data'!$E$3:$E$52,"No Data")</f>
        <v>No Data</v>
      </c>
      <c r="F10" s="14" t="str">
        <f t="array" ref="F10">XLOOKUP($C10,location,'COVID-19 Raw Data'!$J$3:$J$52,"No Data")</f>
        <v>No Data</v>
      </c>
      <c r="G10" s="14" t="str">
        <f t="array" ref="G10">XLOOKUP($C10,location,'COVID-19 Raw Data'!$O$3:$O$52,"No Data")</f>
        <v>No Data</v>
      </c>
      <c r="H10" s="6"/>
    </row>
    <row r="11">
      <c r="A11" s="3" t="s">
        <v>139</v>
      </c>
      <c r="B11" s="3" t="s">
        <v>130</v>
      </c>
      <c r="C11" s="3" t="s">
        <v>140</v>
      </c>
      <c r="D11" s="14" t="str">
        <f t="array" ref="D11">XLOOKUP($C11,location,'COVID-19 Raw Data'!$D$3:$D$52,"No Data")</f>
        <v>No Data</v>
      </c>
      <c r="E11" s="14" t="str">
        <f t="array" ref="E11">XLOOKUP($C11,location,'COVID-19 Raw Data'!$E$3:$E$52,"No Data")</f>
        <v>No Data</v>
      </c>
      <c r="F11" s="14" t="str">
        <f t="array" ref="F11">XLOOKUP($C11,location,'COVID-19 Raw Data'!$J$3:$J$52,"No Data")</f>
        <v>No Data</v>
      </c>
      <c r="G11" s="14" t="str">
        <f t="array" ref="G11">XLOOKUP($C11,location,'COVID-19 Raw Data'!$O$3:$O$52,"No Data")</f>
        <v>No Data</v>
      </c>
      <c r="H11" s="2"/>
    </row>
    <row r="12">
      <c r="A12" s="3" t="s">
        <v>141</v>
      </c>
      <c r="B12" s="3" t="s">
        <v>142</v>
      </c>
      <c r="C12" s="3" t="s">
        <v>143</v>
      </c>
      <c r="D12" s="14" t="str">
        <f t="array" ref="D12">XLOOKUP($C12,location,'COVID-19 Raw Data'!$D$3:$D$52,"No Data")</f>
        <v>No Data</v>
      </c>
      <c r="E12" s="14" t="str">
        <f t="array" ref="E12">XLOOKUP($C12,location,'COVID-19 Raw Data'!$E$3:$E$52,"No Data")</f>
        <v>No Data</v>
      </c>
      <c r="F12" s="14" t="str">
        <f t="array" ref="F12">XLOOKUP($C12,location,'COVID-19 Raw Data'!$J$3:$J$52,"No Data")</f>
        <v>No Data</v>
      </c>
      <c r="G12" s="14" t="str">
        <f t="array" ref="G12">XLOOKUP($C12,location,'COVID-19 Raw Data'!$O$3:$O$52,"No Data")</f>
        <v>No Data</v>
      </c>
      <c r="H12" s="2"/>
    </row>
    <row r="13">
      <c r="A13" s="3" t="s">
        <v>27</v>
      </c>
      <c r="B13" s="3" t="s">
        <v>23</v>
      </c>
      <c r="C13" s="3" t="s">
        <v>28</v>
      </c>
      <c r="D13" s="14">
        <f t="array" ref="D13">XLOOKUP($C13,location,'COVID-19 Raw Data'!$D$3:$D$52,"No Data")</f>
        <v>1278619</v>
      </c>
      <c r="E13" s="14">
        <f t="array" ref="E13">XLOOKUP($C13,location,'COVID-19 Raw Data'!$E$3:$E$52,"No Data")</f>
        <v>13733</v>
      </c>
      <c r="F13" s="14">
        <f t="array" ref="F13">XLOOKUP($C13,location,'COVID-19 Raw Data'!$J$3:$J$52,"No Data")</f>
        <v>9043072</v>
      </c>
      <c r="G13" s="14">
        <f t="array" ref="G13">XLOOKUP($C13,location,'COVID-19 Raw Data'!$O$3:$O$52,"No Data")</f>
        <v>45436.686</v>
      </c>
      <c r="H13" s="2"/>
    </row>
    <row r="14">
      <c r="A14" s="3" t="s">
        <v>144</v>
      </c>
      <c r="B14" s="3" t="s">
        <v>122</v>
      </c>
      <c r="C14" s="3" t="s">
        <v>145</v>
      </c>
      <c r="D14" s="14" t="str">
        <f t="array" ref="D14">XLOOKUP($C14,location,'COVID-19 Raw Data'!$D$3:$D$52,"No Data")</f>
        <v>No Data</v>
      </c>
      <c r="E14" s="14" t="str">
        <f t="array" ref="E14">XLOOKUP($C14,location,'COVID-19 Raw Data'!$E$3:$E$52,"No Data")</f>
        <v>No Data</v>
      </c>
      <c r="F14" s="14" t="str">
        <f t="array" ref="F14">XLOOKUP($C14,location,'COVID-19 Raw Data'!$J$3:$J$52,"No Data")</f>
        <v>No Data</v>
      </c>
      <c r="G14" s="14" t="str">
        <f t="array" ref="G14">XLOOKUP($C14,location,'COVID-19 Raw Data'!$O$3:$O$52,"No Data")</f>
        <v>No Data</v>
      </c>
      <c r="H14" s="2"/>
    </row>
    <row r="15">
      <c r="A15" s="3" t="s">
        <v>146</v>
      </c>
      <c r="B15" s="3" t="s">
        <v>130</v>
      </c>
      <c r="C15" s="3" t="s">
        <v>147</v>
      </c>
      <c r="D15" s="14" t="str">
        <f t="array" ref="D15">XLOOKUP($C15,location,'COVID-19 Raw Data'!$D$3:$D$52,"No Data")</f>
        <v>No Data</v>
      </c>
      <c r="E15" s="14" t="str">
        <f t="array" ref="E15">XLOOKUP($C15,location,'COVID-19 Raw Data'!$E$3:$E$52,"No Data")</f>
        <v>No Data</v>
      </c>
      <c r="F15" s="14" t="str">
        <f t="array" ref="F15">XLOOKUP($C15,location,'COVID-19 Raw Data'!$J$3:$J$52,"No Data")</f>
        <v>No Data</v>
      </c>
      <c r="G15" s="14" t="str">
        <f t="array" ref="G15">XLOOKUP($C15,location,'COVID-19 Raw Data'!$O$3:$O$52,"No Data")</f>
        <v>No Data</v>
      </c>
      <c r="H15" s="2"/>
    </row>
    <row r="16">
      <c r="A16" s="3" t="s">
        <v>148</v>
      </c>
      <c r="B16" s="3" t="s">
        <v>122</v>
      </c>
      <c r="C16" s="3" t="s">
        <v>149</v>
      </c>
      <c r="D16" s="14" t="str">
        <f t="array" ref="D16">XLOOKUP($C16,location,'COVID-19 Raw Data'!$D$3:$D$52,"No Data")</f>
        <v>No Data</v>
      </c>
      <c r="E16" s="14" t="str">
        <f t="array" ref="E16">XLOOKUP($C16,location,'COVID-19 Raw Data'!$E$3:$E$52,"No Data")</f>
        <v>No Data</v>
      </c>
      <c r="F16" s="14" t="str">
        <f t="array" ref="F16">XLOOKUP($C16,location,'COVID-19 Raw Data'!$J$3:$J$52,"No Data")</f>
        <v>No Data</v>
      </c>
      <c r="G16" s="14" t="str">
        <f t="array" ref="G16">XLOOKUP($C16,location,'COVID-19 Raw Data'!$O$3:$O$52,"No Data")</f>
        <v>No Data</v>
      </c>
      <c r="H16" s="2"/>
    </row>
    <row r="17">
      <c r="A17" s="3" t="s">
        <v>150</v>
      </c>
      <c r="B17" s="3" t="s">
        <v>122</v>
      </c>
      <c r="C17" s="3" t="s">
        <v>151</v>
      </c>
      <c r="D17" s="14" t="str">
        <f t="array" ref="D17">XLOOKUP($C17,location,'COVID-19 Raw Data'!$D$3:$D$52,"No Data")</f>
        <v>No Data</v>
      </c>
      <c r="E17" s="14" t="str">
        <f t="array" ref="E17">XLOOKUP($C17,location,'COVID-19 Raw Data'!$E$3:$E$52,"No Data")</f>
        <v>No Data</v>
      </c>
      <c r="F17" s="14" t="str">
        <f t="array" ref="F17">XLOOKUP($C17,location,'COVID-19 Raw Data'!$J$3:$J$52,"No Data")</f>
        <v>No Data</v>
      </c>
      <c r="G17" s="14" t="str">
        <f t="array" ref="G17">XLOOKUP($C17,location,'COVID-19 Raw Data'!$O$3:$O$52,"No Data")</f>
        <v>No Data</v>
      </c>
      <c r="H17" s="2"/>
    </row>
    <row r="18">
      <c r="A18" s="3" t="s">
        <v>152</v>
      </c>
      <c r="B18" s="3" t="s">
        <v>130</v>
      </c>
      <c r="C18" s="3" t="s">
        <v>153</v>
      </c>
      <c r="D18" s="14" t="str">
        <f t="array" ref="D18">XLOOKUP($C18,location,'COVID-19 Raw Data'!$D$3:$D$52,"No Data")</f>
        <v>No Data</v>
      </c>
      <c r="E18" s="14" t="str">
        <f t="array" ref="E18">XLOOKUP($C18,location,'COVID-19 Raw Data'!$E$3:$E$52,"No Data")</f>
        <v>No Data</v>
      </c>
      <c r="F18" s="14" t="str">
        <f t="array" ref="F18">XLOOKUP($C18,location,'COVID-19 Raw Data'!$J$3:$J$52,"No Data")</f>
        <v>No Data</v>
      </c>
      <c r="G18" s="14" t="str">
        <f t="array" ref="G18">XLOOKUP($C18,location,'COVID-19 Raw Data'!$O$3:$O$52,"No Data")</f>
        <v>No Data</v>
      </c>
      <c r="H18" s="2"/>
    </row>
    <row r="19">
      <c r="A19" s="3" t="s">
        <v>35</v>
      </c>
      <c r="B19" s="3" t="s">
        <v>23</v>
      </c>
      <c r="C19" s="3" t="s">
        <v>36</v>
      </c>
      <c r="D19" s="14">
        <f t="array" ref="D19">XLOOKUP($C19,location,'COVID-19 Raw Data'!$D$3:$D$52,"No Data")</f>
        <v>699110</v>
      </c>
      <c r="E19" s="14">
        <f t="array" ref="E19">XLOOKUP($C19,location,'COVID-19 Raw Data'!$E$3:$E$52,"No Data")</f>
        <v>5578</v>
      </c>
      <c r="F19" s="14">
        <f t="array" ref="F19">XLOOKUP($C19,location,'COVID-19 Raw Data'!$J$3:$J$52,"No Data")</f>
        <v>9442867</v>
      </c>
      <c r="G19" s="14">
        <f t="array" ref="G19">XLOOKUP($C19,location,'COVID-19 Raw Data'!$O$3:$O$52,"No Data")</f>
        <v>17167.967</v>
      </c>
      <c r="H19" s="2"/>
    </row>
    <row r="20">
      <c r="A20" s="3" t="s">
        <v>29</v>
      </c>
      <c r="B20" s="3" t="s">
        <v>23</v>
      </c>
      <c r="C20" s="3" t="s">
        <v>30</v>
      </c>
      <c r="D20" s="14">
        <f t="array" ref="D20">XLOOKUP($C20,location,'COVID-19 Raw Data'!$D$3:$D$52,"No Data")</f>
        <v>2105343</v>
      </c>
      <c r="E20" s="14">
        <f t="array" ref="E20">XLOOKUP($C20,location,'COVID-19 Raw Data'!$E$3:$E$52,"No Data")</f>
        <v>28331</v>
      </c>
      <c r="F20" s="14">
        <f t="array" ref="F20">XLOOKUP($C20,location,'COVID-19 Raw Data'!$J$3:$J$52,"No Data")</f>
        <v>11632334</v>
      </c>
      <c r="G20" s="14">
        <f t="array" ref="G20">XLOOKUP($C20,location,'COVID-19 Raw Data'!$O$3:$O$52,"No Data")</f>
        <v>42658.576</v>
      </c>
      <c r="H20" s="2"/>
    </row>
    <row r="21">
      <c r="A21" s="3" t="s">
        <v>154</v>
      </c>
      <c r="B21" s="3" t="s">
        <v>130</v>
      </c>
      <c r="C21" s="3" t="s">
        <v>155</v>
      </c>
      <c r="D21" s="14" t="str">
        <f t="array" ref="D21">XLOOKUP($C21,location,'COVID-19 Raw Data'!$D$3:$D$52,"No Data")</f>
        <v>No Data</v>
      </c>
      <c r="E21" s="14" t="str">
        <f t="array" ref="E21">XLOOKUP($C21,location,'COVID-19 Raw Data'!$E$3:$E$52,"No Data")</f>
        <v>No Data</v>
      </c>
      <c r="F21" s="14" t="str">
        <f t="array" ref="F21">XLOOKUP($C21,location,'COVID-19 Raw Data'!$J$3:$J$52,"No Data")</f>
        <v>No Data</v>
      </c>
      <c r="G21" s="14" t="str">
        <f t="array" ref="G21">XLOOKUP($C21,location,'COVID-19 Raw Data'!$O$3:$O$52,"No Data")</f>
        <v>No Data</v>
      </c>
      <c r="H21" s="2"/>
    </row>
    <row r="22">
      <c r="A22" s="3" t="s">
        <v>156</v>
      </c>
      <c r="B22" s="3" t="s">
        <v>125</v>
      </c>
      <c r="C22" s="3" t="s">
        <v>157</v>
      </c>
      <c r="D22" s="14" t="str">
        <f t="array" ref="D22">XLOOKUP($C22,location,'COVID-19 Raw Data'!$D$3:$D$52,"No Data")</f>
        <v>No Data</v>
      </c>
      <c r="E22" s="14" t="str">
        <f t="array" ref="E22">XLOOKUP($C22,location,'COVID-19 Raw Data'!$E$3:$E$52,"No Data")</f>
        <v>No Data</v>
      </c>
      <c r="F22" s="14" t="str">
        <f t="array" ref="F22">XLOOKUP($C22,location,'COVID-19 Raw Data'!$J$3:$J$52,"No Data")</f>
        <v>No Data</v>
      </c>
      <c r="G22" s="14" t="str">
        <f t="array" ref="G22">XLOOKUP($C22,location,'COVID-19 Raw Data'!$O$3:$O$52,"No Data")</f>
        <v>No Data</v>
      </c>
      <c r="H22" s="2"/>
    </row>
    <row r="23">
      <c r="A23" s="3" t="s">
        <v>158</v>
      </c>
      <c r="B23" s="3" t="s">
        <v>130</v>
      </c>
      <c r="C23" s="3" t="s">
        <v>159</v>
      </c>
      <c r="D23" s="14" t="str">
        <f t="array" ref="D23">XLOOKUP($C23,location,'COVID-19 Raw Data'!$D$3:$D$52,"No Data")</f>
        <v>No Data</v>
      </c>
      <c r="E23" s="14" t="str">
        <f t="array" ref="E23">XLOOKUP($C23,location,'COVID-19 Raw Data'!$E$3:$E$52,"No Data")</f>
        <v>No Data</v>
      </c>
      <c r="F23" s="14" t="str">
        <f t="array" ref="F23">XLOOKUP($C23,location,'COVID-19 Raw Data'!$J$3:$J$52,"No Data")</f>
        <v>No Data</v>
      </c>
      <c r="G23" s="14" t="str">
        <f t="array" ref="G23">XLOOKUP($C23,location,'COVID-19 Raw Data'!$O$3:$O$52,"No Data")</f>
        <v>No Data</v>
      </c>
      <c r="H23" s="2"/>
    </row>
    <row r="24">
      <c r="A24" s="3" t="s">
        <v>160</v>
      </c>
      <c r="B24" s="3" t="s">
        <v>122</v>
      </c>
      <c r="C24" s="3" t="s">
        <v>161</v>
      </c>
      <c r="D24" s="14" t="str">
        <f t="array" ref="D24">XLOOKUP($C24,location,'COVID-19 Raw Data'!$D$3:$D$52,"No Data")</f>
        <v>No Data</v>
      </c>
      <c r="E24" s="14" t="str">
        <f t="array" ref="E24">XLOOKUP($C24,location,'COVID-19 Raw Data'!$E$3:$E$52,"No Data")</f>
        <v>No Data</v>
      </c>
      <c r="F24" s="14" t="str">
        <f t="array" ref="F24">XLOOKUP($C24,location,'COVID-19 Raw Data'!$J$3:$J$52,"No Data")</f>
        <v>No Data</v>
      </c>
      <c r="G24" s="14" t="str">
        <f t="array" ref="G24">XLOOKUP($C24,location,'COVID-19 Raw Data'!$O$3:$O$52,"No Data")</f>
        <v>No Data</v>
      </c>
      <c r="H24" s="2"/>
    </row>
    <row r="25">
      <c r="A25" s="3" t="s">
        <v>162</v>
      </c>
      <c r="B25" s="3" t="s">
        <v>135</v>
      </c>
      <c r="C25" s="3" t="s">
        <v>163</v>
      </c>
      <c r="D25" s="14" t="str">
        <f t="array" ref="D25">XLOOKUP($C25,location,'COVID-19 Raw Data'!$D$3:$D$52,"No Data")</f>
        <v>No Data</v>
      </c>
      <c r="E25" s="14" t="str">
        <f t="array" ref="E25">XLOOKUP($C25,location,'COVID-19 Raw Data'!$E$3:$E$52,"No Data")</f>
        <v>No Data</v>
      </c>
      <c r="F25" s="14" t="str">
        <f t="array" ref="F25">XLOOKUP($C25,location,'COVID-19 Raw Data'!$J$3:$J$52,"No Data")</f>
        <v>No Data</v>
      </c>
      <c r="G25" s="14" t="str">
        <f t="array" ref="G25">XLOOKUP($C25,location,'COVID-19 Raw Data'!$O$3:$O$52,"No Data")</f>
        <v>No Data</v>
      </c>
      <c r="H25" s="2"/>
    </row>
    <row r="26">
      <c r="A26" s="3" t="s">
        <v>164</v>
      </c>
      <c r="B26" s="3" t="s">
        <v>130</v>
      </c>
      <c r="C26" s="3" t="s">
        <v>165</v>
      </c>
      <c r="D26" s="14" t="str">
        <f t="array" ref="D26">XLOOKUP($C26,location,'COVID-19 Raw Data'!$D$3:$D$52,"No Data")</f>
        <v>No Data</v>
      </c>
      <c r="E26" s="14" t="str">
        <f t="array" ref="E26">XLOOKUP($C26,location,'COVID-19 Raw Data'!$E$3:$E$52,"No Data")</f>
        <v>No Data</v>
      </c>
      <c r="F26" s="14" t="str">
        <f t="array" ref="F26">XLOOKUP($C26,location,'COVID-19 Raw Data'!$J$3:$J$52,"No Data")</f>
        <v>No Data</v>
      </c>
      <c r="G26" s="14" t="str">
        <f t="array" ref="G26">XLOOKUP($C26,location,'COVID-19 Raw Data'!$O$3:$O$52,"No Data")</f>
        <v>No Data</v>
      </c>
      <c r="H26" s="2"/>
    </row>
    <row r="27">
      <c r="A27" s="3" t="s">
        <v>33</v>
      </c>
      <c r="B27" s="3" t="s">
        <v>23</v>
      </c>
      <c r="C27" s="3" t="s">
        <v>34</v>
      </c>
      <c r="D27" s="14">
        <f t="array" ref="D27">XLOOKUP($C27,location,'COVID-19 Raw Data'!$D$3:$D$52,"No Data")</f>
        <v>291313</v>
      </c>
      <c r="E27" s="14">
        <f t="array" ref="E27">XLOOKUP($C27,location,'COVID-19 Raw Data'!$E$3:$E$52,"No Data")</f>
        <v>13442</v>
      </c>
      <c r="F27" s="14">
        <f t="array" ref="F27">XLOOKUP($C27,location,'COVID-19 Raw Data'!$J$3:$J$52,"No Data")</f>
        <v>3263459</v>
      </c>
      <c r="G27" s="14">
        <f t="array" ref="G27">XLOOKUP($C27,location,'COVID-19 Raw Data'!$O$3:$O$52,"No Data")</f>
        <v>11713.895</v>
      </c>
      <c r="H27" s="2"/>
    </row>
    <row r="28">
      <c r="A28" s="3" t="s">
        <v>166</v>
      </c>
      <c r="B28" s="3" t="s">
        <v>125</v>
      </c>
      <c r="C28" s="3" t="s">
        <v>167</v>
      </c>
      <c r="D28" s="14" t="str">
        <f t="array" ref="D28">XLOOKUP($C28,location,'COVID-19 Raw Data'!$D$3:$D$52,"No Data")</f>
        <v>No Data</v>
      </c>
      <c r="E28" s="14" t="str">
        <f t="array" ref="E28">XLOOKUP($C28,location,'COVID-19 Raw Data'!$E$3:$E$52,"No Data")</f>
        <v>No Data</v>
      </c>
      <c r="F28" s="14" t="str">
        <f t="array" ref="F28">XLOOKUP($C28,location,'COVID-19 Raw Data'!$J$3:$J$52,"No Data")</f>
        <v>No Data</v>
      </c>
      <c r="G28" s="14" t="str">
        <f t="array" ref="G28">XLOOKUP($C28,location,'COVID-19 Raw Data'!$O$3:$O$52,"No Data")</f>
        <v>No Data</v>
      </c>
      <c r="H28" s="2"/>
    </row>
    <row r="29">
      <c r="A29" s="3" t="s">
        <v>168</v>
      </c>
      <c r="B29" s="3" t="s">
        <v>135</v>
      </c>
      <c r="C29" s="3" t="s">
        <v>169</v>
      </c>
      <c r="D29" s="14" t="str">
        <f t="array" ref="D29">XLOOKUP($C29,location,'COVID-19 Raw Data'!$D$3:$D$52,"No Data")</f>
        <v>No Data</v>
      </c>
      <c r="E29" s="14" t="str">
        <f t="array" ref="E29">XLOOKUP($C29,location,'COVID-19 Raw Data'!$E$3:$E$52,"No Data")</f>
        <v>No Data</v>
      </c>
      <c r="F29" s="14" t="str">
        <f t="array" ref="F29">XLOOKUP($C29,location,'COVID-19 Raw Data'!$J$3:$J$52,"No Data")</f>
        <v>No Data</v>
      </c>
      <c r="G29" s="14" t="str">
        <f t="array" ref="G29">XLOOKUP($C29,location,'COVID-19 Raw Data'!$O$3:$O$52,"No Data")</f>
        <v>No Data</v>
      </c>
      <c r="H29" s="2"/>
    </row>
    <row r="30">
      <c r="A30" s="3" t="s">
        <v>170</v>
      </c>
      <c r="B30" s="3" t="s">
        <v>130</v>
      </c>
      <c r="C30" s="3" t="s">
        <v>171</v>
      </c>
      <c r="D30" s="14" t="str">
        <f t="array" ref="D30">XLOOKUP($C30,location,'COVID-19 Raw Data'!$D$3:$D$52,"No Data")</f>
        <v>No Data</v>
      </c>
      <c r="E30" s="14" t="str">
        <f t="array" ref="E30">XLOOKUP($C30,location,'COVID-19 Raw Data'!$E$3:$E$52,"No Data")</f>
        <v>No Data</v>
      </c>
      <c r="F30" s="14" t="str">
        <f t="array" ref="F30">XLOOKUP($C30,location,'COVID-19 Raw Data'!$J$3:$J$52,"No Data")</f>
        <v>No Data</v>
      </c>
      <c r="G30" s="14" t="str">
        <f t="array" ref="G30">XLOOKUP($C30,location,'COVID-19 Raw Data'!$O$3:$O$52,"No Data")</f>
        <v>No Data</v>
      </c>
      <c r="H30" s="2"/>
    </row>
    <row r="31">
      <c r="A31" s="3" t="s">
        <v>172</v>
      </c>
      <c r="B31" s="3" t="s">
        <v>122</v>
      </c>
      <c r="C31" s="3" t="s">
        <v>173</v>
      </c>
      <c r="D31" s="14" t="str">
        <f t="array" ref="D31">XLOOKUP($C31,location,'COVID-19 Raw Data'!$D$3:$D$52,"No Data")</f>
        <v>No Data</v>
      </c>
      <c r="E31" s="14" t="str">
        <f t="array" ref="E31">XLOOKUP($C31,location,'COVID-19 Raw Data'!$E$3:$E$52,"No Data")</f>
        <v>No Data</v>
      </c>
      <c r="F31" s="14" t="str">
        <f t="array" ref="F31">XLOOKUP($C31,location,'COVID-19 Raw Data'!$J$3:$J$52,"No Data")</f>
        <v>No Data</v>
      </c>
      <c r="G31" s="14" t="str">
        <f t="array" ref="G31">XLOOKUP($C31,location,'COVID-19 Raw Data'!$O$3:$O$52,"No Data")</f>
        <v>No Data</v>
      </c>
      <c r="H31" s="2"/>
    </row>
    <row r="32">
      <c r="A32" s="3" t="s">
        <v>31</v>
      </c>
      <c r="B32" s="3" t="s">
        <v>23</v>
      </c>
      <c r="C32" s="3" t="s">
        <v>32</v>
      </c>
      <c r="D32" s="14">
        <f t="array" ref="D32">XLOOKUP($C32,location,'COVID-19 Raw Data'!$D$3:$D$52,"No Data")</f>
        <v>747108</v>
      </c>
      <c r="E32" s="14">
        <f t="array" ref="E32">XLOOKUP($C32,location,'COVID-19 Raw Data'!$E$3:$E$52,"No Data")</f>
        <v>30955</v>
      </c>
      <c r="F32" s="14">
        <f t="array" ref="F32">XLOOKUP($C32,location,'COVID-19 Raw Data'!$J$3:$J$52,"No Data")</f>
        <v>6896655</v>
      </c>
      <c r="G32" s="14">
        <f t="array" ref="G32">XLOOKUP($C32,location,'COVID-19 Raw Data'!$O$3:$O$52,"No Data")</f>
        <v>18563.307</v>
      </c>
      <c r="H32" s="2"/>
    </row>
    <row r="33">
      <c r="A33" s="3" t="s">
        <v>174</v>
      </c>
      <c r="B33" s="3" t="s">
        <v>125</v>
      </c>
      <c r="C33" s="3" t="s">
        <v>175</v>
      </c>
      <c r="D33" s="14" t="str">
        <f t="array" ref="D33">XLOOKUP($C33,location,'COVID-19 Raw Data'!$D$3:$D$52,"No Data")</f>
        <v>No Data</v>
      </c>
      <c r="E33" s="14" t="str">
        <f t="array" ref="E33">XLOOKUP($C33,location,'COVID-19 Raw Data'!$E$3:$E$52,"No Data")</f>
        <v>No Data</v>
      </c>
      <c r="F33" s="14" t="str">
        <f t="array" ref="F33">XLOOKUP($C33,location,'COVID-19 Raw Data'!$J$3:$J$52,"No Data")</f>
        <v>No Data</v>
      </c>
      <c r="G33" s="14" t="str">
        <f t="array" ref="G33">XLOOKUP($C33,location,'COVID-19 Raw Data'!$O$3:$O$52,"No Data")</f>
        <v>No Data</v>
      </c>
      <c r="H33" s="2"/>
    </row>
    <row r="34">
      <c r="A34" s="3" t="s">
        <v>176</v>
      </c>
      <c r="B34" s="3" t="s">
        <v>125</v>
      </c>
      <c r="C34" s="3" t="s">
        <v>177</v>
      </c>
      <c r="D34" s="14" t="str">
        <f t="array" ref="D34">XLOOKUP($C34,location,'COVID-19 Raw Data'!$D$3:$D$52,"No Data")</f>
        <v>No Data</v>
      </c>
      <c r="E34" s="14" t="str">
        <f t="array" ref="E34">XLOOKUP($C34,location,'COVID-19 Raw Data'!$E$3:$E$52,"No Data")</f>
        <v>No Data</v>
      </c>
      <c r="F34" s="14" t="str">
        <f t="array" ref="F34">XLOOKUP($C34,location,'COVID-19 Raw Data'!$J$3:$J$52,"No Data")</f>
        <v>No Data</v>
      </c>
      <c r="G34" s="14" t="str">
        <f t="array" ref="G34">XLOOKUP($C34,location,'COVID-19 Raw Data'!$O$3:$O$52,"No Data")</f>
        <v>No Data</v>
      </c>
      <c r="H34" s="2"/>
    </row>
    <row r="35">
      <c r="A35" s="3" t="s">
        <v>178</v>
      </c>
      <c r="B35" s="3" t="s">
        <v>122</v>
      </c>
      <c r="C35" s="3" t="s">
        <v>179</v>
      </c>
      <c r="D35" s="14" t="str">
        <f t="array" ref="D35">XLOOKUP($C35,location,'COVID-19 Raw Data'!$D$3:$D$52,"No Data")</f>
        <v>No Data</v>
      </c>
      <c r="E35" s="14" t="str">
        <f t="array" ref="E35">XLOOKUP($C35,location,'COVID-19 Raw Data'!$E$3:$E$52,"No Data")</f>
        <v>No Data</v>
      </c>
      <c r="F35" s="14" t="str">
        <f t="array" ref="F35">XLOOKUP($C35,location,'COVID-19 Raw Data'!$J$3:$J$52,"No Data")</f>
        <v>No Data</v>
      </c>
      <c r="G35" s="14" t="str">
        <f t="array" ref="G35">XLOOKUP($C35,location,'COVID-19 Raw Data'!$O$3:$O$52,"No Data")</f>
        <v>No Data</v>
      </c>
      <c r="H35" s="2"/>
    </row>
    <row r="36">
      <c r="A36" s="3" t="s">
        <v>180</v>
      </c>
      <c r="B36" s="3" t="s">
        <v>125</v>
      </c>
      <c r="C36" s="3" t="s">
        <v>181</v>
      </c>
      <c r="D36" s="14" t="str">
        <f t="array" ref="D36">XLOOKUP($C36,location,'COVID-19 Raw Data'!$D$3:$D$52,"No Data")</f>
        <v>No Data</v>
      </c>
      <c r="E36" s="14" t="str">
        <f t="array" ref="E36">XLOOKUP($C36,location,'COVID-19 Raw Data'!$E$3:$E$52,"No Data")</f>
        <v>No Data</v>
      </c>
      <c r="F36" s="14" t="str">
        <f t="array" ref="F36">XLOOKUP($C36,location,'COVID-19 Raw Data'!$J$3:$J$52,"No Data")</f>
        <v>No Data</v>
      </c>
      <c r="G36" s="14" t="str">
        <f t="array" ref="G36">XLOOKUP($C36,location,'COVID-19 Raw Data'!$O$3:$O$52,"No Data")</f>
        <v>No Data</v>
      </c>
      <c r="H36" s="2"/>
    </row>
    <row r="37">
      <c r="A37" s="3" t="s">
        <v>182</v>
      </c>
      <c r="B37" s="3" t="s">
        <v>130</v>
      </c>
      <c r="C37" s="3" t="s">
        <v>183</v>
      </c>
      <c r="D37" s="14" t="str">
        <f t="array" ref="D37">XLOOKUP($C37,location,'COVID-19 Raw Data'!$D$3:$D$52,"No Data")</f>
        <v>No Data</v>
      </c>
      <c r="E37" s="14" t="str">
        <f t="array" ref="E37">XLOOKUP($C37,location,'COVID-19 Raw Data'!$E$3:$E$52,"No Data")</f>
        <v>No Data</v>
      </c>
      <c r="F37" s="14" t="str">
        <f t="array" ref="F37">XLOOKUP($C37,location,'COVID-19 Raw Data'!$J$3:$J$52,"No Data")</f>
        <v>No Data</v>
      </c>
      <c r="G37" s="14" t="str">
        <f t="array" ref="G37">XLOOKUP($C37,location,'COVID-19 Raw Data'!$O$3:$O$52,"No Data")</f>
        <v>No Data</v>
      </c>
      <c r="H37" s="2"/>
    </row>
    <row r="38">
      <c r="A38" s="3" t="s">
        <v>184</v>
      </c>
      <c r="B38" s="3" t="s">
        <v>125</v>
      </c>
      <c r="C38" s="3" t="s">
        <v>185</v>
      </c>
      <c r="D38" s="14" t="str">
        <f t="array" ref="D38">XLOOKUP($C38,location,'COVID-19 Raw Data'!$D$3:$D$52,"No Data")</f>
        <v>No Data</v>
      </c>
      <c r="E38" s="14" t="str">
        <f t="array" ref="E38">XLOOKUP($C38,location,'COVID-19 Raw Data'!$E$3:$E$52,"No Data")</f>
        <v>No Data</v>
      </c>
      <c r="F38" s="14" t="str">
        <f t="array" ref="F38">XLOOKUP($C38,location,'COVID-19 Raw Data'!$J$3:$J$52,"No Data")</f>
        <v>No Data</v>
      </c>
      <c r="G38" s="14" t="str">
        <f t="array" ref="G38">XLOOKUP($C38,location,'COVID-19 Raw Data'!$O$3:$O$52,"No Data")</f>
        <v>No Data</v>
      </c>
      <c r="H38" s="2"/>
    </row>
    <row r="39">
      <c r="A39" s="3" t="s">
        <v>186</v>
      </c>
      <c r="B39" s="3" t="s">
        <v>130</v>
      </c>
      <c r="C39" s="3" t="s">
        <v>187</v>
      </c>
      <c r="D39" s="14" t="str">
        <f t="array" ref="D39">XLOOKUP($C39,location,'COVID-19 Raw Data'!$D$3:$D$52,"No Data")</f>
        <v>No Data</v>
      </c>
      <c r="E39" s="14" t="str">
        <f t="array" ref="E39">XLOOKUP($C39,location,'COVID-19 Raw Data'!$E$3:$E$52,"No Data")</f>
        <v>No Data</v>
      </c>
      <c r="F39" s="14" t="str">
        <f t="array" ref="F39">XLOOKUP($C39,location,'COVID-19 Raw Data'!$J$3:$J$52,"No Data")</f>
        <v>No Data</v>
      </c>
      <c r="G39" s="14" t="str">
        <f t="array" ref="G39">XLOOKUP($C39,location,'COVID-19 Raw Data'!$O$3:$O$52,"No Data")</f>
        <v>No Data</v>
      </c>
      <c r="H39" s="2"/>
    </row>
    <row r="40">
      <c r="A40" s="3" t="s">
        <v>188</v>
      </c>
      <c r="B40" s="3" t="s">
        <v>125</v>
      </c>
      <c r="C40" s="3" t="s">
        <v>189</v>
      </c>
      <c r="D40" s="14" t="str">
        <f t="array" ref="D40">XLOOKUP($C40,location,'COVID-19 Raw Data'!$D$3:$D$52,"No Data")</f>
        <v>No Data</v>
      </c>
      <c r="E40" s="14" t="str">
        <f t="array" ref="E40">XLOOKUP($C40,location,'COVID-19 Raw Data'!$E$3:$E$52,"No Data")</f>
        <v>No Data</v>
      </c>
      <c r="F40" s="14" t="str">
        <f t="array" ref="F40">XLOOKUP($C40,location,'COVID-19 Raw Data'!$J$3:$J$52,"No Data")</f>
        <v>No Data</v>
      </c>
      <c r="G40" s="14" t="str">
        <f t="array" ref="G40">XLOOKUP($C40,location,'COVID-19 Raw Data'!$O$3:$O$52,"No Data")</f>
        <v>No Data</v>
      </c>
      <c r="H40" s="2"/>
    </row>
    <row r="41">
      <c r="A41" s="3" t="s">
        <v>190</v>
      </c>
      <c r="B41" s="3" t="s">
        <v>125</v>
      </c>
      <c r="C41" s="3" t="s">
        <v>191</v>
      </c>
      <c r="D41" s="14" t="str">
        <f t="array" ref="D41">XLOOKUP($C41,location,'COVID-19 Raw Data'!$D$3:$D$52,"No Data")</f>
        <v>No Data</v>
      </c>
      <c r="E41" s="14" t="str">
        <f t="array" ref="E41">XLOOKUP($C41,location,'COVID-19 Raw Data'!$E$3:$E$52,"No Data")</f>
        <v>No Data</v>
      </c>
      <c r="F41" s="14" t="str">
        <f t="array" ref="F41">XLOOKUP($C41,location,'COVID-19 Raw Data'!$J$3:$J$52,"No Data")</f>
        <v>No Data</v>
      </c>
      <c r="G41" s="14" t="str">
        <f t="array" ref="G41">XLOOKUP($C41,location,'COVID-19 Raw Data'!$O$3:$O$52,"No Data")</f>
        <v>No Data</v>
      </c>
      <c r="H41" s="2"/>
    </row>
    <row r="42">
      <c r="A42" s="3" t="s">
        <v>192</v>
      </c>
      <c r="B42" s="3" t="s">
        <v>135</v>
      </c>
      <c r="C42" s="3" t="s">
        <v>193</v>
      </c>
      <c r="D42" s="14" t="str">
        <f t="array" ref="D42">XLOOKUP($C42,location,'COVID-19 Raw Data'!$D$3:$D$52,"No Data")</f>
        <v>No Data</v>
      </c>
      <c r="E42" s="14" t="str">
        <f t="array" ref="E42">XLOOKUP($C42,location,'COVID-19 Raw Data'!$E$3:$E$52,"No Data")</f>
        <v>No Data</v>
      </c>
      <c r="F42" s="14" t="str">
        <f t="array" ref="F42">XLOOKUP($C42,location,'COVID-19 Raw Data'!$J$3:$J$52,"No Data")</f>
        <v>No Data</v>
      </c>
      <c r="G42" s="14" t="str">
        <f t="array" ref="G42">XLOOKUP($C42,location,'COVID-19 Raw Data'!$O$3:$O$52,"No Data")</f>
        <v>No Data</v>
      </c>
      <c r="H42" s="2"/>
    </row>
    <row r="43">
      <c r="A43" s="3" t="s">
        <v>194</v>
      </c>
      <c r="B43" s="3" t="s">
        <v>122</v>
      </c>
      <c r="C43" s="3" t="s">
        <v>195</v>
      </c>
      <c r="D43" s="14" t="str">
        <f t="array" ref="D43">XLOOKUP($C43,location,'COVID-19 Raw Data'!$D$3:$D$52,"No Data")</f>
        <v>No Data</v>
      </c>
      <c r="E43" s="14" t="str">
        <f t="array" ref="E43">XLOOKUP($C43,location,'COVID-19 Raw Data'!$E$3:$E$52,"No Data")</f>
        <v>No Data</v>
      </c>
      <c r="F43" s="14" t="str">
        <f t="array" ref="F43">XLOOKUP($C43,location,'COVID-19 Raw Data'!$J$3:$J$52,"No Data")</f>
        <v>No Data</v>
      </c>
      <c r="G43" s="14" t="str">
        <f t="array" ref="G43">XLOOKUP($C43,location,'COVID-19 Raw Data'!$O$3:$O$52,"No Data")</f>
        <v>No Data</v>
      </c>
      <c r="H43" s="2"/>
    </row>
    <row r="44">
      <c r="A44" s="3" t="s">
        <v>196</v>
      </c>
      <c r="B44" s="3" t="s">
        <v>135</v>
      </c>
      <c r="C44" s="3" t="s">
        <v>197</v>
      </c>
      <c r="D44" s="14" t="str">
        <f t="array" ref="D44">XLOOKUP($C44,location,'COVID-19 Raw Data'!$D$3:$D$52,"No Data")</f>
        <v>No Data</v>
      </c>
      <c r="E44" s="14" t="str">
        <f t="array" ref="E44">XLOOKUP($C44,location,'COVID-19 Raw Data'!$E$3:$E$52,"No Data")</f>
        <v>No Data</v>
      </c>
      <c r="F44" s="14" t="str">
        <f t="array" ref="F44">XLOOKUP($C44,location,'COVID-19 Raw Data'!$J$3:$J$52,"No Data")</f>
        <v>No Data</v>
      </c>
      <c r="G44" s="14" t="str">
        <f t="array" ref="G44">XLOOKUP($C44,location,'COVID-19 Raw Data'!$O$3:$O$52,"No Data")</f>
        <v>No Data</v>
      </c>
      <c r="H44" s="2"/>
    </row>
    <row r="45">
      <c r="A45" s="3" t="s">
        <v>198</v>
      </c>
      <c r="B45" s="3" t="s">
        <v>125</v>
      </c>
      <c r="C45" s="3" t="s">
        <v>199</v>
      </c>
      <c r="D45" s="14" t="str">
        <f t="array" ref="D45">XLOOKUP($C45,location,'COVID-19 Raw Data'!$D$3:$D$52,"No Data")</f>
        <v>No Data</v>
      </c>
      <c r="E45" s="14" t="str">
        <f t="array" ref="E45">XLOOKUP($C45,location,'COVID-19 Raw Data'!$E$3:$E$52,"No Data")</f>
        <v>No Data</v>
      </c>
      <c r="F45" s="14" t="str">
        <f t="array" ref="F45">XLOOKUP($C45,location,'COVID-19 Raw Data'!$J$3:$J$52,"No Data")</f>
        <v>No Data</v>
      </c>
      <c r="G45" s="14" t="str">
        <f t="array" ref="G45">XLOOKUP($C45,location,'COVID-19 Raw Data'!$O$3:$O$52,"No Data")</f>
        <v>No Data</v>
      </c>
      <c r="H45" s="2"/>
    </row>
    <row r="46">
      <c r="A46" s="3" t="s">
        <v>200</v>
      </c>
      <c r="B46" s="3" t="s">
        <v>125</v>
      </c>
      <c r="C46" s="3" t="s">
        <v>201</v>
      </c>
      <c r="D46" s="14" t="str">
        <f t="array" ref="D46">XLOOKUP($C46,location,'COVID-19 Raw Data'!$D$3:$D$52,"No Data")</f>
        <v>No Data</v>
      </c>
      <c r="E46" s="14" t="str">
        <f t="array" ref="E46">XLOOKUP($C46,location,'COVID-19 Raw Data'!$E$3:$E$52,"No Data")</f>
        <v>No Data</v>
      </c>
      <c r="F46" s="14" t="str">
        <f t="array" ref="F46">XLOOKUP($C46,location,'COVID-19 Raw Data'!$J$3:$J$52,"No Data")</f>
        <v>No Data</v>
      </c>
      <c r="G46" s="14" t="str">
        <f t="array" ref="G46">XLOOKUP($C46,location,'COVID-19 Raw Data'!$O$3:$O$52,"No Data")</f>
        <v>No Data</v>
      </c>
      <c r="H46" s="2"/>
    </row>
    <row r="47">
      <c r="A47" s="3" t="s">
        <v>202</v>
      </c>
      <c r="B47" s="3" t="s">
        <v>130</v>
      </c>
      <c r="C47" s="3" t="s">
        <v>203</v>
      </c>
      <c r="D47" s="14" t="str">
        <f t="array" ref="D47">XLOOKUP($C47,location,'COVID-19 Raw Data'!$D$3:$D$52,"No Data")</f>
        <v>No Data</v>
      </c>
      <c r="E47" s="14" t="str">
        <f t="array" ref="E47">XLOOKUP($C47,location,'COVID-19 Raw Data'!$E$3:$E$52,"No Data")</f>
        <v>No Data</v>
      </c>
      <c r="F47" s="14" t="str">
        <f t="array" ref="F47">XLOOKUP($C47,location,'COVID-19 Raw Data'!$J$3:$J$52,"No Data")</f>
        <v>No Data</v>
      </c>
      <c r="G47" s="14" t="str">
        <f t="array" ref="G47">XLOOKUP($C47,location,'COVID-19 Raw Data'!$O$3:$O$52,"No Data")</f>
        <v>No Data</v>
      </c>
      <c r="H47" s="2"/>
    </row>
    <row r="48">
      <c r="A48" s="3" t="s">
        <v>204</v>
      </c>
      <c r="B48" s="3" t="s">
        <v>125</v>
      </c>
      <c r="C48" s="3" t="s">
        <v>205</v>
      </c>
      <c r="D48" s="14" t="str">
        <f t="array" ref="D48">XLOOKUP($C48,location,'COVID-19 Raw Data'!$D$3:$D$52,"No Data")</f>
        <v>No Data</v>
      </c>
      <c r="E48" s="14" t="str">
        <f t="array" ref="E48">XLOOKUP($C48,location,'COVID-19 Raw Data'!$E$3:$E$52,"No Data")</f>
        <v>No Data</v>
      </c>
      <c r="F48" s="14" t="str">
        <f t="array" ref="F48">XLOOKUP($C48,location,'COVID-19 Raw Data'!$J$3:$J$52,"No Data")</f>
        <v>No Data</v>
      </c>
      <c r="G48" s="14" t="str">
        <f t="array" ref="G48">XLOOKUP($C48,location,'COVID-19 Raw Data'!$O$3:$O$52,"No Data")</f>
        <v>No Data</v>
      </c>
      <c r="H48" s="2"/>
    </row>
    <row r="49">
      <c r="A49" s="3" t="s">
        <v>63</v>
      </c>
      <c r="B49" s="3" t="s">
        <v>23</v>
      </c>
      <c r="C49" s="3" t="s">
        <v>64</v>
      </c>
      <c r="D49" s="14">
        <f t="array" ref="D49">XLOOKUP($C49,location,'COVID-19 Raw Data'!$D$3:$D$52,"No Data")</f>
        <v>715245</v>
      </c>
      <c r="E49" s="14">
        <f t="array" ref="E49">XLOOKUP($C49,location,'COVID-19 Raw Data'!$E$3:$E$52,"No Data")</f>
        <v>12538</v>
      </c>
      <c r="F49" s="14">
        <f t="array" ref="F49">XLOOKUP($C49,location,'COVID-19 Raw Data'!$J$3:$J$52,"No Data")</f>
        <v>4081657</v>
      </c>
      <c r="G49" s="14">
        <f t="array" ref="G49">XLOOKUP($C49,location,'COVID-19 Raw Data'!$O$3:$O$52,"No Data")</f>
        <v>22669.797</v>
      </c>
      <c r="H49" s="2"/>
    </row>
    <row r="50">
      <c r="A50" s="3" t="s">
        <v>206</v>
      </c>
      <c r="B50" s="3" t="s">
        <v>130</v>
      </c>
      <c r="C50" s="3" t="s">
        <v>207</v>
      </c>
      <c r="D50" s="14" t="str">
        <f t="array" ref="D50">XLOOKUP($C50,location,'COVID-19 Raw Data'!$D$3:$D$52,"No Data")</f>
        <v>No Data</v>
      </c>
      <c r="E50" s="14" t="str">
        <f t="array" ref="E50">XLOOKUP($C50,location,'COVID-19 Raw Data'!$E$3:$E$52,"No Data")</f>
        <v>No Data</v>
      </c>
      <c r="F50" s="14" t="str">
        <f t="array" ref="F50">XLOOKUP($C50,location,'COVID-19 Raw Data'!$J$3:$J$52,"No Data")</f>
        <v>No Data</v>
      </c>
      <c r="G50" s="14" t="str">
        <f t="array" ref="G50">XLOOKUP($C50,location,'COVID-19 Raw Data'!$O$3:$O$52,"No Data")</f>
        <v>No Data</v>
      </c>
      <c r="H50" s="2"/>
    </row>
    <row r="51">
      <c r="A51" s="3" t="s">
        <v>208</v>
      </c>
      <c r="B51" s="3" t="s">
        <v>130</v>
      </c>
      <c r="C51" s="3" t="s">
        <v>209</v>
      </c>
      <c r="D51" s="14" t="str">
        <f t="array" ref="D51">XLOOKUP($C51,location,'COVID-19 Raw Data'!$D$3:$D$52,"No Data")</f>
        <v>No Data</v>
      </c>
      <c r="E51" s="14" t="str">
        <f t="array" ref="E51">XLOOKUP($C51,location,'COVID-19 Raw Data'!$E$3:$E$52,"No Data")</f>
        <v>No Data</v>
      </c>
      <c r="F51" s="14" t="str">
        <f t="array" ref="F51">XLOOKUP($C51,location,'COVID-19 Raw Data'!$J$3:$J$52,"No Data")</f>
        <v>No Data</v>
      </c>
      <c r="G51" s="14" t="str">
        <f t="array" ref="G51">XLOOKUP($C51,location,'COVID-19 Raw Data'!$O$3:$O$52,"No Data")</f>
        <v>No Data</v>
      </c>
      <c r="H51" s="2"/>
    </row>
    <row r="52">
      <c r="A52" s="3" t="s">
        <v>39</v>
      </c>
      <c r="B52" s="3" t="s">
        <v>23</v>
      </c>
      <c r="C52" s="3" t="s">
        <v>210</v>
      </c>
      <c r="D52" s="14" t="str">
        <f t="array" ref="D52">XLOOKUP($C52,location,'COVID-19 Raw Data'!$D$3:$D$52,"No Data")</f>
        <v>No Data</v>
      </c>
      <c r="E52" s="14" t="str">
        <f t="array" ref="E52">XLOOKUP($C52,location,'COVID-19 Raw Data'!$E$3:$E$52,"No Data")</f>
        <v>No Data</v>
      </c>
      <c r="F52" s="14" t="str">
        <f t="array" ref="F52">XLOOKUP($C52,location,'COVID-19 Raw Data'!$J$3:$J$52,"No Data")</f>
        <v>No Data</v>
      </c>
      <c r="G52" s="14" t="str">
        <f t="array" ref="G52">XLOOKUP($C52,location,'COVID-19 Raw Data'!$O$3:$O$52,"No Data")</f>
        <v>No Data</v>
      </c>
      <c r="H52" s="2"/>
    </row>
    <row r="53">
      <c r="A53" s="3" t="s">
        <v>211</v>
      </c>
      <c r="B53" s="3" t="s">
        <v>125</v>
      </c>
      <c r="C53" s="3" t="s">
        <v>212</v>
      </c>
      <c r="D53" s="14" t="str">
        <f t="array" ref="D53">XLOOKUP($C53,location,'COVID-19 Raw Data'!$D$3:$D$52,"No Data")</f>
        <v>No Data</v>
      </c>
      <c r="E53" s="14" t="str">
        <f t="array" ref="E53">XLOOKUP($C53,location,'COVID-19 Raw Data'!$E$3:$E$52,"No Data")</f>
        <v>No Data</v>
      </c>
      <c r="F53" s="14" t="str">
        <f t="array" ref="F53">XLOOKUP($C53,location,'COVID-19 Raw Data'!$J$3:$J$52,"No Data")</f>
        <v>No Data</v>
      </c>
      <c r="G53" s="14" t="str">
        <f t="array" ref="G53">XLOOKUP($C53,location,'COVID-19 Raw Data'!$O$3:$O$52,"No Data")</f>
        <v>No Data</v>
      </c>
      <c r="H53" s="2"/>
    </row>
    <row r="54">
      <c r="A54" s="3" t="s">
        <v>43</v>
      </c>
      <c r="B54" s="3" t="s">
        <v>23</v>
      </c>
      <c r="C54" s="3" t="s">
        <v>44</v>
      </c>
      <c r="D54" s="14">
        <f t="array" ref="D54">XLOOKUP($C54,location,'COVID-19 Raw Data'!$D$3:$D$52,"No Data")</f>
        <v>802397</v>
      </c>
      <c r="E54" s="14">
        <f t="array" ref="E54">XLOOKUP($C54,location,'COVID-19 Raw Data'!$E$3:$E$52,"No Data")</f>
        <v>3207</v>
      </c>
      <c r="F54" s="14">
        <f t="array" ref="F54">XLOOKUP($C54,location,'COVID-19 Raw Data'!$J$3:$J$52,"No Data")</f>
        <v>5813302</v>
      </c>
      <c r="G54" s="14">
        <f t="array" ref="G54">XLOOKUP($C54,location,'COVID-19 Raw Data'!$O$3:$O$52,"No Data")</f>
        <v>46682.515</v>
      </c>
      <c r="H54" s="2"/>
    </row>
    <row r="55">
      <c r="A55" s="3" t="s">
        <v>213</v>
      </c>
      <c r="B55" s="3" t="s">
        <v>125</v>
      </c>
      <c r="C55" s="3" t="s">
        <v>214</v>
      </c>
      <c r="D55" s="14" t="str">
        <f t="array" ref="D55">XLOOKUP($C55,location,'COVID-19 Raw Data'!$D$3:$D$52,"No Data")</f>
        <v>No Data</v>
      </c>
      <c r="E55" s="14" t="str">
        <f t="array" ref="E55">XLOOKUP($C55,location,'COVID-19 Raw Data'!$E$3:$E$52,"No Data")</f>
        <v>No Data</v>
      </c>
      <c r="F55" s="14" t="str">
        <f t="array" ref="F55">XLOOKUP($C55,location,'COVID-19 Raw Data'!$J$3:$J$52,"No Data")</f>
        <v>No Data</v>
      </c>
      <c r="G55" s="14" t="str">
        <f t="array" ref="G55">XLOOKUP($C55,location,'COVID-19 Raw Data'!$O$3:$O$52,"No Data")</f>
        <v>No Data</v>
      </c>
      <c r="H55" s="2"/>
    </row>
    <row r="56">
      <c r="A56" s="3" t="s">
        <v>215</v>
      </c>
      <c r="B56" s="3" t="s">
        <v>130</v>
      </c>
      <c r="C56" s="3" t="s">
        <v>216</v>
      </c>
      <c r="D56" s="14" t="str">
        <f t="array" ref="D56">XLOOKUP($C56,location,'COVID-19 Raw Data'!$D$3:$D$52,"No Data")</f>
        <v>No Data</v>
      </c>
      <c r="E56" s="14" t="str">
        <f t="array" ref="E56">XLOOKUP($C56,location,'COVID-19 Raw Data'!$E$3:$E$52,"No Data")</f>
        <v>No Data</v>
      </c>
      <c r="F56" s="14" t="str">
        <f t="array" ref="F56">XLOOKUP($C56,location,'COVID-19 Raw Data'!$J$3:$J$52,"No Data")</f>
        <v>No Data</v>
      </c>
      <c r="G56" s="14" t="str">
        <f t="array" ref="G56">XLOOKUP($C56,location,'COVID-19 Raw Data'!$O$3:$O$52,"No Data")</f>
        <v>No Data</v>
      </c>
      <c r="H56" s="2"/>
    </row>
    <row r="57">
      <c r="A57" s="3" t="s">
        <v>217</v>
      </c>
      <c r="B57" s="3" t="s">
        <v>130</v>
      </c>
      <c r="C57" s="3" t="s">
        <v>218</v>
      </c>
      <c r="D57" s="14" t="str">
        <f t="array" ref="D57">XLOOKUP($C57,location,'COVID-19 Raw Data'!$D$3:$D$52,"No Data")</f>
        <v>No Data</v>
      </c>
      <c r="E57" s="14" t="str">
        <f t="array" ref="E57">XLOOKUP($C57,location,'COVID-19 Raw Data'!$E$3:$E$52,"No Data")</f>
        <v>No Data</v>
      </c>
      <c r="F57" s="14" t="str">
        <f t="array" ref="F57">XLOOKUP($C57,location,'COVID-19 Raw Data'!$J$3:$J$52,"No Data")</f>
        <v>No Data</v>
      </c>
      <c r="G57" s="14" t="str">
        <f t="array" ref="G57">XLOOKUP($C57,location,'COVID-19 Raw Data'!$O$3:$O$52,"No Data")</f>
        <v>No Data</v>
      </c>
      <c r="H57" s="2"/>
    </row>
    <row r="58">
      <c r="A58" s="3" t="s">
        <v>219</v>
      </c>
      <c r="B58" s="3" t="s">
        <v>135</v>
      </c>
      <c r="C58" s="3" t="s">
        <v>220</v>
      </c>
      <c r="D58" s="14" t="str">
        <f t="array" ref="D58">XLOOKUP($C58,location,'COVID-19 Raw Data'!$D$3:$D$52,"No Data")</f>
        <v>No Data</v>
      </c>
      <c r="E58" s="14" t="str">
        <f t="array" ref="E58">XLOOKUP($C58,location,'COVID-19 Raw Data'!$E$3:$E$52,"No Data")</f>
        <v>No Data</v>
      </c>
      <c r="F58" s="14" t="str">
        <f t="array" ref="F58">XLOOKUP($C58,location,'COVID-19 Raw Data'!$J$3:$J$52,"No Data")</f>
        <v>No Data</v>
      </c>
      <c r="G58" s="14" t="str">
        <f t="array" ref="G58">XLOOKUP($C58,location,'COVID-19 Raw Data'!$O$3:$O$52,"No Data")</f>
        <v>No Data</v>
      </c>
      <c r="H58" s="2"/>
    </row>
    <row r="59">
      <c r="A59" s="3" t="s">
        <v>221</v>
      </c>
      <c r="B59" s="3" t="s">
        <v>125</v>
      </c>
      <c r="C59" s="3" t="s">
        <v>222</v>
      </c>
      <c r="D59" s="14" t="str">
        <f t="array" ref="D59">XLOOKUP($C59,location,'COVID-19 Raw Data'!$D$3:$D$52,"No Data")</f>
        <v>No Data</v>
      </c>
      <c r="E59" s="14" t="str">
        <f t="array" ref="E59">XLOOKUP($C59,location,'COVID-19 Raw Data'!$E$3:$E$52,"No Data")</f>
        <v>No Data</v>
      </c>
      <c r="F59" s="14" t="str">
        <f t="array" ref="F59">XLOOKUP($C59,location,'COVID-19 Raw Data'!$J$3:$J$52,"No Data")</f>
        <v>No Data</v>
      </c>
      <c r="G59" s="14" t="str">
        <f t="array" ref="G59">XLOOKUP($C59,location,'COVID-19 Raw Data'!$O$3:$O$52,"No Data")</f>
        <v>No Data</v>
      </c>
      <c r="H59" s="2"/>
    </row>
    <row r="60">
      <c r="A60" s="3" t="s">
        <v>223</v>
      </c>
      <c r="B60" s="3" t="s">
        <v>130</v>
      </c>
      <c r="C60" s="3" t="s">
        <v>224</v>
      </c>
      <c r="D60" s="14" t="str">
        <f t="array" ref="D60">XLOOKUP($C60,location,'COVID-19 Raw Data'!$D$3:$D$52,"No Data")</f>
        <v>No Data</v>
      </c>
      <c r="E60" s="14" t="str">
        <f t="array" ref="E60">XLOOKUP($C60,location,'COVID-19 Raw Data'!$E$3:$E$52,"No Data")</f>
        <v>No Data</v>
      </c>
      <c r="F60" s="14" t="str">
        <f t="array" ref="F60">XLOOKUP($C60,location,'COVID-19 Raw Data'!$J$3:$J$52,"No Data")</f>
        <v>No Data</v>
      </c>
      <c r="G60" s="14" t="str">
        <f t="array" ref="G60">XLOOKUP($C60,location,'COVID-19 Raw Data'!$O$3:$O$52,"No Data")</f>
        <v>No Data</v>
      </c>
      <c r="H60" s="2"/>
    </row>
    <row r="61">
      <c r="A61" s="3" t="s">
        <v>225</v>
      </c>
      <c r="B61" s="3" t="s">
        <v>125</v>
      </c>
      <c r="C61" s="3" t="s">
        <v>226</v>
      </c>
      <c r="D61" s="14" t="str">
        <f t="array" ref="D61">XLOOKUP($C61,location,'COVID-19 Raw Data'!$D$3:$D$52,"No Data")</f>
        <v>No Data</v>
      </c>
      <c r="E61" s="14" t="str">
        <f t="array" ref="E61">XLOOKUP($C61,location,'COVID-19 Raw Data'!$E$3:$E$52,"No Data")</f>
        <v>No Data</v>
      </c>
      <c r="F61" s="14" t="str">
        <f t="array" ref="F61">XLOOKUP($C61,location,'COVID-19 Raw Data'!$J$3:$J$52,"No Data")</f>
        <v>No Data</v>
      </c>
      <c r="G61" s="14" t="str">
        <f t="array" ref="G61">XLOOKUP($C61,location,'COVID-19 Raw Data'!$O$3:$O$52,"No Data")</f>
        <v>No Data</v>
      </c>
      <c r="H61" s="2"/>
    </row>
    <row r="62">
      <c r="A62" s="3" t="s">
        <v>227</v>
      </c>
      <c r="B62" s="3" t="s">
        <v>125</v>
      </c>
      <c r="C62" s="3" t="s">
        <v>228</v>
      </c>
      <c r="D62" s="14" t="str">
        <f t="array" ref="D62">XLOOKUP($C62,location,'COVID-19 Raw Data'!$D$3:$D$52,"No Data")</f>
        <v>No Data</v>
      </c>
      <c r="E62" s="14" t="str">
        <f t="array" ref="E62">XLOOKUP($C62,location,'COVID-19 Raw Data'!$E$3:$E$52,"No Data")</f>
        <v>No Data</v>
      </c>
      <c r="F62" s="14" t="str">
        <f t="array" ref="F62">XLOOKUP($C62,location,'COVID-19 Raw Data'!$J$3:$J$52,"No Data")</f>
        <v>No Data</v>
      </c>
      <c r="G62" s="14" t="str">
        <f t="array" ref="G62">XLOOKUP($C62,location,'COVID-19 Raw Data'!$O$3:$O$52,"No Data")</f>
        <v>No Data</v>
      </c>
      <c r="H62" s="2"/>
    </row>
    <row r="63">
      <c r="A63" s="3" t="s">
        <v>47</v>
      </c>
      <c r="B63" s="3" t="s">
        <v>23</v>
      </c>
      <c r="C63" s="3" t="s">
        <v>48</v>
      </c>
      <c r="D63" s="14">
        <f t="array" ref="D63">XLOOKUP($C63,location,'COVID-19 Raw Data'!$D$3:$D$52,"No Data")</f>
        <v>241408</v>
      </c>
      <c r="E63" s="14">
        <f t="array" ref="E63">XLOOKUP($C63,location,'COVID-19 Raw Data'!$E$3:$E$52,"No Data")</f>
        <v>1932</v>
      </c>
      <c r="F63" s="14">
        <f t="array" ref="F63">XLOOKUP($C63,location,'COVID-19 Raw Data'!$J$3:$J$52,"No Data")</f>
        <v>1325188</v>
      </c>
      <c r="G63" s="14">
        <f t="array" ref="G63">XLOOKUP($C63,location,'COVID-19 Raw Data'!$O$3:$O$52,"No Data")</f>
        <v>29481.252</v>
      </c>
      <c r="H63" s="2"/>
    </row>
    <row r="64">
      <c r="A64" s="3" t="s">
        <v>229</v>
      </c>
      <c r="B64" s="3" t="s">
        <v>125</v>
      </c>
      <c r="C64" s="3" t="s">
        <v>230</v>
      </c>
      <c r="D64" s="14" t="str">
        <f t="array" ref="D64">XLOOKUP($C64,location,'COVID-19 Raw Data'!$D$3:$D$52,"No Data")</f>
        <v>No Data</v>
      </c>
      <c r="E64" s="14" t="str">
        <f t="array" ref="E64">XLOOKUP($C64,location,'COVID-19 Raw Data'!$E$3:$E$52,"No Data")</f>
        <v>No Data</v>
      </c>
      <c r="F64" s="14" t="str">
        <f t="array" ref="F64">XLOOKUP($C64,location,'COVID-19 Raw Data'!$J$3:$J$52,"No Data")</f>
        <v>No Data</v>
      </c>
      <c r="G64" s="14" t="str">
        <f t="array" ref="G64">XLOOKUP($C64,location,'COVID-19 Raw Data'!$O$3:$O$52,"No Data")</f>
        <v>No Data</v>
      </c>
      <c r="H64" s="2"/>
    </row>
    <row r="65">
      <c r="A65" s="3" t="s">
        <v>53</v>
      </c>
      <c r="B65" s="3" t="s">
        <v>23</v>
      </c>
      <c r="C65" s="3" t="s">
        <v>54</v>
      </c>
      <c r="D65" s="14">
        <f t="array" ref="D65">XLOOKUP($C65,location,'COVID-19 Raw Data'!$D$3:$D$52,"No Data")</f>
        <v>5764</v>
      </c>
      <c r="E65" s="14">
        <f t="array" ref="E65">XLOOKUP($C65,location,'COVID-19 Raw Data'!$E$3:$E$52,"No Data")</f>
        <v>14</v>
      </c>
      <c r="F65" s="14">
        <f t="array" ref="F65">XLOOKUP($C65,location,'COVID-19 Raw Data'!$J$3:$J$52,"No Data")</f>
        <v>49053</v>
      </c>
      <c r="G65" s="14" t="str">
        <f t="array" ref="G65">XLOOKUP($C65,location,'COVID-19 Raw Data'!$O$3:$O$52,"No Data")</f>
        <v/>
      </c>
      <c r="H65" s="2"/>
    </row>
    <row r="66">
      <c r="A66" s="3" t="s">
        <v>231</v>
      </c>
      <c r="B66" s="3" t="s">
        <v>135</v>
      </c>
      <c r="C66" s="3" t="s">
        <v>232</v>
      </c>
      <c r="D66" s="14" t="str">
        <f t="array" ref="D66">XLOOKUP($C66,location,'COVID-19 Raw Data'!$D$3:$D$52,"No Data")</f>
        <v>No Data</v>
      </c>
      <c r="E66" s="14" t="str">
        <f t="array" ref="E66">XLOOKUP($C66,location,'COVID-19 Raw Data'!$E$3:$E$52,"No Data")</f>
        <v>No Data</v>
      </c>
      <c r="F66" s="14" t="str">
        <f t="array" ref="F66">XLOOKUP($C66,location,'COVID-19 Raw Data'!$J$3:$J$52,"No Data")</f>
        <v>No Data</v>
      </c>
      <c r="G66" s="14" t="str">
        <f t="array" ref="G66">XLOOKUP($C66,location,'COVID-19 Raw Data'!$O$3:$O$52,"No Data")</f>
        <v>No Data</v>
      </c>
      <c r="H66" s="2"/>
    </row>
    <row r="67">
      <c r="A67" s="3" t="s">
        <v>233</v>
      </c>
      <c r="B67" s="3" t="s">
        <v>142</v>
      </c>
      <c r="C67" s="3" t="s">
        <v>234</v>
      </c>
      <c r="D67" s="14" t="str">
        <f t="array" ref="D67">XLOOKUP($C67,location,'COVID-19 Raw Data'!$D$3:$D$52,"No Data")</f>
        <v>No Data</v>
      </c>
      <c r="E67" s="14" t="str">
        <f t="array" ref="E67">XLOOKUP($C67,location,'COVID-19 Raw Data'!$E$3:$E$52,"No Data")</f>
        <v>No Data</v>
      </c>
      <c r="F67" s="14" t="str">
        <f t="array" ref="F67">XLOOKUP($C67,location,'COVID-19 Raw Data'!$J$3:$J$52,"No Data")</f>
        <v>No Data</v>
      </c>
      <c r="G67" s="14" t="str">
        <f t="array" ref="G67">XLOOKUP($C67,location,'COVID-19 Raw Data'!$O$3:$O$52,"No Data")</f>
        <v>No Data</v>
      </c>
      <c r="H67" s="2"/>
    </row>
    <row r="68">
      <c r="A68" s="3" t="s">
        <v>49</v>
      </c>
      <c r="B68" s="3" t="s">
        <v>23</v>
      </c>
      <c r="C68" s="3" t="s">
        <v>50</v>
      </c>
      <c r="D68" s="14">
        <f t="array" ref="D68">XLOOKUP($C68,location,'COVID-19 Raw Data'!$D$3:$D$52,"No Data")</f>
        <v>260292</v>
      </c>
      <c r="E68" s="14">
        <f t="array" ref="E68">XLOOKUP($C68,location,'COVID-19 Raw Data'!$E$3:$E$52,"No Data")</f>
        <v>1564</v>
      </c>
      <c r="F68" s="14">
        <f t="array" ref="F68">XLOOKUP($C68,location,'COVID-19 Raw Data'!$J$3:$J$52,"No Data")</f>
        <v>5548361</v>
      </c>
      <c r="G68" s="14">
        <f t="array" ref="G68">XLOOKUP($C68,location,'COVID-19 Raw Data'!$O$3:$O$52,"No Data")</f>
        <v>40585.721</v>
      </c>
      <c r="H68" s="2"/>
    </row>
    <row r="69">
      <c r="A69" s="3" t="s">
        <v>51</v>
      </c>
      <c r="B69" s="3" t="s">
        <v>23</v>
      </c>
      <c r="C69" s="3" t="s">
        <v>52</v>
      </c>
      <c r="D69" s="14">
        <f t="array" ref="D69">XLOOKUP($C69,location,'COVID-19 Raw Data'!$D$3:$D$52,"No Data")</f>
        <v>10412480</v>
      </c>
      <c r="E69" s="14">
        <f t="array" ref="E69">XLOOKUP($C69,location,'COVID-19 Raw Data'!$E$3:$E$52,"No Data")</f>
        <v>123805</v>
      </c>
      <c r="F69" s="14">
        <f t="array" ref="F69">XLOOKUP($C69,location,'COVID-19 Raw Data'!$J$3:$J$52,"No Data")</f>
        <v>67422000</v>
      </c>
      <c r="G69" s="14">
        <f t="array" ref="G69">XLOOKUP($C69,location,'COVID-19 Raw Data'!$O$3:$O$52,"No Data")</f>
        <v>38605.671</v>
      </c>
      <c r="H69" s="2"/>
    </row>
    <row r="70">
      <c r="A70" s="3" t="s">
        <v>235</v>
      </c>
      <c r="B70" s="3" t="s">
        <v>142</v>
      </c>
      <c r="C70" s="3" t="s">
        <v>236</v>
      </c>
      <c r="D70" s="14" t="str">
        <f t="array" ref="D70">XLOOKUP($C70,location,'COVID-19 Raw Data'!$D$3:$D$52,"No Data")</f>
        <v>No Data</v>
      </c>
      <c r="E70" s="14" t="str">
        <f t="array" ref="E70">XLOOKUP($C70,location,'COVID-19 Raw Data'!$E$3:$E$52,"No Data")</f>
        <v>No Data</v>
      </c>
      <c r="F70" s="14" t="str">
        <f t="array" ref="F70">XLOOKUP($C70,location,'COVID-19 Raw Data'!$J$3:$J$52,"No Data")</f>
        <v>No Data</v>
      </c>
      <c r="G70" s="14" t="str">
        <f t="array" ref="G70">XLOOKUP($C70,location,'COVID-19 Raw Data'!$O$3:$O$52,"No Data")</f>
        <v>No Data</v>
      </c>
      <c r="H70" s="2"/>
    </row>
    <row r="71">
      <c r="A71" s="3" t="s">
        <v>237</v>
      </c>
      <c r="B71" s="3" t="s">
        <v>125</v>
      </c>
      <c r="C71" s="3" t="s">
        <v>238</v>
      </c>
      <c r="D71" s="14" t="str">
        <f t="array" ref="D71">XLOOKUP($C71,location,'COVID-19 Raw Data'!$D$3:$D$52,"No Data")</f>
        <v>No Data</v>
      </c>
      <c r="E71" s="14" t="str">
        <f t="array" ref="E71">XLOOKUP($C71,location,'COVID-19 Raw Data'!$E$3:$E$52,"No Data")</f>
        <v>No Data</v>
      </c>
      <c r="F71" s="14" t="str">
        <f t="array" ref="F71">XLOOKUP($C71,location,'COVID-19 Raw Data'!$J$3:$J$52,"No Data")</f>
        <v>No Data</v>
      </c>
      <c r="G71" s="14" t="str">
        <f t="array" ref="G71">XLOOKUP($C71,location,'COVID-19 Raw Data'!$O$3:$O$52,"No Data")</f>
        <v>No Data</v>
      </c>
      <c r="H71" s="2"/>
    </row>
    <row r="72">
      <c r="A72" s="3" t="s">
        <v>239</v>
      </c>
      <c r="B72" s="3" t="s">
        <v>125</v>
      </c>
      <c r="C72" s="3" t="s">
        <v>240</v>
      </c>
      <c r="D72" s="14" t="str">
        <f t="array" ref="D72">XLOOKUP($C72,location,'COVID-19 Raw Data'!$D$3:$D$52,"No Data")</f>
        <v>No Data</v>
      </c>
      <c r="E72" s="14" t="str">
        <f t="array" ref="E72">XLOOKUP($C72,location,'COVID-19 Raw Data'!$E$3:$E$52,"No Data")</f>
        <v>No Data</v>
      </c>
      <c r="F72" s="14" t="str">
        <f t="array" ref="F72">XLOOKUP($C72,location,'COVID-19 Raw Data'!$J$3:$J$52,"No Data")</f>
        <v>No Data</v>
      </c>
      <c r="G72" s="14" t="str">
        <f t="array" ref="G72">XLOOKUP($C72,location,'COVID-19 Raw Data'!$O$3:$O$52,"No Data")</f>
        <v>No Data</v>
      </c>
      <c r="H72" s="2"/>
    </row>
    <row r="73">
      <c r="A73" s="3" t="s">
        <v>241</v>
      </c>
      <c r="B73" s="3" t="s">
        <v>122</v>
      </c>
      <c r="C73" s="3" t="s">
        <v>242</v>
      </c>
      <c r="D73" s="14" t="str">
        <f t="array" ref="D73">XLOOKUP($C73,location,'COVID-19 Raw Data'!$D$3:$D$52,"No Data")</f>
        <v>No Data</v>
      </c>
      <c r="E73" s="14" t="str">
        <f t="array" ref="E73">XLOOKUP($C73,location,'COVID-19 Raw Data'!$E$3:$E$52,"No Data")</f>
        <v>No Data</v>
      </c>
      <c r="F73" s="14" t="str">
        <f t="array" ref="F73">XLOOKUP($C73,location,'COVID-19 Raw Data'!$J$3:$J$52,"No Data")</f>
        <v>No Data</v>
      </c>
      <c r="G73" s="14" t="str">
        <f t="array" ref="G73">XLOOKUP($C73,location,'COVID-19 Raw Data'!$O$3:$O$52,"No Data")</f>
        <v>No Data</v>
      </c>
      <c r="H73" s="2"/>
    </row>
    <row r="74">
      <c r="A74" s="3" t="s">
        <v>41</v>
      </c>
      <c r="B74" s="3" t="s">
        <v>23</v>
      </c>
      <c r="C74" s="3" t="s">
        <v>42</v>
      </c>
      <c r="D74" s="14">
        <f t="array" ref="D74">XLOOKUP($C74,location,'COVID-19 Raw Data'!$D$3:$D$52,"No Data")</f>
        <v>7193186</v>
      </c>
      <c r="E74" s="14">
        <f t="array" ref="E74">XLOOKUP($C74,location,'COVID-19 Raw Data'!$E$3:$E$52,"No Data")</f>
        <v>112111</v>
      </c>
      <c r="F74" s="14">
        <f t="array" ref="F74">XLOOKUP($C74,location,'COVID-19 Raw Data'!$J$3:$J$52,"No Data")</f>
        <v>83900471</v>
      </c>
      <c r="G74" s="14">
        <f t="array" ref="G74">XLOOKUP($C74,location,'COVID-19 Raw Data'!$O$3:$O$52,"No Data")</f>
        <v>45229.245</v>
      </c>
      <c r="H74" s="2"/>
    </row>
    <row r="75">
      <c r="A75" s="3" t="s">
        <v>243</v>
      </c>
      <c r="B75" s="3" t="s">
        <v>125</v>
      </c>
      <c r="C75" s="3" t="s">
        <v>244</v>
      </c>
      <c r="D75" s="14" t="str">
        <f t="array" ref="D75">XLOOKUP($C75,location,'COVID-19 Raw Data'!$D$3:$D$52,"No Data")</f>
        <v>No Data</v>
      </c>
      <c r="E75" s="14" t="str">
        <f t="array" ref="E75">XLOOKUP($C75,location,'COVID-19 Raw Data'!$E$3:$E$52,"No Data")</f>
        <v>No Data</v>
      </c>
      <c r="F75" s="14" t="str">
        <f t="array" ref="F75">XLOOKUP($C75,location,'COVID-19 Raw Data'!$J$3:$J$52,"No Data")</f>
        <v>No Data</v>
      </c>
      <c r="G75" s="14" t="str">
        <f t="array" ref="G75">XLOOKUP($C75,location,'COVID-19 Raw Data'!$O$3:$O$52,"No Data")</f>
        <v>No Data</v>
      </c>
      <c r="H75" s="2"/>
    </row>
    <row r="76">
      <c r="A76" s="3" t="s">
        <v>59</v>
      </c>
      <c r="B76" s="3" t="s">
        <v>23</v>
      </c>
      <c r="C76" s="3" t="s">
        <v>60</v>
      </c>
      <c r="D76" s="14">
        <f t="array" ref="D76">XLOOKUP($C76,location,'COVID-19 Raw Data'!$D$3:$D$52,"No Data")</f>
        <v>8701</v>
      </c>
      <c r="E76" s="14">
        <f t="array" ref="E76">XLOOKUP($C76,location,'COVID-19 Raw Data'!$E$3:$E$52,"No Data")</f>
        <v>100</v>
      </c>
      <c r="F76" s="14">
        <f t="array" ref="F76">XLOOKUP($C76,location,'COVID-19 Raw Data'!$J$3:$J$52,"No Data")</f>
        <v>33691</v>
      </c>
      <c r="G76" s="14" t="str">
        <f t="array" ref="G76">XLOOKUP($C76,location,'COVID-19 Raw Data'!$O$3:$O$52,"No Data")</f>
        <v/>
      </c>
      <c r="H76" s="2"/>
    </row>
    <row r="77">
      <c r="A77" s="3" t="s">
        <v>61</v>
      </c>
      <c r="B77" s="3" t="s">
        <v>23</v>
      </c>
      <c r="C77" s="3" t="s">
        <v>62</v>
      </c>
      <c r="D77" s="14">
        <f t="array" ref="D77">XLOOKUP($C77,location,'COVID-19 Raw Data'!$D$3:$D$52,"No Data")</f>
        <v>1210853</v>
      </c>
      <c r="E77" s="14">
        <f t="array" ref="E77">XLOOKUP($C77,location,'COVID-19 Raw Data'!$E$3:$E$52,"No Data")</f>
        <v>20790</v>
      </c>
      <c r="F77" s="14">
        <f t="array" ref="F77">XLOOKUP($C77,location,'COVID-19 Raw Data'!$J$3:$J$52,"No Data")</f>
        <v>10370747</v>
      </c>
      <c r="G77" s="14">
        <f t="array" ref="G77">XLOOKUP($C77,location,'COVID-19 Raw Data'!$O$3:$O$52,"No Data")</f>
        <v>24574.382</v>
      </c>
      <c r="H77" s="2"/>
    </row>
    <row r="78">
      <c r="A78" s="3" t="s">
        <v>245</v>
      </c>
      <c r="B78" s="3" t="s">
        <v>130</v>
      </c>
      <c r="C78" s="3" t="s">
        <v>246</v>
      </c>
      <c r="D78" s="14" t="str">
        <f t="array" ref="D78">XLOOKUP($C78,location,'COVID-19 Raw Data'!$D$3:$D$52,"No Data")</f>
        <v>No Data</v>
      </c>
      <c r="E78" s="14" t="str">
        <f t="array" ref="E78">XLOOKUP($C78,location,'COVID-19 Raw Data'!$E$3:$E$52,"No Data")</f>
        <v>No Data</v>
      </c>
      <c r="F78" s="14" t="str">
        <f t="array" ref="F78">XLOOKUP($C78,location,'COVID-19 Raw Data'!$J$3:$J$52,"No Data")</f>
        <v>No Data</v>
      </c>
      <c r="G78" s="14" t="str">
        <f t="array" ref="G78">XLOOKUP($C78,location,'COVID-19 Raw Data'!$O$3:$O$52,"No Data")</f>
        <v>No Data</v>
      </c>
      <c r="H78" s="2"/>
    </row>
    <row r="79">
      <c r="A79" s="3" t="s">
        <v>247</v>
      </c>
      <c r="B79" s="3" t="s">
        <v>130</v>
      </c>
      <c r="C79" s="3" t="s">
        <v>248</v>
      </c>
      <c r="D79" s="14" t="str">
        <f t="array" ref="D79">XLOOKUP($C79,location,'COVID-19 Raw Data'!$D$3:$D$52,"No Data")</f>
        <v>No Data</v>
      </c>
      <c r="E79" s="14" t="str">
        <f t="array" ref="E79">XLOOKUP($C79,location,'COVID-19 Raw Data'!$E$3:$E$52,"No Data")</f>
        <v>No Data</v>
      </c>
      <c r="F79" s="14" t="str">
        <f t="array" ref="F79">XLOOKUP($C79,location,'COVID-19 Raw Data'!$J$3:$J$52,"No Data")</f>
        <v>No Data</v>
      </c>
      <c r="G79" s="14" t="str">
        <f t="array" ref="G79">XLOOKUP($C79,location,'COVID-19 Raw Data'!$O$3:$O$52,"No Data")</f>
        <v>No Data</v>
      </c>
      <c r="H79" s="2"/>
    </row>
    <row r="80">
      <c r="A80" s="3" t="s">
        <v>249</v>
      </c>
      <c r="B80" s="3" t="s">
        <v>142</v>
      </c>
      <c r="C80" s="3" t="s">
        <v>250</v>
      </c>
      <c r="D80" s="14" t="str">
        <f t="array" ref="D80">XLOOKUP($C80,location,'COVID-19 Raw Data'!$D$3:$D$52,"No Data")</f>
        <v>No Data</v>
      </c>
      <c r="E80" s="14" t="str">
        <f t="array" ref="E80">XLOOKUP($C80,location,'COVID-19 Raw Data'!$E$3:$E$52,"No Data")</f>
        <v>No Data</v>
      </c>
      <c r="F80" s="14" t="str">
        <f t="array" ref="F80">XLOOKUP($C80,location,'COVID-19 Raw Data'!$J$3:$J$52,"No Data")</f>
        <v>No Data</v>
      </c>
      <c r="G80" s="14" t="str">
        <f t="array" ref="G80">XLOOKUP($C80,location,'COVID-19 Raw Data'!$O$3:$O$52,"No Data")</f>
        <v>No Data</v>
      </c>
      <c r="H80" s="2"/>
    </row>
    <row r="81">
      <c r="A81" s="3" t="s">
        <v>251</v>
      </c>
      <c r="B81" s="3" t="s">
        <v>130</v>
      </c>
      <c r="C81" s="3" t="s">
        <v>252</v>
      </c>
      <c r="D81" s="14" t="str">
        <f t="array" ref="D81">XLOOKUP($C81,location,'COVID-19 Raw Data'!$D$3:$D$52,"No Data")</f>
        <v>No Data</v>
      </c>
      <c r="E81" s="14" t="str">
        <f t="array" ref="E81">XLOOKUP($C81,location,'COVID-19 Raw Data'!$E$3:$E$52,"No Data")</f>
        <v>No Data</v>
      </c>
      <c r="F81" s="14" t="str">
        <f t="array" ref="F81">XLOOKUP($C81,location,'COVID-19 Raw Data'!$J$3:$J$52,"No Data")</f>
        <v>No Data</v>
      </c>
      <c r="G81" s="14" t="str">
        <f t="array" ref="G81">XLOOKUP($C81,location,'COVID-19 Raw Data'!$O$3:$O$52,"No Data")</f>
        <v>No Data</v>
      </c>
      <c r="H81" s="2"/>
    </row>
    <row r="82">
      <c r="A82" s="3" t="s">
        <v>57</v>
      </c>
      <c r="B82" s="3" t="s">
        <v>23</v>
      </c>
      <c r="C82" s="3" t="s">
        <v>58</v>
      </c>
      <c r="D82" s="14" t="str">
        <f t="array" ref="D82">XLOOKUP($C82,location,'COVID-19 Raw Data'!$D$3:$D$52,"No Data")</f>
        <v/>
      </c>
      <c r="E82" s="14" t="str">
        <f t="array" ref="E82">XLOOKUP($C82,location,'COVID-19 Raw Data'!$E$3:$E$52,"No Data")</f>
        <v/>
      </c>
      <c r="F82" s="14">
        <f t="array" ref="F82">XLOOKUP($C82,location,'COVID-19 Raw Data'!$J$3:$J$52,"No Data")</f>
        <v>63385</v>
      </c>
      <c r="G82" s="14" t="str">
        <f t="array" ref="G82">XLOOKUP($C82,location,'COVID-19 Raw Data'!$O$3:$O$52,"No Data")</f>
        <v/>
      </c>
      <c r="H82" s="2"/>
    </row>
    <row r="83">
      <c r="A83" s="3" t="s">
        <v>253</v>
      </c>
      <c r="B83" s="3" t="s">
        <v>125</v>
      </c>
      <c r="C83" s="3" t="s">
        <v>254</v>
      </c>
      <c r="D83" s="14" t="str">
        <f t="array" ref="D83">XLOOKUP($C83,location,'COVID-19 Raw Data'!$D$3:$D$52,"No Data")</f>
        <v>No Data</v>
      </c>
      <c r="E83" s="14" t="str">
        <f t="array" ref="E83">XLOOKUP($C83,location,'COVID-19 Raw Data'!$E$3:$E$52,"No Data")</f>
        <v>No Data</v>
      </c>
      <c r="F83" s="14" t="str">
        <f t="array" ref="F83">XLOOKUP($C83,location,'COVID-19 Raw Data'!$J$3:$J$52,"No Data")</f>
        <v>No Data</v>
      </c>
      <c r="G83" s="14" t="str">
        <f t="array" ref="G83">XLOOKUP($C83,location,'COVID-19 Raw Data'!$O$3:$O$52,"No Data")</f>
        <v>No Data</v>
      </c>
      <c r="H83" s="2"/>
    </row>
    <row r="84">
      <c r="A84" s="3" t="s">
        <v>255</v>
      </c>
      <c r="B84" s="3" t="s">
        <v>125</v>
      </c>
      <c r="C84" s="3" t="s">
        <v>256</v>
      </c>
      <c r="D84" s="14" t="str">
        <f t="array" ref="D84">XLOOKUP($C84,location,'COVID-19 Raw Data'!$D$3:$D$52,"No Data")</f>
        <v>No Data</v>
      </c>
      <c r="E84" s="14" t="str">
        <f t="array" ref="E84">XLOOKUP($C84,location,'COVID-19 Raw Data'!$E$3:$E$52,"No Data")</f>
        <v>No Data</v>
      </c>
      <c r="F84" s="14" t="str">
        <f t="array" ref="F84">XLOOKUP($C84,location,'COVID-19 Raw Data'!$J$3:$J$52,"No Data")</f>
        <v>No Data</v>
      </c>
      <c r="G84" s="14" t="str">
        <f t="array" ref="G84">XLOOKUP($C84,location,'COVID-19 Raw Data'!$O$3:$O$52,"No Data")</f>
        <v>No Data</v>
      </c>
      <c r="H84" s="2"/>
    </row>
    <row r="85">
      <c r="A85" s="3" t="s">
        <v>257</v>
      </c>
      <c r="B85" s="3" t="s">
        <v>135</v>
      </c>
      <c r="C85" s="3" t="s">
        <v>258</v>
      </c>
      <c r="D85" s="14" t="str">
        <f t="array" ref="D85">XLOOKUP($C85,location,'COVID-19 Raw Data'!$D$3:$D$52,"No Data")</f>
        <v>No Data</v>
      </c>
      <c r="E85" s="14" t="str">
        <f t="array" ref="E85">XLOOKUP($C85,location,'COVID-19 Raw Data'!$E$3:$E$52,"No Data")</f>
        <v>No Data</v>
      </c>
      <c r="F85" s="14" t="str">
        <f t="array" ref="F85">XLOOKUP($C85,location,'COVID-19 Raw Data'!$J$3:$J$52,"No Data")</f>
        <v>No Data</v>
      </c>
      <c r="G85" s="14" t="str">
        <f t="array" ref="G85">XLOOKUP($C85,location,'COVID-19 Raw Data'!$O$3:$O$52,"No Data")</f>
        <v>No Data</v>
      </c>
      <c r="H85" s="2"/>
    </row>
    <row r="86">
      <c r="A86" s="3" t="s">
        <v>259</v>
      </c>
      <c r="B86" s="3" t="s">
        <v>130</v>
      </c>
      <c r="C86" s="3" t="s">
        <v>260</v>
      </c>
      <c r="D86" s="14" t="str">
        <f t="array" ref="D86">XLOOKUP($C86,location,'COVID-19 Raw Data'!$D$3:$D$52,"No Data")</f>
        <v>No Data</v>
      </c>
      <c r="E86" s="14" t="str">
        <f t="array" ref="E86">XLOOKUP($C86,location,'COVID-19 Raw Data'!$E$3:$E$52,"No Data")</f>
        <v>No Data</v>
      </c>
      <c r="F86" s="14" t="str">
        <f t="array" ref="F86">XLOOKUP($C86,location,'COVID-19 Raw Data'!$J$3:$J$52,"No Data")</f>
        <v>No Data</v>
      </c>
      <c r="G86" s="14" t="str">
        <f t="array" ref="G86">XLOOKUP($C86,location,'COVID-19 Raw Data'!$O$3:$O$52,"No Data")</f>
        <v>No Data</v>
      </c>
      <c r="H86" s="2"/>
    </row>
    <row r="87">
      <c r="A87" s="3" t="s">
        <v>261</v>
      </c>
      <c r="B87" s="3" t="s">
        <v>130</v>
      </c>
      <c r="C87" s="3" t="s">
        <v>262</v>
      </c>
      <c r="D87" s="14" t="str">
        <f t="array" ref="D87">XLOOKUP($C87,location,'COVID-19 Raw Data'!$D$3:$D$52,"No Data")</f>
        <v>No Data</v>
      </c>
      <c r="E87" s="14" t="str">
        <f t="array" ref="E87">XLOOKUP($C87,location,'COVID-19 Raw Data'!$E$3:$E$52,"No Data")</f>
        <v>No Data</v>
      </c>
      <c r="F87" s="14" t="str">
        <f t="array" ref="F87">XLOOKUP($C87,location,'COVID-19 Raw Data'!$J$3:$J$52,"No Data")</f>
        <v>No Data</v>
      </c>
      <c r="G87" s="14" t="str">
        <f t="array" ref="G87">XLOOKUP($C87,location,'COVID-19 Raw Data'!$O$3:$O$52,"No Data")</f>
        <v>No Data</v>
      </c>
      <c r="H87" s="2"/>
    </row>
    <row r="88">
      <c r="A88" s="3" t="s">
        <v>263</v>
      </c>
      <c r="B88" s="3" t="s">
        <v>122</v>
      </c>
      <c r="C88" s="3" t="s">
        <v>264</v>
      </c>
      <c r="D88" s="14" t="str">
        <f t="array" ref="D88">XLOOKUP($C88,location,'COVID-19 Raw Data'!$D$3:$D$52,"No Data")</f>
        <v>No Data</v>
      </c>
      <c r="E88" s="14" t="str">
        <f t="array" ref="E88">XLOOKUP($C88,location,'COVID-19 Raw Data'!$E$3:$E$52,"No Data")</f>
        <v>No Data</v>
      </c>
      <c r="F88" s="14" t="str">
        <f t="array" ref="F88">XLOOKUP($C88,location,'COVID-19 Raw Data'!$J$3:$J$52,"No Data")</f>
        <v>No Data</v>
      </c>
      <c r="G88" s="14" t="str">
        <f t="array" ref="G88">XLOOKUP($C88,location,'COVID-19 Raw Data'!$O$3:$O$52,"No Data")</f>
        <v>No Data</v>
      </c>
      <c r="H88" s="2"/>
    </row>
    <row r="89">
      <c r="A89" s="3" t="s">
        <v>65</v>
      </c>
      <c r="B89" s="3" t="s">
        <v>23</v>
      </c>
      <c r="C89" s="3" t="s">
        <v>66</v>
      </c>
      <c r="D89" s="14">
        <f t="array" ref="D89">XLOOKUP($C89,location,'COVID-19 Raw Data'!$D$3:$D$52,"No Data")</f>
        <v>1256415</v>
      </c>
      <c r="E89" s="14">
        <f t="array" ref="E89">XLOOKUP($C89,location,'COVID-19 Raw Data'!$E$3:$E$52,"No Data")</f>
        <v>39186</v>
      </c>
      <c r="F89" s="14">
        <f t="array" ref="F89">XLOOKUP($C89,location,'COVID-19 Raw Data'!$J$3:$J$52,"No Data")</f>
        <v>9634162</v>
      </c>
      <c r="G89" s="14">
        <f t="array" ref="G89">XLOOKUP($C89,location,'COVID-19 Raw Data'!$O$3:$O$52,"No Data")</f>
        <v>26777.561</v>
      </c>
      <c r="H89" s="2"/>
    </row>
    <row r="90">
      <c r="A90" s="3" t="s">
        <v>71</v>
      </c>
      <c r="B90" s="3" t="s">
        <v>23</v>
      </c>
      <c r="C90" s="3" t="s">
        <v>72</v>
      </c>
      <c r="D90" s="14">
        <f t="array" ref="D90">XLOOKUP($C90,location,'COVID-19 Raw Data'!$D$3:$D$52,"No Data")</f>
        <v>27059</v>
      </c>
      <c r="E90" s="14">
        <f t="array" ref="E90">XLOOKUP($C90,location,'COVID-19 Raw Data'!$E$3:$E$52,"No Data")</f>
        <v>37</v>
      </c>
      <c r="F90" s="14">
        <f t="array" ref="F90">XLOOKUP($C90,location,'COVID-19 Raw Data'!$J$3:$J$52,"No Data")</f>
        <v>368792</v>
      </c>
      <c r="G90" s="14">
        <f t="array" ref="G90">XLOOKUP($C90,location,'COVID-19 Raw Data'!$O$3:$O$52,"No Data")</f>
        <v>46482.958</v>
      </c>
      <c r="H90" s="2"/>
    </row>
    <row r="91">
      <c r="A91" s="3" t="s">
        <v>265</v>
      </c>
      <c r="B91" s="3" t="s">
        <v>122</v>
      </c>
      <c r="C91" s="3" t="s">
        <v>266</v>
      </c>
      <c r="D91" s="14" t="str">
        <f t="array" ref="D91">XLOOKUP($C91,location,'COVID-19 Raw Data'!$D$3:$D$52,"No Data")</f>
        <v>No Data</v>
      </c>
      <c r="E91" s="14" t="str">
        <f t="array" ref="E91">XLOOKUP($C91,location,'COVID-19 Raw Data'!$E$3:$E$52,"No Data")</f>
        <v>No Data</v>
      </c>
      <c r="F91" s="14" t="str">
        <f t="array" ref="F91">XLOOKUP($C91,location,'COVID-19 Raw Data'!$J$3:$J$52,"No Data")</f>
        <v>No Data</v>
      </c>
      <c r="G91" s="14" t="str">
        <f t="array" ref="G91">XLOOKUP($C91,location,'COVID-19 Raw Data'!$O$3:$O$52,"No Data")</f>
        <v>No Data</v>
      </c>
      <c r="H91" s="2"/>
    </row>
    <row r="92">
      <c r="A92" s="3" t="s">
        <v>267</v>
      </c>
      <c r="B92" s="3" t="s">
        <v>122</v>
      </c>
      <c r="C92" s="3" t="s">
        <v>268</v>
      </c>
      <c r="D92" s="14" t="str">
        <f t="array" ref="D92">XLOOKUP($C92,location,'COVID-19 Raw Data'!$D$3:$D$52,"No Data")</f>
        <v>No Data</v>
      </c>
      <c r="E92" s="14" t="str">
        <f t="array" ref="E92">XLOOKUP($C92,location,'COVID-19 Raw Data'!$E$3:$E$52,"No Data")</f>
        <v>No Data</v>
      </c>
      <c r="F92" s="14" t="str">
        <f t="array" ref="F92">XLOOKUP($C92,location,'COVID-19 Raw Data'!$J$3:$J$52,"No Data")</f>
        <v>No Data</v>
      </c>
      <c r="G92" s="14" t="str">
        <f t="array" ref="G92">XLOOKUP($C92,location,'COVID-19 Raw Data'!$O$3:$O$52,"No Data")</f>
        <v>No Data</v>
      </c>
      <c r="H92" s="2"/>
    </row>
    <row r="93">
      <c r="A93" s="3" t="s">
        <v>269</v>
      </c>
      <c r="B93" s="3" t="s">
        <v>122</v>
      </c>
      <c r="C93" s="3" t="s">
        <v>270</v>
      </c>
      <c r="D93" s="14" t="str">
        <f t="array" ref="D93">XLOOKUP($C93,location,'COVID-19 Raw Data'!$D$3:$D$52,"No Data")</f>
        <v>No Data</v>
      </c>
      <c r="E93" s="14" t="str">
        <f t="array" ref="E93">XLOOKUP($C93,location,'COVID-19 Raw Data'!$E$3:$E$52,"No Data")</f>
        <v>No Data</v>
      </c>
      <c r="F93" s="14" t="str">
        <f t="array" ref="F93">XLOOKUP($C93,location,'COVID-19 Raw Data'!$J$3:$J$52,"No Data")</f>
        <v>No Data</v>
      </c>
      <c r="G93" s="14" t="str">
        <f t="array" ref="G93">XLOOKUP($C93,location,'COVID-19 Raw Data'!$O$3:$O$52,"No Data")</f>
        <v>No Data</v>
      </c>
      <c r="H93" s="2"/>
    </row>
    <row r="94">
      <c r="A94" s="3" t="s">
        <v>271</v>
      </c>
      <c r="B94" s="3" t="s">
        <v>122</v>
      </c>
      <c r="C94" s="3" t="s">
        <v>272</v>
      </c>
      <c r="D94" s="14" t="str">
        <f t="array" ref="D94">XLOOKUP($C94,location,'COVID-19 Raw Data'!$D$3:$D$52,"No Data")</f>
        <v>No Data</v>
      </c>
      <c r="E94" s="14" t="str">
        <f t="array" ref="E94">XLOOKUP($C94,location,'COVID-19 Raw Data'!$E$3:$E$52,"No Data")</f>
        <v>No Data</v>
      </c>
      <c r="F94" s="14" t="str">
        <f t="array" ref="F94">XLOOKUP($C94,location,'COVID-19 Raw Data'!$J$3:$J$52,"No Data")</f>
        <v>No Data</v>
      </c>
      <c r="G94" s="14" t="str">
        <f t="array" ref="G94">XLOOKUP($C94,location,'COVID-19 Raw Data'!$O$3:$O$52,"No Data")</f>
        <v>No Data</v>
      </c>
      <c r="H94" s="2"/>
    </row>
    <row r="95">
      <c r="A95" s="3" t="s">
        <v>69</v>
      </c>
      <c r="B95" s="3" t="s">
        <v>23</v>
      </c>
      <c r="C95" s="3" t="s">
        <v>70</v>
      </c>
      <c r="D95" s="14">
        <f t="array" ref="D95">XLOOKUP($C95,location,'COVID-19 Raw Data'!$D$3:$D$52,"No Data")</f>
        <v>788559</v>
      </c>
      <c r="E95" s="14">
        <f t="array" ref="E95">XLOOKUP($C95,location,'COVID-19 Raw Data'!$E$3:$E$52,"No Data")</f>
        <v>5912</v>
      </c>
      <c r="F95" s="14">
        <f t="array" ref="F95">XLOOKUP($C95,location,'COVID-19 Raw Data'!$J$3:$J$52,"No Data")</f>
        <v>4982904</v>
      </c>
      <c r="G95" s="14">
        <f t="array" ref="G95">XLOOKUP($C95,location,'COVID-19 Raw Data'!$O$3:$O$52,"No Data")</f>
        <v>67335.293</v>
      </c>
      <c r="H95" s="2"/>
    </row>
    <row r="96">
      <c r="A96" s="3" t="s">
        <v>67</v>
      </c>
      <c r="B96" s="3" t="s">
        <v>23</v>
      </c>
      <c r="C96" s="3" t="s">
        <v>68</v>
      </c>
      <c r="D96" s="14">
        <f t="array" ref="D96">XLOOKUP($C96,location,'COVID-19 Raw Data'!$D$3:$D$52,"No Data")</f>
        <v>13641</v>
      </c>
      <c r="E96" s="14">
        <f t="array" ref="E96">XLOOKUP($C96,location,'COVID-19 Raw Data'!$E$3:$E$52,"No Data")</f>
        <v>67</v>
      </c>
      <c r="F96" s="14">
        <f t="array" ref="F96">XLOOKUP($C96,location,'COVID-19 Raw Data'!$J$3:$J$52,"No Data")</f>
        <v>85410</v>
      </c>
      <c r="G96" s="14" t="str">
        <f t="array" ref="G96">XLOOKUP($C96,location,'COVID-19 Raw Data'!$O$3:$O$52,"No Data")</f>
        <v/>
      </c>
      <c r="H96" s="2"/>
    </row>
    <row r="97">
      <c r="A97" s="3" t="s">
        <v>273</v>
      </c>
      <c r="B97" s="3" t="s">
        <v>122</v>
      </c>
      <c r="C97" s="3" t="s">
        <v>274</v>
      </c>
      <c r="D97" s="14" t="str">
        <f t="array" ref="D97">XLOOKUP($C97,location,'COVID-19 Raw Data'!$D$3:$D$52,"No Data")</f>
        <v>No Data</v>
      </c>
      <c r="E97" s="14" t="str">
        <f t="array" ref="E97">XLOOKUP($C97,location,'COVID-19 Raw Data'!$E$3:$E$52,"No Data")</f>
        <v>No Data</v>
      </c>
      <c r="F97" s="14" t="str">
        <f t="array" ref="F97">XLOOKUP($C97,location,'COVID-19 Raw Data'!$J$3:$J$52,"No Data")</f>
        <v>No Data</v>
      </c>
      <c r="G97" s="14" t="str">
        <f t="array" ref="G97">XLOOKUP($C97,location,'COVID-19 Raw Data'!$O$3:$O$52,"No Data")</f>
        <v>No Data</v>
      </c>
      <c r="H97" s="2"/>
    </row>
    <row r="98">
      <c r="A98" s="3" t="s">
        <v>73</v>
      </c>
      <c r="B98" s="3" t="s">
        <v>23</v>
      </c>
      <c r="C98" s="3" t="s">
        <v>74</v>
      </c>
      <c r="D98" s="14">
        <f t="array" ref="D98">XLOOKUP($C98,location,'COVID-19 Raw Data'!$D$3:$D$52,"No Data")</f>
        <v>6125683</v>
      </c>
      <c r="E98" s="14">
        <f t="array" ref="E98">XLOOKUP($C98,location,'COVID-19 Raw Data'!$E$3:$E$52,"No Data")</f>
        <v>137402</v>
      </c>
      <c r="F98" s="14">
        <f t="array" ref="F98">XLOOKUP($C98,location,'COVID-19 Raw Data'!$J$3:$J$52,"No Data")</f>
        <v>60367471</v>
      </c>
      <c r="G98" s="14">
        <f t="array" ref="G98">XLOOKUP($C98,location,'COVID-19 Raw Data'!$O$3:$O$52,"No Data")</f>
        <v>35220.084</v>
      </c>
      <c r="H98" s="2"/>
    </row>
    <row r="99">
      <c r="A99" s="3" t="s">
        <v>275</v>
      </c>
      <c r="B99" s="3" t="s">
        <v>130</v>
      </c>
      <c r="C99" s="3" t="s">
        <v>276</v>
      </c>
      <c r="D99" s="14" t="str">
        <f t="array" ref="D99">XLOOKUP($C99,location,'COVID-19 Raw Data'!$D$3:$D$52,"No Data")</f>
        <v>No Data</v>
      </c>
      <c r="E99" s="14" t="str">
        <f t="array" ref="E99">XLOOKUP($C99,location,'COVID-19 Raw Data'!$E$3:$E$52,"No Data")</f>
        <v>No Data</v>
      </c>
      <c r="F99" s="14" t="str">
        <f t="array" ref="F99">XLOOKUP($C99,location,'COVID-19 Raw Data'!$J$3:$J$52,"No Data")</f>
        <v>No Data</v>
      </c>
      <c r="G99" s="14" t="str">
        <f t="array" ref="G99">XLOOKUP($C99,location,'COVID-19 Raw Data'!$O$3:$O$52,"No Data")</f>
        <v>No Data</v>
      </c>
      <c r="H99" s="2"/>
    </row>
    <row r="100">
      <c r="A100" s="3" t="s">
        <v>277</v>
      </c>
      <c r="B100" s="3" t="s">
        <v>122</v>
      </c>
      <c r="C100" s="3" t="s">
        <v>278</v>
      </c>
      <c r="D100" s="14" t="str">
        <f t="array" ref="D100">XLOOKUP($C100,location,'COVID-19 Raw Data'!$D$3:$D$52,"No Data")</f>
        <v>No Data</v>
      </c>
      <c r="E100" s="14" t="str">
        <f t="array" ref="E100">XLOOKUP($C100,location,'COVID-19 Raw Data'!$E$3:$E$52,"No Data")</f>
        <v>No Data</v>
      </c>
      <c r="F100" s="14" t="str">
        <f t="array" ref="F100">XLOOKUP($C100,location,'COVID-19 Raw Data'!$J$3:$J$52,"No Data")</f>
        <v>No Data</v>
      </c>
      <c r="G100" s="14" t="str">
        <f t="array" ref="G100">XLOOKUP($C100,location,'COVID-19 Raw Data'!$O$3:$O$52,"No Data")</f>
        <v>No Data</v>
      </c>
      <c r="H100" s="2"/>
    </row>
    <row r="101">
      <c r="A101" s="3" t="s">
        <v>75</v>
      </c>
      <c r="B101" s="3" t="s">
        <v>23</v>
      </c>
      <c r="C101" s="3" t="s">
        <v>76</v>
      </c>
      <c r="D101" s="14" t="str">
        <f t="array" ref="D101">XLOOKUP($C101,location,'COVID-19 Raw Data'!$D$3:$D$52,"No Data")</f>
        <v/>
      </c>
      <c r="E101" s="14" t="str">
        <f t="array" ref="E101">XLOOKUP($C101,location,'COVID-19 Raw Data'!$E$3:$E$52,"No Data")</f>
        <v/>
      </c>
      <c r="F101" s="14">
        <f t="array" ref="F101">XLOOKUP($C101,location,'COVID-19 Raw Data'!$J$3:$J$52,"No Data")</f>
        <v>101073</v>
      </c>
      <c r="G101" s="14" t="str">
        <f t="array" ref="G101">XLOOKUP($C101,location,'COVID-19 Raw Data'!$O$3:$O$52,"No Data")</f>
        <v/>
      </c>
      <c r="H101" s="2"/>
    </row>
    <row r="102">
      <c r="A102" s="3" t="s">
        <v>279</v>
      </c>
      <c r="B102" s="3" t="s">
        <v>122</v>
      </c>
      <c r="C102" s="3" t="s">
        <v>280</v>
      </c>
      <c r="D102" s="14" t="str">
        <f t="array" ref="D102">XLOOKUP($C102,location,'COVID-19 Raw Data'!$D$3:$D$52,"No Data")</f>
        <v>No Data</v>
      </c>
      <c r="E102" s="14" t="str">
        <f t="array" ref="E102">XLOOKUP($C102,location,'COVID-19 Raw Data'!$E$3:$E$52,"No Data")</f>
        <v>No Data</v>
      </c>
      <c r="F102" s="14" t="str">
        <f t="array" ref="F102">XLOOKUP($C102,location,'COVID-19 Raw Data'!$J$3:$J$52,"No Data")</f>
        <v>No Data</v>
      </c>
      <c r="G102" s="14" t="str">
        <f t="array" ref="G102">XLOOKUP($C102,location,'COVID-19 Raw Data'!$O$3:$O$52,"No Data")</f>
        <v>No Data</v>
      </c>
      <c r="H102" s="2"/>
    </row>
    <row r="103">
      <c r="A103" s="3" t="s">
        <v>281</v>
      </c>
      <c r="B103" s="3" t="s">
        <v>122</v>
      </c>
      <c r="C103" s="3" t="s">
        <v>282</v>
      </c>
      <c r="D103" s="14" t="str">
        <f t="array" ref="D103">XLOOKUP($C103,location,'COVID-19 Raw Data'!$D$3:$D$52,"No Data")</f>
        <v>No Data</v>
      </c>
      <c r="E103" s="14" t="str">
        <f t="array" ref="E103">XLOOKUP($C103,location,'COVID-19 Raw Data'!$E$3:$E$52,"No Data")</f>
        <v>No Data</v>
      </c>
      <c r="F103" s="14" t="str">
        <f t="array" ref="F103">XLOOKUP($C103,location,'COVID-19 Raw Data'!$J$3:$J$52,"No Data")</f>
        <v>No Data</v>
      </c>
      <c r="G103" s="14" t="str">
        <f t="array" ref="G103">XLOOKUP($C103,location,'COVID-19 Raw Data'!$O$3:$O$52,"No Data")</f>
        <v>No Data</v>
      </c>
      <c r="H103" s="2"/>
    </row>
    <row r="104">
      <c r="A104" s="3" t="s">
        <v>283</v>
      </c>
      <c r="B104" s="3" t="s">
        <v>125</v>
      </c>
      <c r="C104" s="3" t="s">
        <v>284</v>
      </c>
      <c r="D104" s="14" t="str">
        <f t="array" ref="D104">XLOOKUP($C104,location,'COVID-19 Raw Data'!$D$3:$D$52,"No Data")</f>
        <v>No Data</v>
      </c>
      <c r="E104" s="14" t="str">
        <f t="array" ref="E104">XLOOKUP($C104,location,'COVID-19 Raw Data'!$E$3:$E$52,"No Data")</f>
        <v>No Data</v>
      </c>
      <c r="F104" s="14" t="str">
        <f t="array" ref="F104">XLOOKUP($C104,location,'COVID-19 Raw Data'!$J$3:$J$52,"No Data")</f>
        <v>No Data</v>
      </c>
      <c r="G104" s="14" t="str">
        <f t="array" ref="G104">XLOOKUP($C104,location,'COVID-19 Raw Data'!$O$3:$O$52,"No Data")</f>
        <v>No Data</v>
      </c>
      <c r="H104" s="2"/>
    </row>
    <row r="105">
      <c r="A105" s="3" t="s">
        <v>285</v>
      </c>
      <c r="B105" s="3" t="s">
        <v>23</v>
      </c>
      <c r="C105" s="3" t="s">
        <v>286</v>
      </c>
      <c r="D105" s="14" t="str">
        <f t="array" ref="D105">XLOOKUP($C105,location,'COVID-19 Raw Data'!$D$3:$D$52,"No Data")</f>
        <v>No Data</v>
      </c>
      <c r="E105" s="14" t="str">
        <f t="array" ref="E105">XLOOKUP($C105,location,'COVID-19 Raw Data'!$E$3:$E$52,"No Data")</f>
        <v>No Data</v>
      </c>
      <c r="F105" s="14" t="str">
        <f t="array" ref="F105">XLOOKUP($C105,location,'COVID-19 Raw Data'!$J$3:$J$52,"No Data")</f>
        <v>No Data</v>
      </c>
      <c r="G105" s="14" t="str">
        <f t="array" ref="G105">XLOOKUP($C105,location,'COVID-19 Raw Data'!$O$3:$O$52,"No Data")</f>
        <v>No Data</v>
      </c>
      <c r="H105" s="2"/>
    </row>
    <row r="106">
      <c r="A106" s="3" t="s">
        <v>287</v>
      </c>
      <c r="B106" s="3" t="s">
        <v>122</v>
      </c>
      <c r="C106" s="3" t="s">
        <v>288</v>
      </c>
      <c r="D106" s="14" t="str">
        <f t="array" ref="D106">XLOOKUP($C106,location,'COVID-19 Raw Data'!$D$3:$D$52,"No Data")</f>
        <v>No Data</v>
      </c>
      <c r="E106" s="14" t="str">
        <f t="array" ref="E106">XLOOKUP($C106,location,'COVID-19 Raw Data'!$E$3:$E$52,"No Data")</f>
        <v>No Data</v>
      </c>
      <c r="F106" s="14" t="str">
        <f t="array" ref="F106">XLOOKUP($C106,location,'COVID-19 Raw Data'!$J$3:$J$52,"No Data")</f>
        <v>No Data</v>
      </c>
      <c r="G106" s="14" t="str">
        <f t="array" ref="G106">XLOOKUP($C106,location,'COVID-19 Raw Data'!$O$3:$O$52,"No Data")</f>
        <v>No Data</v>
      </c>
      <c r="H106" s="2"/>
    </row>
    <row r="107">
      <c r="A107" s="3" t="s">
        <v>289</v>
      </c>
      <c r="B107" s="3" t="s">
        <v>122</v>
      </c>
      <c r="C107" s="3" t="s">
        <v>290</v>
      </c>
      <c r="D107" s="14" t="str">
        <f t="array" ref="D107">XLOOKUP($C107,location,'COVID-19 Raw Data'!$D$3:$D$52,"No Data")</f>
        <v>No Data</v>
      </c>
      <c r="E107" s="14" t="str">
        <f t="array" ref="E107">XLOOKUP($C107,location,'COVID-19 Raw Data'!$E$3:$E$52,"No Data")</f>
        <v>No Data</v>
      </c>
      <c r="F107" s="14" t="str">
        <f t="array" ref="F107">XLOOKUP($C107,location,'COVID-19 Raw Data'!$J$3:$J$52,"No Data")</f>
        <v>No Data</v>
      </c>
      <c r="G107" s="14" t="str">
        <f t="array" ref="G107">XLOOKUP($C107,location,'COVID-19 Raw Data'!$O$3:$O$52,"No Data")</f>
        <v>No Data</v>
      </c>
      <c r="H107" s="2"/>
    </row>
    <row r="108">
      <c r="A108" s="3" t="s">
        <v>291</v>
      </c>
      <c r="B108" s="3" t="s">
        <v>122</v>
      </c>
      <c r="C108" s="3" t="s">
        <v>292</v>
      </c>
      <c r="D108" s="14" t="str">
        <f t="array" ref="D108">XLOOKUP($C108,location,'COVID-19 Raw Data'!$D$3:$D$52,"No Data")</f>
        <v>No Data</v>
      </c>
      <c r="E108" s="14" t="str">
        <f t="array" ref="E108">XLOOKUP($C108,location,'COVID-19 Raw Data'!$E$3:$E$52,"No Data")</f>
        <v>No Data</v>
      </c>
      <c r="F108" s="14" t="str">
        <f t="array" ref="F108">XLOOKUP($C108,location,'COVID-19 Raw Data'!$J$3:$J$52,"No Data")</f>
        <v>No Data</v>
      </c>
      <c r="G108" s="14" t="str">
        <f t="array" ref="G108">XLOOKUP($C108,location,'COVID-19 Raw Data'!$O$3:$O$52,"No Data")</f>
        <v>No Data</v>
      </c>
      <c r="H108" s="2"/>
    </row>
    <row r="109">
      <c r="A109" s="3" t="s">
        <v>83</v>
      </c>
      <c r="B109" s="3" t="s">
        <v>23</v>
      </c>
      <c r="C109" s="3" t="s">
        <v>84</v>
      </c>
      <c r="D109" s="14">
        <f t="array" ref="D109">XLOOKUP($C109,location,'COVID-19 Raw Data'!$D$3:$D$52,"No Data")</f>
        <v>276674</v>
      </c>
      <c r="E109" s="14">
        <f t="array" ref="E109">XLOOKUP($C109,location,'COVID-19 Raw Data'!$E$3:$E$52,"No Data")</f>
        <v>4570</v>
      </c>
      <c r="F109" s="14">
        <f t="array" ref="F109">XLOOKUP($C109,location,'COVID-19 Raw Data'!$J$3:$J$52,"No Data")</f>
        <v>1866934</v>
      </c>
      <c r="G109" s="14">
        <f t="array" ref="G109">XLOOKUP($C109,location,'COVID-19 Raw Data'!$O$3:$O$52,"No Data")</f>
        <v>25063.846</v>
      </c>
      <c r="H109" s="2"/>
    </row>
    <row r="110">
      <c r="A110" s="3" t="s">
        <v>293</v>
      </c>
      <c r="B110" s="3" t="s">
        <v>122</v>
      </c>
      <c r="C110" s="3" t="s">
        <v>294</v>
      </c>
      <c r="D110" s="14" t="str">
        <f t="array" ref="D110">XLOOKUP($C110,location,'COVID-19 Raw Data'!$D$3:$D$52,"No Data")</f>
        <v>No Data</v>
      </c>
      <c r="E110" s="14" t="str">
        <f t="array" ref="E110">XLOOKUP($C110,location,'COVID-19 Raw Data'!$E$3:$E$52,"No Data")</f>
        <v>No Data</v>
      </c>
      <c r="F110" s="14" t="str">
        <f t="array" ref="F110">XLOOKUP($C110,location,'COVID-19 Raw Data'!$J$3:$J$52,"No Data")</f>
        <v>No Data</v>
      </c>
      <c r="G110" s="14" t="str">
        <f t="array" ref="G110">XLOOKUP($C110,location,'COVID-19 Raw Data'!$O$3:$O$52,"No Data")</f>
        <v>No Data</v>
      </c>
      <c r="H110" s="2"/>
    </row>
    <row r="111">
      <c r="A111" s="3" t="s">
        <v>295</v>
      </c>
      <c r="B111" s="3" t="s">
        <v>125</v>
      </c>
      <c r="C111" s="3" t="s">
        <v>296</v>
      </c>
      <c r="D111" s="14" t="str">
        <f t="array" ref="D111">XLOOKUP($C111,location,'COVID-19 Raw Data'!$D$3:$D$52,"No Data")</f>
        <v>No Data</v>
      </c>
      <c r="E111" s="14" t="str">
        <f t="array" ref="E111">XLOOKUP($C111,location,'COVID-19 Raw Data'!$E$3:$E$52,"No Data")</f>
        <v>No Data</v>
      </c>
      <c r="F111" s="14" t="str">
        <f t="array" ref="F111">XLOOKUP($C111,location,'COVID-19 Raw Data'!$J$3:$J$52,"No Data")</f>
        <v>No Data</v>
      </c>
      <c r="G111" s="14" t="str">
        <f t="array" ref="G111">XLOOKUP($C111,location,'COVID-19 Raw Data'!$O$3:$O$52,"No Data")</f>
        <v>No Data</v>
      </c>
      <c r="H111" s="2"/>
    </row>
    <row r="112">
      <c r="A112" s="3" t="s">
        <v>297</v>
      </c>
      <c r="B112" s="3" t="s">
        <v>125</v>
      </c>
      <c r="C112" s="3" t="s">
        <v>298</v>
      </c>
      <c r="D112" s="14" t="str">
        <f t="array" ref="D112">XLOOKUP($C112,location,'COVID-19 Raw Data'!$D$3:$D$52,"No Data")</f>
        <v>No Data</v>
      </c>
      <c r="E112" s="14" t="str">
        <f t="array" ref="E112">XLOOKUP($C112,location,'COVID-19 Raw Data'!$E$3:$E$52,"No Data")</f>
        <v>No Data</v>
      </c>
      <c r="F112" s="14" t="str">
        <f t="array" ref="F112">XLOOKUP($C112,location,'COVID-19 Raw Data'!$J$3:$J$52,"No Data")</f>
        <v>No Data</v>
      </c>
      <c r="G112" s="14" t="str">
        <f t="array" ref="G112">XLOOKUP($C112,location,'COVID-19 Raw Data'!$O$3:$O$52,"No Data")</f>
        <v>No Data</v>
      </c>
      <c r="H112" s="2"/>
    </row>
    <row r="113">
      <c r="A113" s="3" t="s">
        <v>299</v>
      </c>
      <c r="B113" s="3" t="s">
        <v>125</v>
      </c>
      <c r="C113" s="3" t="s">
        <v>300</v>
      </c>
      <c r="D113" s="14" t="str">
        <f t="array" ref="D113">XLOOKUP($C113,location,'COVID-19 Raw Data'!$D$3:$D$52,"No Data")</f>
        <v>No Data</v>
      </c>
      <c r="E113" s="14" t="str">
        <f t="array" ref="E113">XLOOKUP($C113,location,'COVID-19 Raw Data'!$E$3:$E$52,"No Data")</f>
        <v>No Data</v>
      </c>
      <c r="F113" s="14" t="str">
        <f t="array" ref="F113">XLOOKUP($C113,location,'COVID-19 Raw Data'!$J$3:$J$52,"No Data")</f>
        <v>No Data</v>
      </c>
      <c r="G113" s="14" t="str">
        <f t="array" ref="G113">XLOOKUP($C113,location,'COVID-19 Raw Data'!$O$3:$O$52,"No Data")</f>
        <v>No Data</v>
      </c>
      <c r="H113" s="2"/>
    </row>
    <row r="114">
      <c r="A114" s="3" t="s">
        <v>77</v>
      </c>
      <c r="B114" s="3" t="s">
        <v>23</v>
      </c>
      <c r="C114" s="3" t="s">
        <v>78</v>
      </c>
      <c r="D114" s="14">
        <f t="array" ref="D114">XLOOKUP($C114,location,'COVID-19 Raw Data'!$D$3:$D$52,"No Data")</f>
        <v>6131</v>
      </c>
      <c r="E114" s="14">
        <f t="array" ref="E114">XLOOKUP($C114,location,'COVID-19 Raw Data'!$E$3:$E$52,"No Data")</f>
        <v>69</v>
      </c>
      <c r="F114" s="14">
        <f t="array" ref="F114">XLOOKUP($C114,location,'COVID-19 Raw Data'!$J$3:$J$52,"No Data")</f>
        <v>38254</v>
      </c>
      <c r="G114" s="14" t="str">
        <f t="array" ref="G114">XLOOKUP($C114,location,'COVID-19 Raw Data'!$O$3:$O$52,"No Data")</f>
        <v/>
      </c>
      <c r="H114" s="2"/>
    </row>
    <row r="115">
      <c r="A115" s="3" t="s">
        <v>79</v>
      </c>
      <c r="B115" s="3" t="s">
        <v>23</v>
      </c>
      <c r="C115" s="3" t="s">
        <v>80</v>
      </c>
      <c r="D115" s="14">
        <f t="array" ref="D115">XLOOKUP($C115,location,'COVID-19 Raw Data'!$D$3:$D$52,"No Data")</f>
        <v>519597</v>
      </c>
      <c r="E115" s="14">
        <f t="array" ref="E115">XLOOKUP($C115,location,'COVID-19 Raw Data'!$E$3:$E$52,"No Data")</f>
        <v>7387</v>
      </c>
      <c r="F115" s="14">
        <f t="array" ref="F115">XLOOKUP($C115,location,'COVID-19 Raw Data'!$J$3:$J$52,"No Data")</f>
        <v>2689862</v>
      </c>
      <c r="G115" s="14">
        <f t="array" ref="G115">XLOOKUP($C115,location,'COVID-19 Raw Data'!$O$3:$O$52,"No Data")</f>
        <v>29524.265</v>
      </c>
      <c r="H115" s="2"/>
    </row>
    <row r="116">
      <c r="A116" s="3" t="s">
        <v>81</v>
      </c>
      <c r="B116" s="3" t="s">
        <v>23</v>
      </c>
      <c r="C116" s="3" t="s">
        <v>82</v>
      </c>
      <c r="D116" s="14">
        <f t="array" ref="D116">XLOOKUP($C116,location,'COVID-19 Raw Data'!$D$3:$D$52,"No Data")</f>
        <v>103766</v>
      </c>
      <c r="E116" s="14">
        <f t="array" ref="E116">XLOOKUP($C116,location,'COVID-19 Raw Data'!$E$3:$E$52,"No Data")</f>
        <v>915</v>
      </c>
      <c r="F116" s="14">
        <f t="array" ref="F116">XLOOKUP($C116,location,'COVID-19 Raw Data'!$J$3:$J$52,"No Data")</f>
        <v>634814</v>
      </c>
      <c r="G116" s="14">
        <f t="array" ref="G116">XLOOKUP($C116,location,'COVID-19 Raw Data'!$O$3:$O$52,"No Data")</f>
        <v>94277.965</v>
      </c>
      <c r="H116" s="2"/>
    </row>
    <row r="117">
      <c r="A117" s="3" t="s">
        <v>89</v>
      </c>
      <c r="B117" s="3" t="s">
        <v>23</v>
      </c>
      <c r="C117" s="3" t="s">
        <v>301</v>
      </c>
      <c r="D117" s="14" t="str">
        <f t="array" ref="D117">XLOOKUP($C117,location,'COVID-19 Raw Data'!$D$3:$D$52,"No Data")</f>
        <v>No Data</v>
      </c>
      <c r="E117" s="14" t="str">
        <f t="array" ref="E117">XLOOKUP($C117,location,'COVID-19 Raw Data'!$E$3:$E$52,"No Data")</f>
        <v>No Data</v>
      </c>
      <c r="F117" s="14" t="str">
        <f t="array" ref="F117">XLOOKUP($C117,location,'COVID-19 Raw Data'!$J$3:$J$52,"No Data")</f>
        <v>No Data</v>
      </c>
      <c r="G117" s="14" t="str">
        <f t="array" ref="G117">XLOOKUP($C117,location,'COVID-19 Raw Data'!$O$3:$O$52,"No Data")</f>
        <v>No Data</v>
      </c>
      <c r="H117" s="2"/>
    </row>
    <row r="118">
      <c r="A118" s="3" t="s">
        <v>302</v>
      </c>
      <c r="B118" s="3" t="s">
        <v>125</v>
      </c>
      <c r="C118" s="3" t="s">
        <v>303</v>
      </c>
      <c r="D118" s="14" t="str">
        <f t="array" ref="D118">XLOOKUP($C118,location,'COVID-19 Raw Data'!$D$3:$D$52,"No Data")</f>
        <v>No Data</v>
      </c>
      <c r="E118" s="14" t="str">
        <f t="array" ref="E118">XLOOKUP($C118,location,'COVID-19 Raw Data'!$E$3:$E$52,"No Data")</f>
        <v>No Data</v>
      </c>
      <c r="F118" s="14" t="str">
        <f t="array" ref="F118">XLOOKUP($C118,location,'COVID-19 Raw Data'!$J$3:$J$52,"No Data")</f>
        <v>No Data</v>
      </c>
      <c r="G118" s="14" t="str">
        <f t="array" ref="G118">XLOOKUP($C118,location,'COVID-19 Raw Data'!$O$3:$O$52,"No Data")</f>
        <v>No Data</v>
      </c>
      <c r="H118" s="2"/>
    </row>
    <row r="119">
      <c r="A119" s="3" t="s">
        <v>304</v>
      </c>
      <c r="B119" s="3" t="s">
        <v>125</v>
      </c>
      <c r="C119" s="3" t="s">
        <v>305</v>
      </c>
      <c r="D119" s="14" t="str">
        <f t="array" ref="D119">XLOOKUP($C119,location,'COVID-19 Raw Data'!$D$3:$D$52,"No Data")</f>
        <v>No Data</v>
      </c>
      <c r="E119" s="14" t="str">
        <f t="array" ref="E119">XLOOKUP($C119,location,'COVID-19 Raw Data'!$E$3:$E$52,"No Data")</f>
        <v>No Data</v>
      </c>
      <c r="F119" s="14" t="str">
        <f t="array" ref="F119">XLOOKUP($C119,location,'COVID-19 Raw Data'!$J$3:$J$52,"No Data")</f>
        <v>No Data</v>
      </c>
      <c r="G119" s="14" t="str">
        <f t="array" ref="G119">XLOOKUP($C119,location,'COVID-19 Raw Data'!$O$3:$O$52,"No Data")</f>
        <v>No Data</v>
      </c>
      <c r="H119" s="2"/>
    </row>
    <row r="120">
      <c r="A120" s="3" t="s">
        <v>306</v>
      </c>
      <c r="B120" s="3" t="s">
        <v>122</v>
      </c>
      <c r="C120" s="3" t="s">
        <v>307</v>
      </c>
      <c r="D120" s="14" t="str">
        <f t="array" ref="D120">XLOOKUP($C120,location,'COVID-19 Raw Data'!$D$3:$D$52,"No Data")</f>
        <v>No Data</v>
      </c>
      <c r="E120" s="14" t="str">
        <f t="array" ref="E120">XLOOKUP($C120,location,'COVID-19 Raw Data'!$E$3:$E$52,"No Data")</f>
        <v>No Data</v>
      </c>
      <c r="F120" s="14" t="str">
        <f t="array" ref="F120">XLOOKUP($C120,location,'COVID-19 Raw Data'!$J$3:$J$52,"No Data")</f>
        <v>No Data</v>
      </c>
      <c r="G120" s="14" t="str">
        <f t="array" ref="G120">XLOOKUP($C120,location,'COVID-19 Raw Data'!$O$3:$O$52,"No Data")</f>
        <v>No Data</v>
      </c>
      <c r="H120" s="2"/>
    </row>
    <row r="121">
      <c r="A121" s="3" t="s">
        <v>308</v>
      </c>
      <c r="B121" s="3" t="s">
        <v>122</v>
      </c>
      <c r="C121" s="3" t="s">
        <v>309</v>
      </c>
      <c r="D121" s="14" t="str">
        <f t="array" ref="D121">XLOOKUP($C121,location,'COVID-19 Raw Data'!$D$3:$D$52,"No Data")</f>
        <v>No Data</v>
      </c>
      <c r="E121" s="14" t="str">
        <f t="array" ref="E121">XLOOKUP($C121,location,'COVID-19 Raw Data'!$E$3:$E$52,"No Data")</f>
        <v>No Data</v>
      </c>
      <c r="F121" s="14" t="str">
        <f t="array" ref="F121">XLOOKUP($C121,location,'COVID-19 Raw Data'!$J$3:$J$52,"No Data")</f>
        <v>No Data</v>
      </c>
      <c r="G121" s="14" t="str">
        <f t="array" ref="G121">XLOOKUP($C121,location,'COVID-19 Raw Data'!$O$3:$O$52,"No Data")</f>
        <v>No Data</v>
      </c>
      <c r="H121" s="2"/>
    </row>
    <row r="122">
      <c r="A122" s="3" t="s">
        <v>310</v>
      </c>
      <c r="B122" s="3" t="s">
        <v>125</v>
      </c>
      <c r="C122" s="3" t="s">
        <v>311</v>
      </c>
      <c r="D122" s="14" t="str">
        <f t="array" ref="D122">XLOOKUP($C122,location,'COVID-19 Raw Data'!$D$3:$D$52,"No Data")</f>
        <v>No Data</v>
      </c>
      <c r="E122" s="14" t="str">
        <f t="array" ref="E122">XLOOKUP($C122,location,'COVID-19 Raw Data'!$E$3:$E$52,"No Data")</f>
        <v>No Data</v>
      </c>
      <c r="F122" s="14" t="str">
        <f t="array" ref="F122">XLOOKUP($C122,location,'COVID-19 Raw Data'!$J$3:$J$52,"No Data")</f>
        <v>No Data</v>
      </c>
      <c r="G122" s="14" t="str">
        <f t="array" ref="G122">XLOOKUP($C122,location,'COVID-19 Raw Data'!$O$3:$O$52,"No Data")</f>
        <v>No Data</v>
      </c>
      <c r="H122" s="2"/>
    </row>
    <row r="123">
      <c r="A123" s="3" t="s">
        <v>91</v>
      </c>
      <c r="B123" s="3" t="s">
        <v>23</v>
      </c>
      <c r="C123" s="3" t="s">
        <v>92</v>
      </c>
      <c r="D123" s="14">
        <f t="array" ref="D123">XLOOKUP($C123,location,'COVID-19 Raw Data'!$D$3:$D$52,"No Data")</f>
        <v>52473</v>
      </c>
      <c r="E123" s="14">
        <f t="array" ref="E123">XLOOKUP($C123,location,'COVID-19 Raw Data'!$E$3:$E$52,"No Data")</f>
        <v>476</v>
      </c>
      <c r="F123" s="14">
        <f t="array" ref="F123">XLOOKUP($C123,location,'COVID-19 Raw Data'!$J$3:$J$52,"No Data")</f>
        <v>516100</v>
      </c>
      <c r="G123" s="14">
        <f t="array" ref="G123">XLOOKUP($C123,location,'COVID-19 Raw Data'!$O$3:$O$52,"No Data")</f>
        <v>36513.323</v>
      </c>
      <c r="H123" s="2"/>
    </row>
    <row r="124">
      <c r="A124" s="3" t="s">
        <v>312</v>
      </c>
      <c r="B124" s="3" t="s">
        <v>125</v>
      </c>
      <c r="C124" s="3" t="s">
        <v>313</v>
      </c>
      <c r="D124" s="14" t="str">
        <f t="array" ref="D124">XLOOKUP($C124,location,'COVID-19 Raw Data'!$D$3:$D$52,"No Data")</f>
        <v>No Data</v>
      </c>
      <c r="E124" s="14" t="str">
        <f t="array" ref="E124">XLOOKUP($C124,location,'COVID-19 Raw Data'!$E$3:$E$52,"No Data")</f>
        <v>No Data</v>
      </c>
      <c r="F124" s="14" t="str">
        <f t="array" ref="F124">XLOOKUP($C124,location,'COVID-19 Raw Data'!$J$3:$J$52,"No Data")</f>
        <v>No Data</v>
      </c>
      <c r="G124" s="14" t="str">
        <f t="array" ref="G124">XLOOKUP($C124,location,'COVID-19 Raw Data'!$O$3:$O$52,"No Data")</f>
        <v>No Data</v>
      </c>
      <c r="H124" s="2"/>
    </row>
    <row r="125">
      <c r="A125" s="3" t="s">
        <v>314</v>
      </c>
      <c r="B125" s="3" t="s">
        <v>125</v>
      </c>
      <c r="C125" s="3" t="s">
        <v>315</v>
      </c>
      <c r="D125" s="14" t="str">
        <f t="array" ref="D125">XLOOKUP($C125,location,'COVID-19 Raw Data'!$D$3:$D$52,"No Data")</f>
        <v>No Data</v>
      </c>
      <c r="E125" s="14" t="str">
        <f t="array" ref="E125">XLOOKUP($C125,location,'COVID-19 Raw Data'!$E$3:$E$52,"No Data")</f>
        <v>No Data</v>
      </c>
      <c r="F125" s="14" t="str">
        <f t="array" ref="F125">XLOOKUP($C125,location,'COVID-19 Raw Data'!$J$3:$J$52,"No Data")</f>
        <v>No Data</v>
      </c>
      <c r="G125" s="14" t="str">
        <f t="array" ref="G125">XLOOKUP($C125,location,'COVID-19 Raw Data'!$O$3:$O$52,"No Data")</f>
        <v>No Data</v>
      </c>
      <c r="H125" s="2"/>
    </row>
    <row r="126">
      <c r="A126" s="3" t="s">
        <v>316</v>
      </c>
      <c r="B126" s="3" t="s">
        <v>130</v>
      </c>
      <c r="C126" s="3" t="s">
        <v>317</v>
      </c>
      <c r="D126" s="14" t="str">
        <f t="array" ref="D126">XLOOKUP($C126,location,'COVID-19 Raw Data'!$D$3:$D$52,"No Data")</f>
        <v>No Data</v>
      </c>
      <c r="E126" s="14" t="str">
        <f t="array" ref="E126">XLOOKUP($C126,location,'COVID-19 Raw Data'!$E$3:$E$52,"No Data")</f>
        <v>No Data</v>
      </c>
      <c r="F126" s="14" t="str">
        <f t="array" ref="F126">XLOOKUP($C126,location,'COVID-19 Raw Data'!$J$3:$J$52,"No Data")</f>
        <v>No Data</v>
      </c>
      <c r="G126" s="14" t="str">
        <f t="array" ref="G126">XLOOKUP($C126,location,'COVID-19 Raw Data'!$O$3:$O$52,"No Data")</f>
        <v>No Data</v>
      </c>
      <c r="H126" s="2"/>
    </row>
    <row r="127">
      <c r="A127" s="3" t="s">
        <v>87</v>
      </c>
      <c r="B127" s="3" t="s">
        <v>23</v>
      </c>
      <c r="C127" s="3" t="s">
        <v>88</v>
      </c>
      <c r="D127" s="14">
        <f t="array" ref="D127">XLOOKUP($C127,location,'COVID-19 Raw Data'!$D$3:$D$52,"No Data")</f>
        <v>376155</v>
      </c>
      <c r="E127" s="14">
        <f t="array" ref="E127">XLOOKUP($C127,location,'COVID-19 Raw Data'!$E$3:$E$52,"No Data")</f>
        <v>9690</v>
      </c>
      <c r="F127" s="14">
        <f t="array" ref="F127">XLOOKUP($C127,location,'COVID-19 Raw Data'!$J$3:$J$52,"No Data")</f>
        <v>4024025</v>
      </c>
      <c r="G127" s="14">
        <f t="array" ref="G127">XLOOKUP($C127,location,'COVID-19 Raw Data'!$O$3:$O$52,"No Data")</f>
        <v>5189.972</v>
      </c>
      <c r="H127" s="2"/>
    </row>
    <row r="128">
      <c r="A128" s="3" t="s">
        <v>85</v>
      </c>
      <c r="B128" s="3" t="s">
        <v>23</v>
      </c>
      <c r="C128" s="3" t="s">
        <v>86</v>
      </c>
      <c r="D128" s="14">
        <f t="array" ref="D128">XLOOKUP($C128,location,'COVID-19 Raw Data'!$D$3:$D$52,"No Data")</f>
        <v>4985</v>
      </c>
      <c r="E128" s="14">
        <f t="array" ref="E128">XLOOKUP($C128,location,'COVID-19 Raw Data'!$E$3:$E$52,"No Data")</f>
        <v>38</v>
      </c>
      <c r="F128" s="14">
        <f t="array" ref="F128">XLOOKUP($C128,location,'COVID-19 Raw Data'!$J$3:$J$52,"No Data")</f>
        <v>39520</v>
      </c>
      <c r="G128" s="14" t="str">
        <f t="array" ref="G128">XLOOKUP($C128,location,'COVID-19 Raw Data'!$O$3:$O$52,"No Data")</f>
        <v/>
      </c>
      <c r="H128" s="2"/>
    </row>
    <row r="129">
      <c r="A129" s="3" t="s">
        <v>318</v>
      </c>
      <c r="B129" s="3" t="s">
        <v>122</v>
      </c>
      <c r="C129" s="3" t="s">
        <v>319</v>
      </c>
      <c r="D129" s="14" t="str">
        <f t="array" ref="D129">XLOOKUP($C129,location,'COVID-19 Raw Data'!$D$3:$D$52,"No Data")</f>
        <v>No Data</v>
      </c>
      <c r="E129" s="14" t="str">
        <f t="array" ref="E129">XLOOKUP($C129,location,'COVID-19 Raw Data'!$E$3:$E$52,"No Data")</f>
        <v>No Data</v>
      </c>
      <c r="F129" s="14" t="str">
        <f t="array" ref="F129">XLOOKUP($C129,location,'COVID-19 Raw Data'!$J$3:$J$52,"No Data")</f>
        <v>No Data</v>
      </c>
      <c r="G129" s="14" t="str">
        <f t="array" ref="G129">XLOOKUP($C129,location,'COVID-19 Raw Data'!$O$3:$O$52,"No Data")</f>
        <v>No Data</v>
      </c>
      <c r="H129" s="2"/>
    </row>
    <row r="130">
      <c r="A130" s="3" t="s">
        <v>93</v>
      </c>
      <c r="B130" s="3" t="s">
        <v>23</v>
      </c>
      <c r="C130" s="3" t="s">
        <v>94</v>
      </c>
      <c r="D130" s="14">
        <f t="array" ref="D130">XLOOKUP($C130,location,'COVID-19 Raw Data'!$D$3:$D$52,"No Data")</f>
        <v>170034</v>
      </c>
      <c r="E130" s="14">
        <f t="array" ref="E130">XLOOKUP($C130,location,'COVID-19 Raw Data'!$E$3:$E$52,"No Data")</f>
        <v>2411</v>
      </c>
      <c r="F130" s="14">
        <f t="array" ref="F130">XLOOKUP($C130,location,'COVID-19 Raw Data'!$J$3:$J$52,"No Data")</f>
        <v>628051</v>
      </c>
      <c r="G130" s="14">
        <f t="array" ref="G130">XLOOKUP($C130,location,'COVID-19 Raw Data'!$O$3:$O$52,"No Data")</f>
        <v>16409.288</v>
      </c>
      <c r="H130" s="2"/>
    </row>
    <row r="131">
      <c r="A131" s="3" t="s">
        <v>320</v>
      </c>
      <c r="B131" s="3" t="s">
        <v>130</v>
      </c>
      <c r="C131" s="3" t="s">
        <v>321</v>
      </c>
      <c r="D131" s="14" t="str">
        <f t="array" ref="D131">XLOOKUP($C131,location,'COVID-19 Raw Data'!$D$3:$D$52,"No Data")</f>
        <v>No Data</v>
      </c>
      <c r="E131" s="14" t="str">
        <f t="array" ref="E131">XLOOKUP($C131,location,'COVID-19 Raw Data'!$E$3:$E$52,"No Data")</f>
        <v>No Data</v>
      </c>
      <c r="F131" s="14" t="str">
        <f t="array" ref="F131">XLOOKUP($C131,location,'COVID-19 Raw Data'!$J$3:$J$52,"No Data")</f>
        <v>No Data</v>
      </c>
      <c r="G131" s="14" t="str">
        <f t="array" ref="G131">XLOOKUP($C131,location,'COVID-19 Raw Data'!$O$3:$O$52,"No Data")</f>
        <v>No Data</v>
      </c>
      <c r="H131" s="2"/>
    </row>
    <row r="132">
      <c r="A132" s="3" t="s">
        <v>322</v>
      </c>
      <c r="B132" s="3" t="s">
        <v>125</v>
      </c>
      <c r="C132" s="3" t="s">
        <v>323</v>
      </c>
      <c r="D132" s="14" t="str">
        <f t="array" ref="D132">XLOOKUP($C132,location,'COVID-19 Raw Data'!$D$3:$D$52,"No Data")</f>
        <v>No Data</v>
      </c>
      <c r="E132" s="14" t="str">
        <f t="array" ref="E132">XLOOKUP($C132,location,'COVID-19 Raw Data'!$E$3:$E$52,"No Data")</f>
        <v>No Data</v>
      </c>
      <c r="F132" s="14" t="str">
        <f t="array" ref="F132">XLOOKUP($C132,location,'COVID-19 Raw Data'!$J$3:$J$52,"No Data")</f>
        <v>No Data</v>
      </c>
      <c r="G132" s="14" t="str">
        <f t="array" ref="G132">XLOOKUP($C132,location,'COVID-19 Raw Data'!$O$3:$O$52,"No Data")</f>
        <v>No Data</v>
      </c>
      <c r="H132" s="2"/>
    </row>
    <row r="133">
      <c r="A133" s="3" t="s">
        <v>324</v>
      </c>
      <c r="B133" s="3" t="s">
        <v>125</v>
      </c>
      <c r="C133" s="3" t="s">
        <v>325</v>
      </c>
      <c r="D133" s="14" t="str">
        <f t="array" ref="D133">XLOOKUP($C133,location,'COVID-19 Raw Data'!$D$3:$D$52,"No Data")</f>
        <v>No Data</v>
      </c>
      <c r="E133" s="14" t="str">
        <f t="array" ref="E133">XLOOKUP($C133,location,'COVID-19 Raw Data'!$E$3:$E$52,"No Data")</f>
        <v>No Data</v>
      </c>
      <c r="F133" s="14" t="str">
        <f t="array" ref="F133">XLOOKUP($C133,location,'COVID-19 Raw Data'!$J$3:$J$52,"No Data")</f>
        <v>No Data</v>
      </c>
      <c r="G133" s="14" t="str">
        <f t="array" ref="G133">XLOOKUP($C133,location,'COVID-19 Raw Data'!$O$3:$O$52,"No Data")</f>
        <v>No Data</v>
      </c>
      <c r="H133" s="2"/>
    </row>
    <row r="134">
      <c r="A134" s="3" t="s">
        <v>326</v>
      </c>
      <c r="B134" s="3" t="s">
        <v>122</v>
      </c>
      <c r="C134" s="3" t="s">
        <v>327</v>
      </c>
      <c r="D134" s="14" t="str">
        <f t="array" ref="D134">XLOOKUP($C134,location,'COVID-19 Raw Data'!$D$3:$D$52,"No Data")</f>
        <v>No Data</v>
      </c>
      <c r="E134" s="14" t="str">
        <f t="array" ref="E134">XLOOKUP($C134,location,'COVID-19 Raw Data'!$E$3:$E$52,"No Data")</f>
        <v>No Data</v>
      </c>
      <c r="F134" s="14" t="str">
        <f t="array" ref="F134">XLOOKUP($C134,location,'COVID-19 Raw Data'!$J$3:$J$52,"No Data")</f>
        <v>No Data</v>
      </c>
      <c r="G134" s="14" t="str">
        <f t="array" ref="G134">XLOOKUP($C134,location,'COVID-19 Raw Data'!$O$3:$O$52,"No Data")</f>
        <v>No Data</v>
      </c>
      <c r="H134" s="2"/>
    </row>
    <row r="135">
      <c r="A135" s="3" t="s">
        <v>328</v>
      </c>
      <c r="B135" s="3" t="s">
        <v>125</v>
      </c>
      <c r="C135" s="3" t="s">
        <v>329</v>
      </c>
      <c r="D135" s="14" t="str">
        <f t="array" ref="D135">XLOOKUP($C135,location,'COVID-19 Raw Data'!$D$3:$D$52,"No Data")</f>
        <v>No Data</v>
      </c>
      <c r="E135" s="14" t="str">
        <f t="array" ref="E135">XLOOKUP($C135,location,'COVID-19 Raw Data'!$E$3:$E$52,"No Data")</f>
        <v>No Data</v>
      </c>
      <c r="F135" s="14" t="str">
        <f t="array" ref="F135">XLOOKUP($C135,location,'COVID-19 Raw Data'!$J$3:$J$52,"No Data")</f>
        <v>No Data</v>
      </c>
      <c r="G135" s="14" t="str">
        <f t="array" ref="G135">XLOOKUP($C135,location,'COVID-19 Raw Data'!$O$3:$O$52,"No Data")</f>
        <v>No Data</v>
      </c>
      <c r="H135" s="2"/>
    </row>
    <row r="136">
      <c r="A136" s="3" t="s">
        <v>330</v>
      </c>
      <c r="B136" s="3" t="s">
        <v>122</v>
      </c>
      <c r="C136" s="3" t="s">
        <v>331</v>
      </c>
      <c r="D136" s="14" t="str">
        <f t="array" ref="D136">XLOOKUP($C136,location,'COVID-19 Raw Data'!$D$3:$D$52,"No Data")</f>
        <v>No Data</v>
      </c>
      <c r="E136" s="14" t="str">
        <f t="array" ref="E136">XLOOKUP($C136,location,'COVID-19 Raw Data'!$E$3:$E$52,"No Data")</f>
        <v>No Data</v>
      </c>
      <c r="F136" s="14" t="str">
        <f t="array" ref="F136">XLOOKUP($C136,location,'COVID-19 Raw Data'!$J$3:$J$52,"No Data")</f>
        <v>No Data</v>
      </c>
      <c r="G136" s="14" t="str">
        <f t="array" ref="G136">XLOOKUP($C136,location,'COVID-19 Raw Data'!$O$3:$O$52,"No Data")</f>
        <v>No Data</v>
      </c>
      <c r="H136" s="2"/>
    </row>
    <row r="137">
      <c r="A137" s="3" t="s">
        <v>95</v>
      </c>
      <c r="B137" s="3" t="s">
        <v>23</v>
      </c>
      <c r="C137" s="3" t="s">
        <v>96</v>
      </c>
      <c r="D137" s="14">
        <f t="array" ref="D137">XLOOKUP($C137,location,'COVID-19 Raw Data'!$D$3:$D$52,"No Data")</f>
        <v>3137942</v>
      </c>
      <c r="E137" s="14">
        <f t="array" ref="E137">XLOOKUP($C137,location,'COVID-19 Raw Data'!$E$3:$E$52,"No Data")</f>
        <v>20999</v>
      </c>
      <c r="F137" s="14">
        <f t="array" ref="F137">XLOOKUP($C137,location,'COVID-19 Raw Data'!$J$3:$J$52,"No Data")</f>
        <v>17173094</v>
      </c>
      <c r="G137" s="14">
        <f t="array" ref="G137">XLOOKUP($C137,location,'COVID-19 Raw Data'!$O$3:$O$52,"No Data")</f>
        <v>48472.545</v>
      </c>
      <c r="H137" s="2"/>
    </row>
    <row r="138">
      <c r="A138" s="3" t="s">
        <v>332</v>
      </c>
      <c r="B138" s="3" t="s">
        <v>142</v>
      </c>
      <c r="C138" s="3" t="s">
        <v>333</v>
      </c>
      <c r="D138" s="14" t="str">
        <f t="array" ref="D138">XLOOKUP($C138,location,'COVID-19 Raw Data'!$D$3:$D$52,"No Data")</f>
        <v>No Data</v>
      </c>
      <c r="E138" s="14" t="str">
        <f t="array" ref="E138">XLOOKUP($C138,location,'COVID-19 Raw Data'!$E$3:$E$52,"No Data")</f>
        <v>No Data</v>
      </c>
      <c r="F138" s="14" t="str">
        <f t="array" ref="F138">XLOOKUP($C138,location,'COVID-19 Raw Data'!$J$3:$J$52,"No Data")</f>
        <v>No Data</v>
      </c>
      <c r="G138" s="14" t="str">
        <f t="array" ref="G138">XLOOKUP($C138,location,'COVID-19 Raw Data'!$O$3:$O$52,"No Data")</f>
        <v>No Data</v>
      </c>
      <c r="H138" s="2"/>
    </row>
    <row r="139">
      <c r="A139" s="3" t="s">
        <v>334</v>
      </c>
      <c r="B139" s="3" t="s">
        <v>142</v>
      </c>
      <c r="C139" s="3" t="s">
        <v>335</v>
      </c>
      <c r="D139" s="14" t="str">
        <f t="array" ref="D139">XLOOKUP($C139,location,'COVID-19 Raw Data'!$D$3:$D$52,"No Data")</f>
        <v>No Data</v>
      </c>
      <c r="E139" s="14" t="str">
        <f t="array" ref="E139">XLOOKUP($C139,location,'COVID-19 Raw Data'!$E$3:$E$52,"No Data")</f>
        <v>No Data</v>
      </c>
      <c r="F139" s="14" t="str">
        <f t="array" ref="F139">XLOOKUP($C139,location,'COVID-19 Raw Data'!$J$3:$J$52,"No Data")</f>
        <v>No Data</v>
      </c>
      <c r="G139" s="14" t="str">
        <f t="array" ref="G139">XLOOKUP($C139,location,'COVID-19 Raw Data'!$O$3:$O$52,"No Data")</f>
        <v>No Data</v>
      </c>
      <c r="H139" s="2"/>
    </row>
    <row r="140">
      <c r="A140" s="3" t="s">
        <v>336</v>
      </c>
      <c r="B140" s="3" t="s">
        <v>130</v>
      </c>
      <c r="C140" s="3" t="s">
        <v>337</v>
      </c>
      <c r="D140" s="14" t="str">
        <f t="array" ref="D140">XLOOKUP($C140,location,'COVID-19 Raw Data'!$D$3:$D$52,"No Data")</f>
        <v>No Data</v>
      </c>
      <c r="E140" s="14" t="str">
        <f t="array" ref="E140">XLOOKUP($C140,location,'COVID-19 Raw Data'!$E$3:$E$52,"No Data")</f>
        <v>No Data</v>
      </c>
      <c r="F140" s="14" t="str">
        <f t="array" ref="F140">XLOOKUP($C140,location,'COVID-19 Raw Data'!$J$3:$J$52,"No Data")</f>
        <v>No Data</v>
      </c>
      <c r="G140" s="14" t="str">
        <f t="array" ref="G140">XLOOKUP($C140,location,'COVID-19 Raw Data'!$O$3:$O$52,"No Data")</f>
        <v>No Data</v>
      </c>
      <c r="H140" s="2"/>
    </row>
    <row r="141">
      <c r="A141" s="3" t="s">
        <v>338</v>
      </c>
      <c r="B141" s="3" t="s">
        <v>125</v>
      </c>
      <c r="C141" s="3" t="s">
        <v>339</v>
      </c>
      <c r="D141" s="14" t="str">
        <f t="array" ref="D141">XLOOKUP($C141,location,'COVID-19 Raw Data'!$D$3:$D$52,"No Data")</f>
        <v>No Data</v>
      </c>
      <c r="E141" s="14" t="str">
        <f t="array" ref="E141">XLOOKUP($C141,location,'COVID-19 Raw Data'!$E$3:$E$52,"No Data")</f>
        <v>No Data</v>
      </c>
      <c r="F141" s="14" t="str">
        <f t="array" ref="F141">XLOOKUP($C141,location,'COVID-19 Raw Data'!$J$3:$J$52,"No Data")</f>
        <v>No Data</v>
      </c>
      <c r="G141" s="14" t="str">
        <f t="array" ref="G141">XLOOKUP($C141,location,'COVID-19 Raw Data'!$O$3:$O$52,"No Data")</f>
        <v>No Data</v>
      </c>
      <c r="H141" s="2"/>
    </row>
    <row r="142">
      <c r="A142" s="3" t="s">
        <v>340</v>
      </c>
      <c r="B142" s="3" t="s">
        <v>125</v>
      </c>
      <c r="C142" s="3" t="s">
        <v>341</v>
      </c>
      <c r="D142" s="14" t="str">
        <f t="array" ref="D142">XLOOKUP($C142,location,'COVID-19 Raw Data'!$D$3:$D$52,"No Data")</f>
        <v>No Data</v>
      </c>
      <c r="E142" s="14" t="str">
        <f t="array" ref="E142">XLOOKUP($C142,location,'COVID-19 Raw Data'!$E$3:$E$52,"No Data")</f>
        <v>No Data</v>
      </c>
      <c r="F142" s="14" t="str">
        <f t="array" ref="F142">XLOOKUP($C142,location,'COVID-19 Raw Data'!$J$3:$J$52,"No Data")</f>
        <v>No Data</v>
      </c>
      <c r="G142" s="14" t="str">
        <f t="array" ref="G142">XLOOKUP($C142,location,'COVID-19 Raw Data'!$O$3:$O$52,"No Data")</f>
        <v>No Data</v>
      </c>
      <c r="H142" s="2"/>
    </row>
    <row r="143">
      <c r="A143" s="3" t="s">
        <v>342</v>
      </c>
      <c r="B143" s="3" t="s">
        <v>142</v>
      </c>
      <c r="C143" s="3" t="s">
        <v>343</v>
      </c>
      <c r="D143" s="14" t="str">
        <f t="array" ref="D143">XLOOKUP($C143,location,'COVID-19 Raw Data'!$D$3:$D$52,"No Data")</f>
        <v>No Data</v>
      </c>
      <c r="E143" s="14" t="str">
        <f t="array" ref="E143">XLOOKUP($C143,location,'COVID-19 Raw Data'!$E$3:$E$52,"No Data")</f>
        <v>No Data</v>
      </c>
      <c r="F143" s="14" t="str">
        <f t="array" ref="F143">XLOOKUP($C143,location,'COVID-19 Raw Data'!$J$3:$J$52,"No Data")</f>
        <v>No Data</v>
      </c>
      <c r="G143" s="14" t="str">
        <f t="array" ref="G143">XLOOKUP($C143,location,'COVID-19 Raw Data'!$O$3:$O$52,"No Data")</f>
        <v>No Data</v>
      </c>
      <c r="H143" s="2"/>
    </row>
    <row r="144">
      <c r="A144" s="3" t="s">
        <v>97</v>
      </c>
      <c r="B144" s="3" t="s">
        <v>23</v>
      </c>
      <c r="C144" s="3" t="s">
        <v>98</v>
      </c>
      <c r="D144" s="14">
        <f t="array" ref="D144">XLOOKUP($C144,location,'COVID-19 Raw Data'!$D$3:$D$52,"No Data")</f>
        <v>394259</v>
      </c>
      <c r="E144" s="14">
        <f t="array" ref="E144">XLOOKUP($C144,location,'COVID-19 Raw Data'!$E$3:$E$52,"No Data")</f>
        <v>1305</v>
      </c>
      <c r="F144" s="14">
        <f t="array" ref="F144">XLOOKUP($C144,location,'COVID-19 Raw Data'!$J$3:$J$52,"No Data")</f>
        <v>5465629</v>
      </c>
      <c r="G144" s="14">
        <f t="array" ref="G144">XLOOKUP($C144,location,'COVID-19 Raw Data'!$O$3:$O$52,"No Data")</f>
        <v>64800.057</v>
      </c>
      <c r="H144" s="2"/>
    </row>
    <row r="145">
      <c r="A145" s="3" t="s">
        <v>344</v>
      </c>
      <c r="B145" s="3" t="s">
        <v>122</v>
      </c>
      <c r="C145" s="3" t="s">
        <v>345</v>
      </c>
      <c r="D145" s="14" t="str">
        <f t="array" ref="D145">XLOOKUP($C145,location,'COVID-19 Raw Data'!$D$3:$D$52,"No Data")</f>
        <v>No Data</v>
      </c>
      <c r="E145" s="14" t="str">
        <f t="array" ref="E145">XLOOKUP($C145,location,'COVID-19 Raw Data'!$E$3:$E$52,"No Data")</f>
        <v>No Data</v>
      </c>
      <c r="F145" s="14" t="str">
        <f t="array" ref="F145">XLOOKUP($C145,location,'COVID-19 Raw Data'!$J$3:$J$52,"No Data")</f>
        <v>No Data</v>
      </c>
      <c r="G145" s="14" t="str">
        <f t="array" ref="G145">XLOOKUP($C145,location,'COVID-19 Raw Data'!$O$3:$O$52,"No Data")</f>
        <v>No Data</v>
      </c>
      <c r="H145" s="2"/>
    </row>
    <row r="146">
      <c r="A146" s="3" t="s">
        <v>346</v>
      </c>
      <c r="B146" s="3" t="s">
        <v>122</v>
      </c>
      <c r="C146" s="3" t="s">
        <v>347</v>
      </c>
      <c r="D146" s="14" t="str">
        <f t="array" ref="D146">XLOOKUP($C146,location,'COVID-19 Raw Data'!$D$3:$D$52,"No Data")</f>
        <v>No Data</v>
      </c>
      <c r="E146" s="14" t="str">
        <f t="array" ref="E146">XLOOKUP($C146,location,'COVID-19 Raw Data'!$E$3:$E$52,"No Data")</f>
        <v>No Data</v>
      </c>
      <c r="F146" s="14" t="str">
        <f t="array" ref="F146">XLOOKUP($C146,location,'COVID-19 Raw Data'!$J$3:$J$52,"No Data")</f>
        <v>No Data</v>
      </c>
      <c r="G146" s="14" t="str">
        <f t="array" ref="G146">XLOOKUP($C146,location,'COVID-19 Raw Data'!$O$3:$O$52,"No Data")</f>
        <v>No Data</v>
      </c>
      <c r="H146" s="2"/>
    </row>
    <row r="147">
      <c r="A147" s="3" t="s">
        <v>348</v>
      </c>
      <c r="B147" s="3" t="s">
        <v>122</v>
      </c>
      <c r="C147" s="3" t="s">
        <v>349</v>
      </c>
      <c r="D147" s="14" t="str">
        <f t="array" ref="D147">XLOOKUP($C147,location,'COVID-19 Raw Data'!$D$3:$D$52,"No Data")</f>
        <v>No Data</v>
      </c>
      <c r="E147" s="14" t="str">
        <f t="array" ref="E147">XLOOKUP($C147,location,'COVID-19 Raw Data'!$E$3:$E$52,"No Data")</f>
        <v>No Data</v>
      </c>
      <c r="F147" s="14" t="str">
        <f t="array" ref="F147">XLOOKUP($C147,location,'COVID-19 Raw Data'!$J$3:$J$52,"No Data")</f>
        <v>No Data</v>
      </c>
      <c r="G147" s="14" t="str">
        <f t="array" ref="G147">XLOOKUP($C147,location,'COVID-19 Raw Data'!$O$3:$O$52,"No Data")</f>
        <v>No Data</v>
      </c>
      <c r="H147" s="2"/>
    </row>
    <row r="148">
      <c r="A148" s="3" t="s">
        <v>350</v>
      </c>
      <c r="B148" s="3" t="s">
        <v>130</v>
      </c>
      <c r="C148" s="3" t="s">
        <v>351</v>
      </c>
      <c r="D148" s="14" t="str">
        <f t="array" ref="D148">XLOOKUP($C148,location,'COVID-19 Raw Data'!$D$3:$D$52,"No Data")</f>
        <v>No Data</v>
      </c>
      <c r="E148" s="14" t="str">
        <f t="array" ref="E148">XLOOKUP($C148,location,'COVID-19 Raw Data'!$E$3:$E$52,"No Data")</f>
        <v>No Data</v>
      </c>
      <c r="F148" s="14" t="str">
        <f t="array" ref="F148">XLOOKUP($C148,location,'COVID-19 Raw Data'!$J$3:$J$52,"No Data")</f>
        <v>No Data</v>
      </c>
      <c r="G148" s="14" t="str">
        <f t="array" ref="G148">XLOOKUP($C148,location,'COVID-19 Raw Data'!$O$3:$O$52,"No Data")</f>
        <v>No Data</v>
      </c>
      <c r="H148" s="2"/>
    </row>
    <row r="149">
      <c r="A149" s="3" t="s">
        <v>352</v>
      </c>
      <c r="B149" s="3" t="s">
        <v>142</v>
      </c>
      <c r="C149" s="3" t="s">
        <v>353</v>
      </c>
      <c r="D149" s="14" t="str">
        <f t="array" ref="D149">XLOOKUP($C149,location,'COVID-19 Raw Data'!$D$3:$D$52,"No Data")</f>
        <v>No Data</v>
      </c>
      <c r="E149" s="14" t="str">
        <f t="array" ref="E149">XLOOKUP($C149,location,'COVID-19 Raw Data'!$E$3:$E$52,"No Data")</f>
        <v>No Data</v>
      </c>
      <c r="F149" s="14" t="str">
        <f t="array" ref="F149">XLOOKUP($C149,location,'COVID-19 Raw Data'!$J$3:$J$52,"No Data")</f>
        <v>No Data</v>
      </c>
      <c r="G149" s="14" t="str">
        <f t="array" ref="G149">XLOOKUP($C149,location,'COVID-19 Raw Data'!$O$3:$O$52,"No Data")</f>
        <v>No Data</v>
      </c>
      <c r="H149" s="2"/>
    </row>
    <row r="150">
      <c r="A150" s="3" t="s">
        <v>354</v>
      </c>
      <c r="B150" s="3" t="s">
        <v>135</v>
      </c>
      <c r="C150" s="3" t="s">
        <v>355</v>
      </c>
      <c r="D150" s="14" t="str">
        <f t="array" ref="D150">XLOOKUP($C150,location,'COVID-19 Raw Data'!$D$3:$D$52,"No Data")</f>
        <v>No Data</v>
      </c>
      <c r="E150" s="14" t="str">
        <f t="array" ref="E150">XLOOKUP($C150,location,'COVID-19 Raw Data'!$E$3:$E$52,"No Data")</f>
        <v>No Data</v>
      </c>
      <c r="F150" s="14" t="str">
        <f t="array" ref="F150">XLOOKUP($C150,location,'COVID-19 Raw Data'!$J$3:$J$52,"No Data")</f>
        <v>No Data</v>
      </c>
      <c r="G150" s="14" t="str">
        <f t="array" ref="G150">XLOOKUP($C150,location,'COVID-19 Raw Data'!$O$3:$O$52,"No Data")</f>
        <v>No Data</v>
      </c>
      <c r="H150" s="2"/>
    </row>
    <row r="151">
      <c r="A151" s="3" t="s">
        <v>356</v>
      </c>
      <c r="B151" s="3" t="s">
        <v>135</v>
      </c>
      <c r="C151" s="3" t="s">
        <v>357</v>
      </c>
      <c r="D151" s="14" t="str">
        <f t="array" ref="D151">XLOOKUP($C151,location,'COVID-19 Raw Data'!$D$3:$D$52,"No Data")</f>
        <v>No Data</v>
      </c>
      <c r="E151" s="14" t="str">
        <f t="array" ref="E151">XLOOKUP($C151,location,'COVID-19 Raw Data'!$E$3:$E$52,"No Data")</f>
        <v>No Data</v>
      </c>
      <c r="F151" s="14" t="str">
        <f t="array" ref="F151">XLOOKUP($C151,location,'COVID-19 Raw Data'!$J$3:$J$52,"No Data")</f>
        <v>No Data</v>
      </c>
      <c r="G151" s="14" t="str">
        <f t="array" ref="G151">XLOOKUP($C151,location,'COVID-19 Raw Data'!$O$3:$O$52,"No Data")</f>
        <v>No Data</v>
      </c>
      <c r="H151" s="2"/>
    </row>
    <row r="152">
      <c r="A152" s="3" t="s">
        <v>358</v>
      </c>
      <c r="B152" s="3" t="s">
        <v>122</v>
      </c>
      <c r="C152" s="3" t="s">
        <v>359</v>
      </c>
      <c r="D152" s="14" t="str">
        <f t="array" ref="D152">XLOOKUP($C152,location,'COVID-19 Raw Data'!$D$3:$D$52,"No Data")</f>
        <v>No Data</v>
      </c>
      <c r="E152" s="14" t="str">
        <f t="array" ref="E152">XLOOKUP($C152,location,'COVID-19 Raw Data'!$E$3:$E$52,"No Data")</f>
        <v>No Data</v>
      </c>
      <c r="F152" s="14" t="str">
        <f t="array" ref="F152">XLOOKUP($C152,location,'COVID-19 Raw Data'!$J$3:$J$52,"No Data")</f>
        <v>No Data</v>
      </c>
      <c r="G152" s="14" t="str">
        <f t="array" ref="G152">XLOOKUP($C152,location,'COVID-19 Raw Data'!$O$3:$O$52,"No Data")</f>
        <v>No Data</v>
      </c>
      <c r="H152" s="2"/>
    </row>
    <row r="153">
      <c r="A153" s="3" t="s">
        <v>99</v>
      </c>
      <c r="B153" s="3" t="s">
        <v>23</v>
      </c>
      <c r="C153" s="3" t="s">
        <v>100</v>
      </c>
      <c r="D153" s="14">
        <f t="array" ref="D153">XLOOKUP($C153,location,'COVID-19 Raw Data'!$D$3:$D$52,"No Data")</f>
        <v>4108215</v>
      </c>
      <c r="E153" s="14">
        <f t="array" ref="E153">XLOOKUP($C153,location,'COVID-19 Raw Data'!$E$3:$E$52,"No Data")</f>
        <v>97054</v>
      </c>
      <c r="F153" s="14">
        <f t="array" ref="F153">XLOOKUP($C153,location,'COVID-19 Raw Data'!$J$3:$J$52,"No Data")</f>
        <v>37797000</v>
      </c>
      <c r="G153" s="14">
        <f t="array" ref="G153">XLOOKUP($C153,location,'COVID-19 Raw Data'!$O$3:$O$52,"No Data")</f>
        <v>27216.445</v>
      </c>
      <c r="H153" s="2"/>
    </row>
    <row r="154">
      <c r="A154" s="3" t="s">
        <v>101</v>
      </c>
      <c r="B154" s="3" t="s">
        <v>23</v>
      </c>
      <c r="C154" s="3" t="s">
        <v>102</v>
      </c>
      <c r="D154" s="14">
        <f t="array" ref="D154">XLOOKUP($C154,location,'COVID-19 Raw Data'!$D$3:$D$52,"No Data")</f>
        <v>1389646</v>
      </c>
      <c r="E154" s="14">
        <f t="array" ref="E154">XLOOKUP($C154,location,'COVID-19 Raw Data'!$E$3:$E$52,"No Data")</f>
        <v>18955</v>
      </c>
      <c r="F154" s="14">
        <f t="array" ref="F154">XLOOKUP($C154,location,'COVID-19 Raw Data'!$J$3:$J$52,"No Data")</f>
        <v>10167923</v>
      </c>
      <c r="G154" s="14">
        <f t="array" ref="G154">XLOOKUP($C154,location,'COVID-19 Raw Data'!$O$3:$O$52,"No Data")</f>
        <v>27936.896</v>
      </c>
      <c r="H154" s="2"/>
    </row>
    <row r="155">
      <c r="A155" s="3" t="s">
        <v>360</v>
      </c>
      <c r="B155" s="3" t="s">
        <v>130</v>
      </c>
      <c r="C155" s="3" t="s">
        <v>361</v>
      </c>
      <c r="D155" s="14" t="str">
        <f t="array" ref="D155">XLOOKUP($C155,location,'COVID-19 Raw Data'!$D$3:$D$52,"No Data")</f>
        <v>No Data</v>
      </c>
      <c r="E155" s="14" t="str">
        <f t="array" ref="E155">XLOOKUP($C155,location,'COVID-19 Raw Data'!$E$3:$E$52,"No Data")</f>
        <v>No Data</v>
      </c>
      <c r="F155" s="14" t="str">
        <f t="array" ref="F155">XLOOKUP($C155,location,'COVID-19 Raw Data'!$J$3:$J$52,"No Data")</f>
        <v>No Data</v>
      </c>
      <c r="G155" s="14" t="str">
        <f t="array" ref="G155">XLOOKUP($C155,location,'COVID-19 Raw Data'!$O$3:$O$52,"No Data")</f>
        <v>No Data</v>
      </c>
      <c r="H155" s="2"/>
    </row>
    <row r="156">
      <c r="A156" s="3" t="s">
        <v>362</v>
      </c>
      <c r="B156" s="3" t="s">
        <v>122</v>
      </c>
      <c r="C156" s="3" t="s">
        <v>363</v>
      </c>
      <c r="D156" s="14" t="str">
        <f t="array" ref="D156">XLOOKUP($C156,location,'COVID-19 Raw Data'!$D$3:$D$52,"No Data")</f>
        <v>No Data</v>
      </c>
      <c r="E156" s="14" t="str">
        <f t="array" ref="E156">XLOOKUP($C156,location,'COVID-19 Raw Data'!$E$3:$E$52,"No Data")</f>
        <v>No Data</v>
      </c>
      <c r="F156" s="14" t="str">
        <f t="array" ref="F156">XLOOKUP($C156,location,'COVID-19 Raw Data'!$J$3:$J$52,"No Data")</f>
        <v>No Data</v>
      </c>
      <c r="G156" s="14" t="str">
        <f t="array" ref="G156">XLOOKUP($C156,location,'COVID-19 Raw Data'!$O$3:$O$52,"No Data")</f>
        <v>No Data</v>
      </c>
      <c r="H156" s="2"/>
    </row>
    <row r="157">
      <c r="A157" s="3" t="s">
        <v>103</v>
      </c>
      <c r="B157" s="3" t="s">
        <v>23</v>
      </c>
      <c r="C157" s="3" t="s">
        <v>104</v>
      </c>
      <c r="D157" s="14">
        <f t="array" ref="D157">XLOOKUP($C157,location,'COVID-19 Raw Data'!$D$3:$D$52,"No Data")</f>
        <v>1808891</v>
      </c>
      <c r="E157" s="14">
        <f t="array" ref="E157">XLOOKUP($C157,location,'COVID-19 Raw Data'!$E$3:$E$52,"No Data")</f>
        <v>58752</v>
      </c>
      <c r="F157" s="14">
        <f t="array" ref="F157">XLOOKUP($C157,location,'COVID-19 Raw Data'!$J$3:$J$52,"No Data")</f>
        <v>19127772</v>
      </c>
      <c r="G157" s="14">
        <f t="array" ref="G157">XLOOKUP($C157,location,'COVID-19 Raw Data'!$O$3:$O$52,"No Data")</f>
        <v>23313.199</v>
      </c>
      <c r="H157" s="2"/>
    </row>
    <row r="158">
      <c r="A158" s="3" t="s">
        <v>105</v>
      </c>
      <c r="B158" s="3" t="s">
        <v>23</v>
      </c>
      <c r="C158" s="3" t="s">
        <v>106</v>
      </c>
      <c r="D158" s="14">
        <f t="array" ref="D158">XLOOKUP($C158,location,'COVID-19 Raw Data'!$D$3:$D$52,"No Data")</f>
        <v>10320405</v>
      </c>
      <c r="E158" s="14">
        <f t="array" ref="E158">XLOOKUP($C158,location,'COVID-19 Raw Data'!$E$3:$E$52,"No Data")</f>
        <v>302671</v>
      </c>
      <c r="F158" s="14">
        <f t="array" ref="F158">XLOOKUP($C158,location,'COVID-19 Raw Data'!$J$3:$J$52,"No Data")</f>
        <v>145912022</v>
      </c>
      <c r="G158" s="14">
        <f t="array" ref="G158">XLOOKUP($C158,location,'COVID-19 Raw Data'!$O$3:$O$52,"No Data")</f>
        <v>24765.954</v>
      </c>
      <c r="H158" s="2"/>
    </row>
    <row r="159">
      <c r="A159" s="3" t="s">
        <v>364</v>
      </c>
      <c r="B159" s="3" t="s">
        <v>125</v>
      </c>
      <c r="C159" s="3" t="s">
        <v>365</v>
      </c>
      <c r="D159" s="14" t="str">
        <f t="array" ref="D159">XLOOKUP($C159,location,'COVID-19 Raw Data'!$D$3:$D$52,"No Data")</f>
        <v>No Data</v>
      </c>
      <c r="E159" s="14" t="str">
        <f t="array" ref="E159">XLOOKUP($C159,location,'COVID-19 Raw Data'!$E$3:$E$52,"No Data")</f>
        <v>No Data</v>
      </c>
      <c r="F159" s="14" t="str">
        <f t="array" ref="F159">XLOOKUP($C159,location,'COVID-19 Raw Data'!$J$3:$J$52,"No Data")</f>
        <v>No Data</v>
      </c>
      <c r="G159" s="14" t="str">
        <f t="array" ref="G159">XLOOKUP($C159,location,'COVID-19 Raw Data'!$O$3:$O$52,"No Data")</f>
        <v>No Data</v>
      </c>
      <c r="H159" s="2"/>
    </row>
    <row r="160">
      <c r="A160" s="3" t="s">
        <v>366</v>
      </c>
      <c r="B160" s="3" t="s">
        <v>130</v>
      </c>
      <c r="C160" s="3" t="s">
        <v>367</v>
      </c>
      <c r="D160" s="14" t="str">
        <f t="array" ref="D160">XLOOKUP($C160,location,'COVID-19 Raw Data'!$D$3:$D$52,"No Data")</f>
        <v>No Data</v>
      </c>
      <c r="E160" s="14" t="str">
        <f t="array" ref="E160">XLOOKUP($C160,location,'COVID-19 Raw Data'!$E$3:$E$52,"No Data")</f>
        <v>No Data</v>
      </c>
      <c r="F160" s="14" t="str">
        <f t="array" ref="F160">XLOOKUP($C160,location,'COVID-19 Raw Data'!$J$3:$J$52,"No Data")</f>
        <v>No Data</v>
      </c>
      <c r="G160" s="14" t="str">
        <f t="array" ref="G160">XLOOKUP($C160,location,'COVID-19 Raw Data'!$O$3:$O$52,"No Data")</f>
        <v>No Data</v>
      </c>
      <c r="H160" s="2"/>
    </row>
    <row r="161">
      <c r="A161" s="3" t="s">
        <v>368</v>
      </c>
      <c r="B161" s="3" t="s">
        <v>130</v>
      </c>
      <c r="C161" s="3" t="s">
        <v>369</v>
      </c>
      <c r="D161" s="14" t="str">
        <f t="array" ref="D161">XLOOKUP($C161,location,'COVID-19 Raw Data'!$D$3:$D$52,"No Data")</f>
        <v>No Data</v>
      </c>
      <c r="E161" s="14" t="str">
        <f t="array" ref="E161">XLOOKUP($C161,location,'COVID-19 Raw Data'!$E$3:$E$52,"No Data")</f>
        <v>No Data</v>
      </c>
      <c r="F161" s="14" t="str">
        <f t="array" ref="F161">XLOOKUP($C161,location,'COVID-19 Raw Data'!$J$3:$J$52,"No Data")</f>
        <v>No Data</v>
      </c>
      <c r="G161" s="14" t="str">
        <f t="array" ref="G161">XLOOKUP($C161,location,'COVID-19 Raw Data'!$O$3:$O$52,"No Data")</f>
        <v>No Data</v>
      </c>
      <c r="H161" s="2"/>
    </row>
    <row r="162">
      <c r="A162" s="3" t="s">
        <v>370</v>
      </c>
      <c r="B162" s="3" t="s">
        <v>130</v>
      </c>
      <c r="C162" s="3" t="s">
        <v>371</v>
      </c>
      <c r="D162" s="14" t="str">
        <f t="array" ref="D162">XLOOKUP($C162,location,'COVID-19 Raw Data'!$D$3:$D$52,"No Data")</f>
        <v>No Data</v>
      </c>
      <c r="E162" s="14" t="str">
        <f t="array" ref="E162">XLOOKUP($C162,location,'COVID-19 Raw Data'!$E$3:$E$52,"No Data")</f>
        <v>No Data</v>
      </c>
      <c r="F162" s="14" t="str">
        <f t="array" ref="F162">XLOOKUP($C162,location,'COVID-19 Raw Data'!$J$3:$J$52,"No Data")</f>
        <v>No Data</v>
      </c>
      <c r="G162" s="14" t="str">
        <f t="array" ref="G162">XLOOKUP($C162,location,'COVID-19 Raw Data'!$O$3:$O$52,"No Data")</f>
        <v>No Data</v>
      </c>
      <c r="H162" s="2"/>
    </row>
    <row r="163">
      <c r="A163" s="3" t="s">
        <v>107</v>
      </c>
      <c r="B163" s="3" t="s">
        <v>23</v>
      </c>
      <c r="C163" s="3" t="s">
        <v>108</v>
      </c>
      <c r="D163" s="14">
        <f t="array" ref="D163">XLOOKUP($C163,location,'COVID-19 Raw Data'!$D$3:$D$52,"No Data")</f>
        <v>8202</v>
      </c>
      <c r="E163" s="14">
        <f t="array" ref="E163">XLOOKUP($C163,location,'COVID-19 Raw Data'!$E$3:$E$52,"No Data")</f>
        <v>100</v>
      </c>
      <c r="F163" s="14">
        <f t="array" ref="F163">XLOOKUP($C163,location,'COVID-19 Raw Data'!$J$3:$J$52,"No Data")</f>
        <v>34010</v>
      </c>
      <c r="G163" s="14">
        <f t="array" ref="G163">XLOOKUP($C163,location,'COVID-19 Raw Data'!$O$3:$O$52,"No Data")</f>
        <v>56861.47</v>
      </c>
      <c r="H163" s="2"/>
    </row>
    <row r="164">
      <c r="A164" s="3" t="s">
        <v>372</v>
      </c>
      <c r="B164" s="3" t="s">
        <v>125</v>
      </c>
      <c r="C164" s="3" t="s">
        <v>373</v>
      </c>
      <c r="D164" s="14" t="str">
        <f t="array" ref="D164">XLOOKUP($C164,location,'COVID-19 Raw Data'!$D$3:$D$52,"No Data")</f>
        <v>No Data</v>
      </c>
      <c r="E164" s="14" t="str">
        <f t="array" ref="E164">XLOOKUP($C164,location,'COVID-19 Raw Data'!$E$3:$E$52,"No Data")</f>
        <v>No Data</v>
      </c>
      <c r="F164" s="14" t="str">
        <f t="array" ref="F164">XLOOKUP($C164,location,'COVID-19 Raw Data'!$J$3:$J$52,"No Data")</f>
        <v>No Data</v>
      </c>
      <c r="G164" s="14" t="str">
        <f t="array" ref="G164">XLOOKUP($C164,location,'COVID-19 Raw Data'!$O$3:$O$52,"No Data")</f>
        <v>No Data</v>
      </c>
      <c r="H164" s="2"/>
    </row>
    <row r="165">
      <c r="A165" s="3" t="s">
        <v>374</v>
      </c>
      <c r="B165" s="3" t="s">
        <v>122</v>
      </c>
      <c r="C165" s="3" t="s">
        <v>375</v>
      </c>
      <c r="D165" s="14" t="str">
        <f t="array" ref="D165">XLOOKUP($C165,location,'COVID-19 Raw Data'!$D$3:$D$52,"No Data")</f>
        <v>No Data</v>
      </c>
      <c r="E165" s="14" t="str">
        <f t="array" ref="E165">XLOOKUP($C165,location,'COVID-19 Raw Data'!$E$3:$E$52,"No Data")</f>
        <v>No Data</v>
      </c>
      <c r="F165" s="14" t="str">
        <f t="array" ref="F165">XLOOKUP($C165,location,'COVID-19 Raw Data'!$J$3:$J$52,"No Data")</f>
        <v>No Data</v>
      </c>
      <c r="G165" s="14" t="str">
        <f t="array" ref="G165">XLOOKUP($C165,location,'COVID-19 Raw Data'!$O$3:$O$52,"No Data")</f>
        <v>No Data</v>
      </c>
      <c r="H165" s="2"/>
    </row>
    <row r="166">
      <c r="A166" s="3" t="s">
        <v>376</v>
      </c>
      <c r="B166" s="3" t="s">
        <v>125</v>
      </c>
      <c r="C166" s="3" t="s">
        <v>377</v>
      </c>
      <c r="D166" s="14" t="str">
        <f t="array" ref="D166">XLOOKUP($C166,location,'COVID-19 Raw Data'!$D$3:$D$52,"No Data")</f>
        <v>No Data</v>
      </c>
      <c r="E166" s="14" t="str">
        <f t="array" ref="E166">XLOOKUP($C166,location,'COVID-19 Raw Data'!$E$3:$E$52,"No Data")</f>
        <v>No Data</v>
      </c>
      <c r="F166" s="14" t="str">
        <f t="array" ref="F166">XLOOKUP($C166,location,'COVID-19 Raw Data'!$J$3:$J$52,"No Data")</f>
        <v>No Data</v>
      </c>
      <c r="G166" s="14" t="str">
        <f t="array" ref="G166">XLOOKUP($C166,location,'COVID-19 Raw Data'!$O$3:$O$52,"No Data")</f>
        <v>No Data</v>
      </c>
      <c r="H166" s="2"/>
    </row>
    <row r="167">
      <c r="A167" s="3" t="s">
        <v>109</v>
      </c>
      <c r="B167" s="3" t="s">
        <v>23</v>
      </c>
      <c r="C167" s="3" t="s">
        <v>110</v>
      </c>
      <c r="D167" s="14">
        <f t="array" ref="D167">XLOOKUP($C167,location,'COVID-19 Raw Data'!$D$3:$D$52,"No Data")</f>
        <v>1299339</v>
      </c>
      <c r="E167" s="14">
        <f t="array" ref="E167">XLOOKUP($C167,location,'COVID-19 Raw Data'!$E$3:$E$52,"No Data")</f>
        <v>12714</v>
      </c>
      <c r="F167" s="14">
        <f t="array" ref="F167">XLOOKUP($C167,location,'COVID-19 Raw Data'!$J$3:$J$52,"No Data")</f>
        <v>6871547</v>
      </c>
      <c r="G167" s="14">
        <f t="array" ref="G167">XLOOKUP($C167,location,'COVID-19 Raw Data'!$O$3:$O$52,"No Data")</f>
        <v>14048.881</v>
      </c>
      <c r="H167" s="2"/>
    </row>
    <row r="168">
      <c r="A168" s="3" t="s">
        <v>378</v>
      </c>
      <c r="B168" s="3" t="s">
        <v>125</v>
      </c>
      <c r="C168" s="3" t="s">
        <v>379</v>
      </c>
      <c r="D168" s="14" t="str">
        <f t="array" ref="D168">XLOOKUP($C168,location,'COVID-19 Raw Data'!$D$3:$D$52,"No Data")</f>
        <v>No Data</v>
      </c>
      <c r="E168" s="14" t="str">
        <f t="array" ref="E168">XLOOKUP($C168,location,'COVID-19 Raw Data'!$E$3:$E$52,"No Data")</f>
        <v>No Data</v>
      </c>
      <c r="F168" s="14" t="str">
        <f t="array" ref="F168">XLOOKUP($C168,location,'COVID-19 Raw Data'!$J$3:$J$52,"No Data")</f>
        <v>No Data</v>
      </c>
      <c r="G168" s="14" t="str">
        <f t="array" ref="G168">XLOOKUP($C168,location,'COVID-19 Raw Data'!$O$3:$O$52,"No Data")</f>
        <v>No Data</v>
      </c>
      <c r="H168" s="2"/>
    </row>
    <row r="169">
      <c r="A169" s="3" t="s">
        <v>380</v>
      </c>
      <c r="B169" s="3" t="s">
        <v>125</v>
      </c>
      <c r="C169" s="3" t="s">
        <v>381</v>
      </c>
      <c r="D169" s="14" t="str">
        <f t="array" ref="D169">XLOOKUP($C169,location,'COVID-19 Raw Data'!$D$3:$D$52,"No Data")</f>
        <v>No Data</v>
      </c>
      <c r="E169" s="14" t="str">
        <f t="array" ref="E169">XLOOKUP($C169,location,'COVID-19 Raw Data'!$E$3:$E$52,"No Data")</f>
        <v>No Data</v>
      </c>
      <c r="F169" s="14" t="str">
        <f t="array" ref="F169">XLOOKUP($C169,location,'COVID-19 Raw Data'!$J$3:$J$52,"No Data")</f>
        <v>No Data</v>
      </c>
      <c r="G169" s="14" t="str">
        <f t="array" ref="G169">XLOOKUP($C169,location,'COVID-19 Raw Data'!$O$3:$O$52,"No Data")</f>
        <v>No Data</v>
      </c>
      <c r="H169" s="2"/>
    </row>
    <row r="170">
      <c r="A170" s="3" t="s">
        <v>382</v>
      </c>
      <c r="B170" s="3" t="s">
        <v>122</v>
      </c>
      <c r="C170" s="3" t="s">
        <v>383</v>
      </c>
      <c r="D170" s="14" t="str">
        <f t="array" ref="D170">XLOOKUP($C170,location,'COVID-19 Raw Data'!$D$3:$D$52,"No Data")</f>
        <v>No Data</v>
      </c>
      <c r="E170" s="14" t="str">
        <f t="array" ref="E170">XLOOKUP($C170,location,'COVID-19 Raw Data'!$E$3:$E$52,"No Data")</f>
        <v>No Data</v>
      </c>
      <c r="F170" s="14" t="str">
        <f t="array" ref="F170">XLOOKUP($C170,location,'COVID-19 Raw Data'!$J$3:$J$52,"No Data")</f>
        <v>No Data</v>
      </c>
      <c r="G170" s="14" t="str">
        <f t="array" ref="G170">XLOOKUP($C170,location,'COVID-19 Raw Data'!$O$3:$O$52,"No Data")</f>
        <v>No Data</v>
      </c>
      <c r="H170" s="2"/>
    </row>
    <row r="171">
      <c r="A171" s="3" t="s">
        <v>384</v>
      </c>
      <c r="B171" s="3" t="s">
        <v>130</v>
      </c>
      <c r="C171" s="3" t="s">
        <v>385</v>
      </c>
      <c r="D171" s="14" t="str">
        <f t="array" ref="D171">XLOOKUP($C171,location,'COVID-19 Raw Data'!$D$3:$D$52,"No Data")</f>
        <v>No Data</v>
      </c>
      <c r="E171" s="14" t="str">
        <f t="array" ref="E171">XLOOKUP($C171,location,'COVID-19 Raw Data'!$E$3:$E$52,"No Data")</f>
        <v>No Data</v>
      </c>
      <c r="F171" s="14" t="str">
        <f t="array" ref="F171">XLOOKUP($C171,location,'COVID-19 Raw Data'!$J$3:$J$52,"No Data")</f>
        <v>No Data</v>
      </c>
      <c r="G171" s="14" t="str">
        <f t="array" ref="G171">XLOOKUP($C171,location,'COVID-19 Raw Data'!$O$3:$O$52,"No Data")</f>
        <v>No Data</v>
      </c>
      <c r="H171" s="2"/>
    </row>
    <row r="172">
      <c r="A172" s="3" t="s">
        <v>111</v>
      </c>
      <c r="B172" s="3" t="s">
        <v>23</v>
      </c>
      <c r="C172" s="3" t="s">
        <v>112</v>
      </c>
      <c r="D172" s="14">
        <f t="array" ref="D172">XLOOKUP($C172,location,'COVID-19 Raw Data'!$D$3:$D$52,"No Data")</f>
        <v>1371082</v>
      </c>
      <c r="E172" s="14">
        <f t="array" ref="E172">XLOOKUP($C172,location,'COVID-19 Raw Data'!$E$3:$E$52,"No Data")</f>
        <v>16635</v>
      </c>
      <c r="F172" s="14">
        <f t="array" ref="F172">XLOOKUP($C172,location,'COVID-19 Raw Data'!$J$3:$J$52,"No Data")</f>
        <v>5449270</v>
      </c>
      <c r="G172" s="14">
        <f t="array" ref="G172">XLOOKUP($C172,location,'COVID-19 Raw Data'!$O$3:$O$52,"No Data")</f>
        <v>30155.152</v>
      </c>
      <c r="H172" s="2"/>
    </row>
    <row r="173">
      <c r="A173" s="3" t="s">
        <v>113</v>
      </c>
      <c r="B173" s="3" t="s">
        <v>23</v>
      </c>
      <c r="C173" s="3" t="s">
        <v>114</v>
      </c>
      <c r="D173" s="14">
        <f t="array" ref="D173">XLOOKUP($C173,location,'COVID-19 Raw Data'!$D$3:$D$52,"No Data")</f>
        <v>464048</v>
      </c>
      <c r="E173" s="14">
        <f t="array" ref="E173">XLOOKUP($C173,location,'COVID-19 Raw Data'!$E$3:$E$52,"No Data")</f>
        <v>5589</v>
      </c>
      <c r="F173" s="14">
        <f t="array" ref="F173">XLOOKUP($C173,location,'COVID-19 Raw Data'!$J$3:$J$52,"No Data")</f>
        <v>2078723</v>
      </c>
      <c r="G173" s="14">
        <f t="array" ref="G173">XLOOKUP($C173,location,'COVID-19 Raw Data'!$O$3:$O$52,"No Data")</f>
        <v>31400.84</v>
      </c>
      <c r="H173" s="2"/>
    </row>
    <row r="174">
      <c r="A174" s="3" t="s">
        <v>386</v>
      </c>
      <c r="B174" s="3" t="s">
        <v>125</v>
      </c>
      <c r="C174" s="3" t="s">
        <v>387</v>
      </c>
      <c r="D174" s="14" t="str">
        <f t="array" ref="D174">XLOOKUP($C174,location,'COVID-19 Raw Data'!$D$3:$D$52,"No Data")</f>
        <v>No Data</v>
      </c>
      <c r="E174" s="14" t="str">
        <f t="array" ref="E174">XLOOKUP($C174,location,'COVID-19 Raw Data'!$E$3:$E$52,"No Data")</f>
        <v>No Data</v>
      </c>
      <c r="F174" s="14" t="str">
        <f t="array" ref="F174">XLOOKUP($C174,location,'COVID-19 Raw Data'!$J$3:$J$52,"No Data")</f>
        <v>No Data</v>
      </c>
      <c r="G174" s="14" t="str">
        <f t="array" ref="G174">XLOOKUP($C174,location,'COVID-19 Raw Data'!$O$3:$O$52,"No Data")</f>
        <v>No Data</v>
      </c>
      <c r="H174" s="2"/>
    </row>
    <row r="175">
      <c r="A175" s="3" t="s">
        <v>388</v>
      </c>
      <c r="B175" s="3" t="s">
        <v>125</v>
      </c>
      <c r="C175" s="3" t="s">
        <v>389</v>
      </c>
      <c r="D175" s="14" t="str">
        <f t="array" ref="D175">XLOOKUP($C175,location,'COVID-19 Raw Data'!$D$3:$D$52,"No Data")</f>
        <v>No Data</v>
      </c>
      <c r="E175" s="14" t="str">
        <f t="array" ref="E175">XLOOKUP($C175,location,'COVID-19 Raw Data'!$E$3:$E$52,"No Data")</f>
        <v>No Data</v>
      </c>
      <c r="F175" s="14" t="str">
        <f t="array" ref="F175">XLOOKUP($C175,location,'COVID-19 Raw Data'!$J$3:$J$52,"No Data")</f>
        <v>No Data</v>
      </c>
      <c r="G175" s="14" t="str">
        <f t="array" ref="G175">XLOOKUP($C175,location,'COVID-19 Raw Data'!$O$3:$O$52,"No Data")</f>
        <v>No Data</v>
      </c>
      <c r="H175" s="2"/>
    </row>
    <row r="176">
      <c r="A176" s="3" t="s">
        <v>390</v>
      </c>
      <c r="B176" s="3" t="s">
        <v>122</v>
      </c>
      <c r="C176" s="3" t="s">
        <v>391</v>
      </c>
      <c r="D176" s="14" t="str">
        <f t="array" ref="D176">XLOOKUP($C176,location,'COVID-19 Raw Data'!$D$3:$D$52,"No Data")</f>
        <v>No Data</v>
      </c>
      <c r="E176" s="14" t="str">
        <f t="array" ref="E176">XLOOKUP($C176,location,'COVID-19 Raw Data'!$E$3:$E$52,"No Data")</f>
        <v>No Data</v>
      </c>
      <c r="F176" s="14" t="str">
        <f t="array" ref="F176">XLOOKUP($C176,location,'COVID-19 Raw Data'!$J$3:$J$52,"No Data")</f>
        <v>No Data</v>
      </c>
      <c r="G176" s="14" t="str">
        <f t="array" ref="G176">XLOOKUP($C176,location,'COVID-19 Raw Data'!$O$3:$O$52,"No Data")</f>
        <v>No Data</v>
      </c>
      <c r="H176" s="2"/>
    </row>
    <row r="177">
      <c r="A177" s="3" t="s">
        <v>392</v>
      </c>
      <c r="B177" s="3" t="s">
        <v>125</v>
      </c>
      <c r="C177" s="3" t="s">
        <v>393</v>
      </c>
      <c r="D177" s="14" t="str">
        <f t="array" ref="D177">XLOOKUP($C177,location,'COVID-19 Raw Data'!$D$3:$D$52,"No Data")</f>
        <v>No Data</v>
      </c>
      <c r="E177" s="14" t="str">
        <f t="array" ref="E177">XLOOKUP($C177,location,'COVID-19 Raw Data'!$E$3:$E$52,"No Data")</f>
        <v>No Data</v>
      </c>
      <c r="F177" s="14" t="str">
        <f t="array" ref="F177">XLOOKUP($C177,location,'COVID-19 Raw Data'!$J$3:$J$52,"No Data")</f>
        <v>No Data</v>
      </c>
      <c r="G177" s="14" t="str">
        <f t="array" ref="G177">XLOOKUP($C177,location,'COVID-19 Raw Data'!$O$3:$O$52,"No Data")</f>
        <v>No Data</v>
      </c>
      <c r="H177" s="2"/>
    </row>
    <row r="178">
      <c r="A178" s="3" t="s">
        <v>45</v>
      </c>
      <c r="B178" s="3" t="s">
        <v>23</v>
      </c>
      <c r="C178" s="3" t="s">
        <v>46</v>
      </c>
      <c r="D178" s="14">
        <f t="array" ref="D178">XLOOKUP($C178,location,'COVID-19 Raw Data'!$D$3:$D$52,"No Data")</f>
        <v>6294745</v>
      </c>
      <c r="E178" s="14">
        <f t="array" ref="E178">XLOOKUP($C178,location,'COVID-19 Raw Data'!$E$3:$E$52,"No Data")</f>
        <v>89405</v>
      </c>
      <c r="F178" s="14">
        <f t="array" ref="F178">XLOOKUP($C178,location,'COVID-19 Raw Data'!$J$3:$J$52,"No Data")</f>
        <v>46745211</v>
      </c>
      <c r="G178" s="14">
        <f t="array" ref="G178">XLOOKUP($C178,location,'COVID-19 Raw Data'!$O$3:$O$52,"No Data")</f>
        <v>34272.36</v>
      </c>
      <c r="H178" s="2"/>
    </row>
    <row r="179">
      <c r="A179" s="3" t="s">
        <v>394</v>
      </c>
      <c r="B179" s="3" t="s">
        <v>122</v>
      </c>
      <c r="C179" s="3" t="s">
        <v>395</v>
      </c>
      <c r="D179" s="14" t="str">
        <f t="array" ref="D179">XLOOKUP($C179,location,'COVID-19 Raw Data'!$D$3:$D$52,"No Data")</f>
        <v>No Data</v>
      </c>
      <c r="E179" s="14" t="str">
        <f t="array" ref="E179">XLOOKUP($C179,location,'COVID-19 Raw Data'!$E$3:$E$52,"No Data")</f>
        <v>No Data</v>
      </c>
      <c r="F179" s="14" t="str">
        <f t="array" ref="F179">XLOOKUP($C179,location,'COVID-19 Raw Data'!$J$3:$J$52,"No Data")</f>
        <v>No Data</v>
      </c>
      <c r="G179" s="14" t="str">
        <f t="array" ref="G179">XLOOKUP($C179,location,'COVID-19 Raw Data'!$O$3:$O$52,"No Data")</f>
        <v>No Data</v>
      </c>
      <c r="H179" s="2"/>
    </row>
    <row r="180">
      <c r="A180" s="3" t="s">
        <v>396</v>
      </c>
      <c r="B180" s="3" t="s">
        <v>125</v>
      </c>
      <c r="C180" s="3" t="s">
        <v>397</v>
      </c>
      <c r="D180" s="14" t="str">
        <f t="array" ref="D180">XLOOKUP($C180,location,'COVID-19 Raw Data'!$D$3:$D$52,"No Data")</f>
        <v>No Data</v>
      </c>
      <c r="E180" s="14" t="str">
        <f t="array" ref="E180">XLOOKUP($C180,location,'COVID-19 Raw Data'!$E$3:$E$52,"No Data")</f>
        <v>No Data</v>
      </c>
      <c r="F180" s="14" t="str">
        <f t="array" ref="F180">XLOOKUP($C180,location,'COVID-19 Raw Data'!$J$3:$J$52,"No Data")</f>
        <v>No Data</v>
      </c>
      <c r="G180" s="14" t="str">
        <f t="array" ref="G180">XLOOKUP($C180,location,'COVID-19 Raw Data'!$O$3:$O$52,"No Data")</f>
        <v>No Data</v>
      </c>
      <c r="H180" s="2"/>
    </row>
    <row r="181">
      <c r="A181" s="3" t="s">
        <v>398</v>
      </c>
      <c r="B181" s="3" t="s">
        <v>135</v>
      </c>
      <c r="C181" s="3" t="s">
        <v>399</v>
      </c>
      <c r="D181" s="14" t="str">
        <f t="array" ref="D181">XLOOKUP($C181,location,'COVID-19 Raw Data'!$D$3:$D$52,"No Data")</f>
        <v>No Data</v>
      </c>
      <c r="E181" s="14" t="str">
        <f t="array" ref="E181">XLOOKUP($C181,location,'COVID-19 Raw Data'!$E$3:$E$52,"No Data")</f>
        <v>No Data</v>
      </c>
      <c r="F181" s="14" t="str">
        <f t="array" ref="F181">XLOOKUP($C181,location,'COVID-19 Raw Data'!$J$3:$J$52,"No Data")</f>
        <v>No Data</v>
      </c>
      <c r="G181" s="14" t="str">
        <f t="array" ref="G181">XLOOKUP($C181,location,'COVID-19 Raw Data'!$O$3:$O$52,"No Data")</f>
        <v>No Data</v>
      </c>
      <c r="H181" s="2"/>
    </row>
    <row r="182">
      <c r="A182" s="3" t="s">
        <v>400</v>
      </c>
      <c r="B182" s="3" t="s">
        <v>125</v>
      </c>
      <c r="C182" s="3" t="s">
        <v>401</v>
      </c>
      <c r="D182" s="14" t="str">
        <f t="array" ref="D182">XLOOKUP($C182,location,'COVID-19 Raw Data'!$D$3:$D$52,"No Data")</f>
        <v>No Data</v>
      </c>
      <c r="E182" s="14" t="str">
        <f t="array" ref="E182">XLOOKUP($C182,location,'COVID-19 Raw Data'!$E$3:$E$52,"No Data")</f>
        <v>No Data</v>
      </c>
      <c r="F182" s="14" t="str">
        <f t="array" ref="F182">XLOOKUP($C182,location,'COVID-19 Raw Data'!$J$3:$J$52,"No Data")</f>
        <v>No Data</v>
      </c>
      <c r="G182" s="14" t="str">
        <f t="array" ref="G182">XLOOKUP($C182,location,'COVID-19 Raw Data'!$O$3:$O$52,"No Data")</f>
        <v>No Data</v>
      </c>
      <c r="H182" s="2"/>
    </row>
    <row r="183">
      <c r="A183" s="3" t="s">
        <v>115</v>
      </c>
      <c r="B183" s="3" t="s">
        <v>23</v>
      </c>
      <c r="C183" s="3" t="s">
        <v>116</v>
      </c>
      <c r="D183" s="14">
        <f t="array" ref="D183">XLOOKUP($C183,location,'COVID-19 Raw Data'!$D$3:$D$52,"No Data")</f>
        <v>1314784</v>
      </c>
      <c r="E183" s="14">
        <f t="array" ref="E183">XLOOKUP($C183,location,'COVID-19 Raw Data'!$E$3:$E$52,"No Data")</f>
        <v>15310</v>
      </c>
      <c r="F183" s="14">
        <f t="array" ref="F183">XLOOKUP($C183,location,'COVID-19 Raw Data'!$J$3:$J$52,"No Data")</f>
        <v>10160159</v>
      </c>
      <c r="G183" s="14">
        <f t="array" ref="G183">XLOOKUP($C183,location,'COVID-19 Raw Data'!$O$3:$O$52,"No Data")</f>
        <v>46949.283</v>
      </c>
      <c r="H183" s="2"/>
    </row>
    <row r="184">
      <c r="A184" s="3" t="s">
        <v>37</v>
      </c>
      <c r="B184" s="3" t="s">
        <v>23</v>
      </c>
      <c r="C184" s="3" t="s">
        <v>38</v>
      </c>
      <c r="D184" s="14">
        <f t="array" ref="D184">XLOOKUP($C184,location,'COVID-19 Raw Data'!$D$3:$D$52,"No Data")</f>
        <v>1332615</v>
      </c>
      <c r="E184" s="14">
        <f t="array" ref="E184">XLOOKUP($C184,location,'COVID-19 Raw Data'!$E$3:$E$52,"No Data")</f>
        <v>12217</v>
      </c>
      <c r="F184" s="14">
        <f t="array" ref="F184">XLOOKUP($C184,location,'COVID-19 Raw Data'!$J$3:$J$52,"No Data")</f>
        <v>8715494</v>
      </c>
      <c r="G184" s="14">
        <f t="array" ref="G184">XLOOKUP($C184,location,'COVID-19 Raw Data'!$O$3:$O$52,"No Data")</f>
        <v>57410.166</v>
      </c>
      <c r="H184" s="2"/>
    </row>
    <row r="185">
      <c r="A185" s="3" t="s">
        <v>402</v>
      </c>
      <c r="B185" s="3" t="s">
        <v>122</v>
      </c>
      <c r="C185" s="3" t="s">
        <v>403</v>
      </c>
      <c r="D185" s="14" t="str">
        <f t="array" ref="D185">XLOOKUP($C185,location,'COVID-19 Raw Data'!$D$3:$D$52,"No Data")</f>
        <v>No Data</v>
      </c>
      <c r="E185" s="14" t="str">
        <f t="array" ref="E185">XLOOKUP($C185,location,'COVID-19 Raw Data'!$E$3:$E$52,"No Data")</f>
        <v>No Data</v>
      </c>
      <c r="F185" s="14" t="str">
        <f t="array" ref="F185">XLOOKUP($C185,location,'COVID-19 Raw Data'!$J$3:$J$52,"No Data")</f>
        <v>No Data</v>
      </c>
      <c r="G185" s="14" t="str">
        <f t="array" ref="G185">XLOOKUP($C185,location,'COVID-19 Raw Data'!$O$3:$O$52,"No Data")</f>
        <v>No Data</v>
      </c>
      <c r="H185" s="2"/>
    </row>
    <row r="186">
      <c r="A186" s="3" t="s">
        <v>404</v>
      </c>
      <c r="B186" s="3" t="s">
        <v>122</v>
      </c>
      <c r="C186" s="3" t="s">
        <v>405</v>
      </c>
      <c r="D186" s="14" t="str">
        <f t="array" ref="D186">XLOOKUP($C186,location,'COVID-19 Raw Data'!$D$3:$D$52,"No Data")</f>
        <v>No Data</v>
      </c>
      <c r="E186" s="14" t="str">
        <f t="array" ref="E186">XLOOKUP($C186,location,'COVID-19 Raw Data'!$E$3:$E$52,"No Data")</f>
        <v>No Data</v>
      </c>
      <c r="F186" s="14" t="str">
        <f t="array" ref="F186">XLOOKUP($C186,location,'COVID-19 Raw Data'!$J$3:$J$52,"No Data")</f>
        <v>No Data</v>
      </c>
      <c r="G186" s="14" t="str">
        <f t="array" ref="G186">XLOOKUP($C186,location,'COVID-19 Raw Data'!$O$3:$O$52,"No Data")</f>
        <v>No Data</v>
      </c>
      <c r="H186" s="2"/>
    </row>
    <row r="187">
      <c r="A187" s="3" t="s">
        <v>406</v>
      </c>
      <c r="B187" s="3" t="s">
        <v>122</v>
      </c>
      <c r="C187" s="3" t="s">
        <v>407</v>
      </c>
      <c r="D187" s="14" t="str">
        <f t="array" ref="D187">XLOOKUP($C187,location,'COVID-19 Raw Data'!$D$3:$D$52,"No Data")</f>
        <v>No Data</v>
      </c>
      <c r="E187" s="14" t="str">
        <f t="array" ref="E187">XLOOKUP($C187,location,'COVID-19 Raw Data'!$E$3:$E$52,"No Data")</f>
        <v>No Data</v>
      </c>
      <c r="F187" s="14" t="str">
        <f t="array" ref="F187">XLOOKUP($C187,location,'COVID-19 Raw Data'!$J$3:$J$52,"No Data")</f>
        <v>No Data</v>
      </c>
      <c r="G187" s="14" t="str">
        <f t="array" ref="G187">XLOOKUP($C187,location,'COVID-19 Raw Data'!$O$3:$O$52,"No Data")</f>
        <v>No Data</v>
      </c>
      <c r="H187" s="2"/>
    </row>
    <row r="188">
      <c r="A188" s="3" t="s">
        <v>408</v>
      </c>
      <c r="B188" s="3" t="s">
        <v>125</v>
      </c>
      <c r="C188" s="3" t="s">
        <v>409</v>
      </c>
      <c r="D188" s="14" t="str">
        <f t="array" ref="D188">XLOOKUP($C188,location,'COVID-19 Raw Data'!$D$3:$D$52,"No Data")</f>
        <v>No Data</v>
      </c>
      <c r="E188" s="14" t="str">
        <f t="array" ref="E188">XLOOKUP($C188,location,'COVID-19 Raw Data'!$E$3:$E$52,"No Data")</f>
        <v>No Data</v>
      </c>
      <c r="F188" s="14" t="str">
        <f t="array" ref="F188">XLOOKUP($C188,location,'COVID-19 Raw Data'!$J$3:$J$52,"No Data")</f>
        <v>No Data</v>
      </c>
      <c r="G188" s="14" t="str">
        <f t="array" ref="G188">XLOOKUP($C188,location,'COVID-19 Raw Data'!$O$3:$O$52,"No Data")</f>
        <v>No Data</v>
      </c>
      <c r="H188" s="2"/>
    </row>
    <row r="189">
      <c r="A189" s="3" t="s">
        <v>410</v>
      </c>
      <c r="B189" s="3" t="s">
        <v>122</v>
      </c>
      <c r="C189" s="3" t="s">
        <v>411</v>
      </c>
      <c r="D189" s="14" t="str">
        <f t="array" ref="D189">XLOOKUP($C189,location,'COVID-19 Raw Data'!$D$3:$D$52,"No Data")</f>
        <v>No Data</v>
      </c>
      <c r="E189" s="14" t="str">
        <f t="array" ref="E189">XLOOKUP($C189,location,'COVID-19 Raw Data'!$E$3:$E$52,"No Data")</f>
        <v>No Data</v>
      </c>
      <c r="F189" s="14" t="str">
        <f t="array" ref="F189">XLOOKUP($C189,location,'COVID-19 Raw Data'!$J$3:$J$52,"No Data")</f>
        <v>No Data</v>
      </c>
      <c r="G189" s="14" t="str">
        <f t="array" ref="G189">XLOOKUP($C189,location,'COVID-19 Raw Data'!$O$3:$O$52,"No Data")</f>
        <v>No Data</v>
      </c>
      <c r="H189" s="2"/>
    </row>
    <row r="190">
      <c r="A190" s="3" t="s">
        <v>412</v>
      </c>
      <c r="B190" s="3" t="s">
        <v>122</v>
      </c>
      <c r="C190" s="3" t="s">
        <v>413</v>
      </c>
      <c r="D190" s="14" t="str">
        <f t="array" ref="D190">XLOOKUP($C190,location,'COVID-19 Raw Data'!$D$3:$D$52,"No Data")</f>
        <v>No Data</v>
      </c>
      <c r="E190" s="14" t="str">
        <f t="array" ref="E190">XLOOKUP($C190,location,'COVID-19 Raw Data'!$E$3:$E$52,"No Data")</f>
        <v>No Data</v>
      </c>
      <c r="F190" s="14" t="str">
        <f t="array" ref="F190">XLOOKUP($C190,location,'COVID-19 Raw Data'!$J$3:$J$52,"No Data")</f>
        <v>No Data</v>
      </c>
      <c r="G190" s="14" t="str">
        <f t="array" ref="G190">XLOOKUP($C190,location,'COVID-19 Raw Data'!$O$3:$O$52,"No Data")</f>
        <v>No Data</v>
      </c>
      <c r="H190" s="2"/>
    </row>
    <row r="191">
      <c r="A191" s="3" t="s">
        <v>414</v>
      </c>
      <c r="B191" s="3" t="s">
        <v>125</v>
      </c>
      <c r="C191" s="3" t="s">
        <v>415</v>
      </c>
      <c r="D191" s="14" t="str">
        <f t="array" ref="D191">XLOOKUP($C191,location,'COVID-19 Raw Data'!$D$3:$D$52,"No Data")</f>
        <v>No Data</v>
      </c>
      <c r="E191" s="14" t="str">
        <f t="array" ref="E191">XLOOKUP($C191,location,'COVID-19 Raw Data'!$E$3:$E$52,"No Data")</f>
        <v>No Data</v>
      </c>
      <c r="F191" s="14" t="str">
        <f t="array" ref="F191">XLOOKUP($C191,location,'COVID-19 Raw Data'!$J$3:$J$52,"No Data")</f>
        <v>No Data</v>
      </c>
      <c r="G191" s="14" t="str">
        <f t="array" ref="G191">XLOOKUP($C191,location,'COVID-19 Raw Data'!$O$3:$O$52,"No Data")</f>
        <v>No Data</v>
      </c>
      <c r="H191" s="2"/>
    </row>
    <row r="192">
      <c r="A192" s="3" t="s">
        <v>416</v>
      </c>
      <c r="B192" s="3" t="s">
        <v>130</v>
      </c>
      <c r="C192" s="3" t="s">
        <v>417</v>
      </c>
      <c r="D192" s="14" t="str">
        <f t="array" ref="D192">XLOOKUP($C192,location,'COVID-19 Raw Data'!$D$3:$D$52,"No Data")</f>
        <v>No Data</v>
      </c>
      <c r="E192" s="14" t="str">
        <f t="array" ref="E192">XLOOKUP($C192,location,'COVID-19 Raw Data'!$E$3:$E$52,"No Data")</f>
        <v>No Data</v>
      </c>
      <c r="F192" s="14" t="str">
        <f t="array" ref="F192">XLOOKUP($C192,location,'COVID-19 Raw Data'!$J$3:$J$52,"No Data")</f>
        <v>No Data</v>
      </c>
      <c r="G192" s="14" t="str">
        <f t="array" ref="G192">XLOOKUP($C192,location,'COVID-19 Raw Data'!$O$3:$O$52,"No Data")</f>
        <v>No Data</v>
      </c>
      <c r="H192" s="2"/>
    </row>
    <row r="193">
      <c r="A193" s="3" t="s">
        <v>418</v>
      </c>
      <c r="B193" s="3" t="s">
        <v>125</v>
      </c>
      <c r="C193" s="3" t="s">
        <v>419</v>
      </c>
      <c r="D193" s="14" t="str">
        <f t="array" ref="D193">XLOOKUP($C193,location,'COVID-19 Raw Data'!$D$3:$D$52,"No Data")</f>
        <v>No Data</v>
      </c>
      <c r="E193" s="14" t="str">
        <f t="array" ref="E193">XLOOKUP($C193,location,'COVID-19 Raw Data'!$E$3:$E$52,"No Data")</f>
        <v>No Data</v>
      </c>
      <c r="F193" s="14" t="str">
        <f t="array" ref="F193">XLOOKUP($C193,location,'COVID-19 Raw Data'!$J$3:$J$52,"No Data")</f>
        <v>No Data</v>
      </c>
      <c r="G193" s="14" t="str">
        <f t="array" ref="G193">XLOOKUP($C193,location,'COVID-19 Raw Data'!$O$3:$O$52,"No Data")</f>
        <v>No Data</v>
      </c>
      <c r="H193" s="2"/>
    </row>
    <row r="194">
      <c r="A194" s="3" t="s">
        <v>420</v>
      </c>
      <c r="B194" s="3" t="s">
        <v>122</v>
      </c>
      <c r="C194" s="3" t="s">
        <v>421</v>
      </c>
      <c r="D194" s="14" t="str">
        <f t="array" ref="D194">XLOOKUP($C194,location,'COVID-19 Raw Data'!$D$3:$D$52,"No Data")</f>
        <v>No Data</v>
      </c>
      <c r="E194" s="14" t="str">
        <f t="array" ref="E194">XLOOKUP($C194,location,'COVID-19 Raw Data'!$E$3:$E$52,"No Data")</f>
        <v>No Data</v>
      </c>
      <c r="F194" s="14" t="str">
        <f t="array" ref="F194">XLOOKUP($C194,location,'COVID-19 Raw Data'!$J$3:$J$52,"No Data")</f>
        <v>No Data</v>
      </c>
      <c r="G194" s="14" t="str">
        <f t="array" ref="G194">XLOOKUP($C194,location,'COVID-19 Raw Data'!$O$3:$O$52,"No Data")</f>
        <v>No Data</v>
      </c>
      <c r="H194" s="2"/>
    </row>
    <row r="195">
      <c r="A195" s="3" t="s">
        <v>422</v>
      </c>
      <c r="B195" s="3" t="s">
        <v>130</v>
      </c>
      <c r="C195" s="3" t="s">
        <v>423</v>
      </c>
      <c r="D195" s="14" t="str">
        <f t="array" ref="D195">XLOOKUP($C195,location,'COVID-19 Raw Data'!$D$3:$D$52,"No Data")</f>
        <v>No Data</v>
      </c>
      <c r="E195" s="14" t="str">
        <f t="array" ref="E195">XLOOKUP($C195,location,'COVID-19 Raw Data'!$E$3:$E$52,"No Data")</f>
        <v>No Data</v>
      </c>
      <c r="F195" s="14" t="str">
        <f t="array" ref="F195">XLOOKUP($C195,location,'COVID-19 Raw Data'!$J$3:$J$52,"No Data")</f>
        <v>No Data</v>
      </c>
      <c r="G195" s="14" t="str">
        <f t="array" ref="G195">XLOOKUP($C195,location,'COVID-19 Raw Data'!$O$3:$O$52,"No Data")</f>
        <v>No Data</v>
      </c>
      <c r="H195" s="2"/>
    </row>
    <row r="196">
      <c r="A196" s="3" t="s">
        <v>424</v>
      </c>
      <c r="B196" s="3" t="s">
        <v>125</v>
      </c>
      <c r="C196" s="3" t="s">
        <v>425</v>
      </c>
      <c r="D196" s="14" t="str">
        <f t="array" ref="D196">XLOOKUP($C196,location,'COVID-19 Raw Data'!$D$3:$D$52,"No Data")</f>
        <v>No Data</v>
      </c>
      <c r="E196" s="14" t="str">
        <f t="array" ref="E196">XLOOKUP($C196,location,'COVID-19 Raw Data'!$E$3:$E$52,"No Data")</f>
        <v>No Data</v>
      </c>
      <c r="F196" s="14" t="str">
        <f t="array" ref="F196">XLOOKUP($C196,location,'COVID-19 Raw Data'!$J$3:$J$52,"No Data")</f>
        <v>No Data</v>
      </c>
      <c r="G196" s="14" t="str">
        <f t="array" ref="G196">XLOOKUP($C196,location,'COVID-19 Raw Data'!$O$3:$O$52,"No Data")</f>
        <v>No Data</v>
      </c>
      <c r="H196" s="2"/>
    </row>
    <row r="197">
      <c r="A197" s="3" t="s">
        <v>117</v>
      </c>
      <c r="B197" s="3" t="s">
        <v>23</v>
      </c>
      <c r="C197" s="3" t="s">
        <v>118</v>
      </c>
      <c r="D197" s="14">
        <f t="array" ref="D197">XLOOKUP($C197,location,'COVID-19 Raw Data'!$D$3:$D$52,"No Data")</f>
        <v>3847226</v>
      </c>
      <c r="E197" s="14">
        <f t="array" ref="E197">XLOOKUP($C197,location,'COVID-19 Raw Data'!$E$3:$E$52,"No Data")</f>
        <v>102088</v>
      </c>
      <c r="F197" s="14">
        <f t="array" ref="F197">XLOOKUP($C197,location,'COVID-19 Raw Data'!$J$3:$J$52,"No Data")</f>
        <v>43466822</v>
      </c>
      <c r="G197" s="14">
        <f t="array" ref="G197">XLOOKUP($C197,location,'COVID-19 Raw Data'!$O$3:$O$52,"No Data")</f>
        <v>7894.393</v>
      </c>
      <c r="H197" s="2"/>
    </row>
    <row r="198">
      <c r="A198" s="3" t="s">
        <v>426</v>
      </c>
      <c r="B198" s="3" t="s">
        <v>122</v>
      </c>
      <c r="C198" s="3" t="s">
        <v>427</v>
      </c>
      <c r="D198" s="14" t="str">
        <f t="array" ref="D198">XLOOKUP($C198,location,'COVID-19 Raw Data'!$D$3:$D$52,"No Data")</f>
        <v>No Data</v>
      </c>
      <c r="E198" s="14" t="str">
        <f t="array" ref="E198">XLOOKUP($C198,location,'COVID-19 Raw Data'!$E$3:$E$52,"No Data")</f>
        <v>No Data</v>
      </c>
      <c r="F198" s="14" t="str">
        <f t="array" ref="F198">XLOOKUP($C198,location,'COVID-19 Raw Data'!$J$3:$J$52,"No Data")</f>
        <v>No Data</v>
      </c>
      <c r="G198" s="14" t="str">
        <f t="array" ref="G198">XLOOKUP($C198,location,'COVID-19 Raw Data'!$O$3:$O$52,"No Data")</f>
        <v>No Data</v>
      </c>
      <c r="H198" s="2"/>
    </row>
    <row r="199">
      <c r="A199" s="3" t="s">
        <v>55</v>
      </c>
      <c r="B199" s="3" t="s">
        <v>23</v>
      </c>
      <c r="C199" s="3" t="s">
        <v>56</v>
      </c>
      <c r="D199" s="14">
        <f t="array" ref="D199">XLOOKUP($C199,location,'COVID-19 Raw Data'!$D$3:$D$52,"No Data")</f>
        <v>12965393</v>
      </c>
      <c r="E199" s="14">
        <f t="array" ref="E199">XLOOKUP($C199,location,'COVID-19 Raw Data'!$E$3:$E$52,"No Data")</f>
        <v>148737</v>
      </c>
      <c r="F199" s="14">
        <f t="array" ref="F199">XLOOKUP($C199,location,'COVID-19 Raw Data'!$J$3:$J$52,"No Data")</f>
        <v>68207114</v>
      </c>
      <c r="G199" s="14">
        <f t="array" ref="G199">XLOOKUP($C199,location,'COVID-19 Raw Data'!$O$3:$O$52,"No Data")</f>
        <v>39753.244</v>
      </c>
      <c r="H199" s="2"/>
    </row>
    <row r="200">
      <c r="A200" s="3" t="s">
        <v>428</v>
      </c>
      <c r="B200" s="3" t="s">
        <v>130</v>
      </c>
      <c r="C200" s="3" t="s">
        <v>429</v>
      </c>
      <c r="D200" s="14" t="str">
        <f t="array" ref="D200">XLOOKUP($C200,location,'COVID-19 Raw Data'!$D$3:$D$52,"No Data")</f>
        <v>No Data</v>
      </c>
      <c r="E200" s="14" t="str">
        <f t="array" ref="E200">XLOOKUP($C200,location,'COVID-19 Raw Data'!$E$3:$E$52,"No Data")</f>
        <v>No Data</v>
      </c>
      <c r="F200" s="14" t="str">
        <f t="array" ref="F200">XLOOKUP($C200,location,'COVID-19 Raw Data'!$J$3:$J$52,"No Data")</f>
        <v>No Data</v>
      </c>
      <c r="G200" s="14" t="str">
        <f t="array" ref="G200">XLOOKUP($C200,location,'COVID-19 Raw Data'!$O$3:$O$52,"No Data")</f>
        <v>No Data</v>
      </c>
      <c r="H200" s="2"/>
    </row>
    <row r="201">
      <c r="A201" s="3" t="s">
        <v>430</v>
      </c>
      <c r="B201" s="3" t="s">
        <v>130</v>
      </c>
      <c r="C201" s="3" t="s">
        <v>431</v>
      </c>
      <c r="D201" s="14" t="str">
        <f t="array" ref="D201">XLOOKUP($C201,location,'COVID-19 Raw Data'!$D$3:$D$52,"No Data")</f>
        <v>No Data</v>
      </c>
      <c r="E201" s="14" t="str">
        <f t="array" ref="E201">XLOOKUP($C201,location,'COVID-19 Raw Data'!$E$3:$E$52,"No Data")</f>
        <v>No Data</v>
      </c>
      <c r="F201" s="14" t="str">
        <f t="array" ref="F201">XLOOKUP($C201,location,'COVID-19 Raw Data'!$J$3:$J$52,"No Data")</f>
        <v>No Data</v>
      </c>
      <c r="G201" s="14" t="str">
        <f t="array" ref="G201">XLOOKUP($C201,location,'COVID-19 Raw Data'!$O$3:$O$52,"No Data")</f>
        <v>No Data</v>
      </c>
      <c r="H201" s="2"/>
    </row>
    <row r="202">
      <c r="A202" s="3" t="s">
        <v>432</v>
      </c>
      <c r="B202" s="3" t="s">
        <v>135</v>
      </c>
      <c r="C202" s="3" t="s">
        <v>433</v>
      </c>
      <c r="D202" s="14" t="str">
        <f t="array" ref="D202">XLOOKUP($C202,location,'COVID-19 Raw Data'!$D$3:$D$52,"No Data")</f>
        <v>No Data</v>
      </c>
      <c r="E202" s="14" t="str">
        <f t="array" ref="E202">XLOOKUP($C202,location,'COVID-19 Raw Data'!$E$3:$E$52,"No Data")</f>
        <v>No Data</v>
      </c>
      <c r="F202" s="14" t="str">
        <f t="array" ref="F202">XLOOKUP($C202,location,'COVID-19 Raw Data'!$J$3:$J$52,"No Data")</f>
        <v>No Data</v>
      </c>
      <c r="G202" s="14" t="str">
        <f t="array" ref="G202">XLOOKUP($C202,location,'COVID-19 Raw Data'!$O$3:$O$52,"No Data")</f>
        <v>No Data</v>
      </c>
      <c r="H202" s="2"/>
    </row>
    <row r="203">
      <c r="A203" s="3" t="s">
        <v>434</v>
      </c>
      <c r="B203" s="3" t="s">
        <v>122</v>
      </c>
      <c r="C203" s="3" t="s">
        <v>435</v>
      </c>
      <c r="D203" s="14" t="str">
        <f t="array" ref="D203">XLOOKUP($C203,location,'COVID-19 Raw Data'!$D$3:$D$52,"No Data")</f>
        <v>No Data</v>
      </c>
      <c r="E203" s="14" t="str">
        <f t="array" ref="E203">XLOOKUP($C203,location,'COVID-19 Raw Data'!$E$3:$E$52,"No Data")</f>
        <v>No Data</v>
      </c>
      <c r="F203" s="14" t="str">
        <f t="array" ref="F203">XLOOKUP($C203,location,'COVID-19 Raw Data'!$J$3:$J$52,"No Data")</f>
        <v>No Data</v>
      </c>
      <c r="G203" s="14" t="str">
        <f t="array" ref="G203">XLOOKUP($C203,location,'COVID-19 Raw Data'!$O$3:$O$52,"No Data")</f>
        <v>No Data</v>
      </c>
      <c r="H203" s="2"/>
    </row>
    <row r="204">
      <c r="A204" s="3" t="s">
        <v>119</v>
      </c>
      <c r="B204" s="3" t="s">
        <v>23</v>
      </c>
      <c r="C204" s="3" t="s">
        <v>120</v>
      </c>
      <c r="D204" s="14">
        <f t="array" ref="D204">XLOOKUP($C204,location,'COVID-19 Raw Data'!$D$3:$D$52,"No Data")</f>
        <v>27</v>
      </c>
      <c r="E204" s="14" t="str">
        <f t="array" ref="E204">XLOOKUP($C204,location,'COVID-19 Raw Data'!$E$3:$E$52,"No Data")</f>
        <v/>
      </c>
      <c r="F204" s="14">
        <f t="array" ref="F204">XLOOKUP($C204,location,'COVID-19 Raw Data'!$J$3:$J$52,"No Data")</f>
        <v>812</v>
      </c>
      <c r="G204" s="14" t="str">
        <f t="array" ref="G204">XLOOKUP($C204,location,'COVID-19 Raw Data'!$O$3:$O$52,"No Data")</f>
        <v/>
      </c>
      <c r="H204" s="2"/>
    </row>
    <row r="205">
      <c r="A205" s="3" t="s">
        <v>436</v>
      </c>
      <c r="B205" s="3" t="s">
        <v>135</v>
      </c>
      <c r="C205" s="3" t="s">
        <v>437</v>
      </c>
      <c r="D205" s="14" t="str">
        <f t="array" ref="D205">XLOOKUP($C205,location,'COVID-19 Raw Data'!$D$3:$D$52,"No Data")</f>
        <v>No Data</v>
      </c>
      <c r="E205" s="14" t="str">
        <f t="array" ref="E205">XLOOKUP($C205,location,'COVID-19 Raw Data'!$E$3:$E$52,"No Data")</f>
        <v>No Data</v>
      </c>
      <c r="F205" s="14" t="str">
        <f t="array" ref="F205">XLOOKUP($C205,location,'COVID-19 Raw Data'!$J$3:$J$52,"No Data")</f>
        <v>No Data</v>
      </c>
      <c r="G205" s="14" t="str">
        <f t="array" ref="G205">XLOOKUP($C205,location,'COVID-19 Raw Data'!$O$3:$O$52,"No Data")</f>
        <v>No Data</v>
      </c>
      <c r="H205" s="2"/>
    </row>
    <row r="206">
      <c r="A206" s="3" t="s">
        <v>438</v>
      </c>
      <c r="B206" s="3" t="s">
        <v>122</v>
      </c>
      <c r="C206" s="3" t="s">
        <v>439</v>
      </c>
      <c r="D206" s="14" t="str">
        <f t="array" ref="D206">XLOOKUP($C206,location,'COVID-19 Raw Data'!$D$3:$D$52,"No Data")</f>
        <v>No Data</v>
      </c>
      <c r="E206" s="14" t="str">
        <f t="array" ref="E206">XLOOKUP($C206,location,'COVID-19 Raw Data'!$E$3:$E$52,"No Data")</f>
        <v>No Data</v>
      </c>
      <c r="F206" s="14" t="str">
        <f t="array" ref="F206">XLOOKUP($C206,location,'COVID-19 Raw Data'!$J$3:$J$52,"No Data")</f>
        <v>No Data</v>
      </c>
      <c r="G206" s="14" t="str">
        <f t="array" ref="G206">XLOOKUP($C206,location,'COVID-19 Raw Data'!$O$3:$O$52,"No Data")</f>
        <v>No Data</v>
      </c>
      <c r="H206" s="2"/>
    </row>
    <row r="207">
      <c r="A207" s="3" t="s">
        <v>440</v>
      </c>
      <c r="B207" s="3" t="s">
        <v>125</v>
      </c>
      <c r="C207" s="3" t="s">
        <v>441</v>
      </c>
      <c r="D207" s="14" t="str">
        <f t="array" ref="D207">XLOOKUP($C207,location,'COVID-19 Raw Data'!$D$3:$D$52,"No Data")</f>
        <v>No Data</v>
      </c>
      <c r="E207" s="14" t="str">
        <f t="array" ref="E207">XLOOKUP($C207,location,'COVID-19 Raw Data'!$E$3:$E$52,"No Data")</f>
        <v>No Data</v>
      </c>
      <c r="F207" s="14" t="str">
        <f t="array" ref="F207">XLOOKUP($C207,location,'COVID-19 Raw Data'!$J$3:$J$52,"No Data")</f>
        <v>No Data</v>
      </c>
      <c r="G207" s="14" t="str">
        <f t="array" ref="G207">XLOOKUP($C207,location,'COVID-19 Raw Data'!$O$3:$O$52,"No Data")</f>
        <v>No Data</v>
      </c>
      <c r="H207" s="2"/>
    </row>
    <row r="208">
      <c r="A208" s="3" t="s">
        <v>442</v>
      </c>
      <c r="B208" s="3" t="s">
        <v>122</v>
      </c>
      <c r="C208" s="3" t="s">
        <v>443</v>
      </c>
      <c r="D208" s="14" t="str">
        <f t="array" ref="D208">XLOOKUP($C208,location,'COVID-19 Raw Data'!$D$3:$D$52,"No Data")</f>
        <v>No Data</v>
      </c>
      <c r="E208" s="14" t="str">
        <f t="array" ref="E208">XLOOKUP($C208,location,'COVID-19 Raw Data'!$E$3:$E$52,"No Data")</f>
        <v>No Data</v>
      </c>
      <c r="F208" s="14" t="str">
        <f t="array" ref="F208">XLOOKUP($C208,location,'COVID-19 Raw Data'!$J$3:$J$52,"No Data")</f>
        <v>No Data</v>
      </c>
      <c r="G208" s="14" t="str">
        <f t="array" ref="G208">XLOOKUP($C208,location,'COVID-19 Raw Data'!$O$3:$O$52,"No Data")</f>
        <v>No Data</v>
      </c>
      <c r="H208" s="2"/>
    </row>
    <row r="209">
      <c r="A209" s="3" t="s">
        <v>444</v>
      </c>
      <c r="B209" s="3" t="s">
        <v>125</v>
      </c>
      <c r="C209" s="3" t="s">
        <v>445</v>
      </c>
      <c r="D209" s="14" t="str">
        <f t="array" ref="D209">XLOOKUP($C209,location,'COVID-19 Raw Data'!$D$3:$D$52,"No Data")</f>
        <v>No Data</v>
      </c>
      <c r="E209" s="14" t="str">
        <f t="array" ref="E209">XLOOKUP($C209,location,'COVID-19 Raw Data'!$E$3:$E$52,"No Data")</f>
        <v>No Data</v>
      </c>
      <c r="F209" s="14" t="str">
        <f t="array" ref="F209">XLOOKUP($C209,location,'COVID-19 Raw Data'!$J$3:$J$52,"No Data")</f>
        <v>No Data</v>
      </c>
      <c r="G209" s="14" t="str">
        <f t="array" ref="G209">XLOOKUP($C209,location,'COVID-19 Raw Data'!$O$3:$O$52,"No Data")</f>
        <v>No Data</v>
      </c>
      <c r="H209" s="2"/>
    </row>
    <row r="210">
      <c r="A210" s="3" t="s">
        <v>446</v>
      </c>
      <c r="B210" s="3" t="s">
        <v>125</v>
      </c>
      <c r="C210" s="3" t="s">
        <v>447</v>
      </c>
      <c r="D210" s="14" t="str">
        <f t="array" ref="D210">XLOOKUP($C210,location,'COVID-19 Raw Data'!$D$3:$D$52,"No Data")</f>
        <v>No Data</v>
      </c>
      <c r="E210" s="14" t="str">
        <f t="array" ref="E210">XLOOKUP($C210,location,'COVID-19 Raw Data'!$E$3:$E$52,"No Data")</f>
        <v>No Data</v>
      </c>
      <c r="F210" s="14" t="str">
        <f t="array" ref="F210">XLOOKUP($C210,location,'COVID-19 Raw Data'!$J$3:$J$52,"No Data")</f>
        <v>No Data</v>
      </c>
      <c r="G210" s="14" t="str">
        <f t="array" ref="G210">XLOOKUP($C210,location,'COVID-19 Raw Data'!$O$3:$O$52,"No Data")</f>
        <v>No Data</v>
      </c>
      <c r="H210" s="2"/>
    </row>
    <row r="211">
      <c r="A211" s="2"/>
      <c r="B211" s="2"/>
      <c r="C211" s="2"/>
      <c r="D211" s="2"/>
      <c r="E211" s="2"/>
      <c r="F211" s="2"/>
      <c r="G211" s="2"/>
      <c r="H211"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5.0"/>
    <col customWidth="1" min="10" max="10" width="3.88"/>
    <col customWidth="1" min="11" max="11" width="19.13"/>
    <col customWidth="1" min="12" max="12" width="10.25"/>
    <col customWidth="1" min="13" max="13" width="10.88"/>
    <col customWidth="1" min="14" max="14" width="9.63"/>
    <col customWidth="1" min="15" max="15" width="13.0"/>
    <col customWidth="1" min="16" max="16" width="13.38"/>
  </cols>
  <sheetData>
    <row r="1">
      <c r="A1" s="4" t="s">
        <v>1</v>
      </c>
      <c r="B1" s="4" t="s">
        <v>2</v>
      </c>
      <c r="C1" s="4" t="s">
        <v>3</v>
      </c>
      <c r="D1" s="15" t="s">
        <v>4</v>
      </c>
      <c r="E1" s="15" t="s">
        <v>5</v>
      </c>
      <c r="F1" s="15" t="s">
        <v>10</v>
      </c>
      <c r="G1" s="15" t="s">
        <v>15</v>
      </c>
      <c r="H1" s="16"/>
      <c r="P1" s="17"/>
    </row>
    <row r="2">
      <c r="A2" s="3" t="s">
        <v>121</v>
      </c>
      <c r="B2" s="3" t="s">
        <v>122</v>
      </c>
      <c r="C2" s="3" t="s">
        <v>123</v>
      </c>
      <c r="D2" s="2" t="str">
        <f t="array" ref="D2">INDEX(covid, MATCH($A2,iso_code,0), MATCH(D$1, columns, 0))</f>
        <v>#N/A</v>
      </c>
      <c r="E2" s="2" t="str">
        <f t="array" ref="E2">INDEX(covid, MATCH($A2,iso_code,0), MATCH(E$1, columns, 0))</f>
        <v>#N/A</v>
      </c>
      <c r="F2" s="2" t="str">
        <f t="array" ref="F2">INDEX(covid, MATCH($A2,iso_code,0), MATCH(F$1, columns, 0))</f>
        <v>#N/A</v>
      </c>
      <c r="G2" s="2" t="str">
        <f t="array" ref="G2">INDEX(covid, MATCH($A2,iso_code,0), MATCH(G$1, columns, 0))</f>
        <v>#N/A</v>
      </c>
      <c r="H2" s="16"/>
      <c r="P2" s="2"/>
    </row>
    <row r="3">
      <c r="A3" s="3" t="s">
        <v>22</v>
      </c>
      <c r="B3" s="3" t="s">
        <v>23</v>
      </c>
      <c r="C3" s="3" t="s">
        <v>24</v>
      </c>
      <c r="D3" s="14">
        <f t="array" ref="D3">INDEX(covid, MATCH($A3,iso_code,0), MATCH(D$1, columns, 0))</f>
        <v>210224</v>
      </c>
      <c r="E3" s="14">
        <f t="array" ref="E3">INDEX(covid, MATCH($A3,iso_code,0), MATCH(E$1, columns, 0))</f>
        <v>3217</v>
      </c>
      <c r="F3" s="14">
        <f t="array" ref="F3">INDEX(covid, MATCH($A3,iso_code,0), MATCH(F$1, columns, 0))</f>
        <v>2872934</v>
      </c>
      <c r="G3" s="10">
        <f t="array" ref="G3">INDEX(covid, MATCH($A3,iso_code,0), MATCH(G$1, columns, 0))</f>
        <v>11803.431</v>
      </c>
      <c r="H3" s="16"/>
      <c r="P3" s="2"/>
    </row>
    <row r="4">
      <c r="A4" s="3" t="s">
        <v>124</v>
      </c>
      <c r="B4" s="3" t="s">
        <v>125</v>
      </c>
      <c r="C4" s="3" t="s">
        <v>126</v>
      </c>
      <c r="D4" s="2" t="str">
        <f t="array" ref="D4">INDEX(covid, MATCH($A4,iso_code,0), MATCH(D$1, columns, 0))</f>
        <v>#N/A</v>
      </c>
      <c r="E4" s="2" t="str">
        <f t="array" ref="E4">INDEX(covid, MATCH($A4,iso_code,0), MATCH(E$1, columns, 0))</f>
        <v>#N/A</v>
      </c>
      <c r="F4" s="2" t="str">
        <f t="array" ref="F4">INDEX(covid, MATCH($A4,iso_code,0), MATCH(F$1, columns, 0))</f>
        <v>#N/A</v>
      </c>
      <c r="G4" s="2" t="str">
        <f t="array" ref="G4">INDEX(covid, MATCH($A4,iso_code,0), MATCH(G$1, columns, 0))</f>
        <v>#N/A</v>
      </c>
      <c r="H4" s="16"/>
      <c r="P4" s="2"/>
    </row>
    <row r="5">
      <c r="A5" s="3" t="s">
        <v>25</v>
      </c>
      <c r="B5" s="3" t="s">
        <v>23</v>
      </c>
      <c r="C5" s="3" t="s">
        <v>26</v>
      </c>
      <c r="D5" s="14">
        <f t="array" ref="D5">INDEX(covid, MATCH($A5,iso_code,0), MATCH(D$1, columns, 0))</f>
        <v>23740</v>
      </c>
      <c r="E5" s="2">
        <f t="array" ref="E5">INDEX(covid, MATCH($A5,iso_code,0), MATCH(E$1, columns, 0))</f>
        <v>140</v>
      </c>
      <c r="F5" s="14">
        <f t="array" ref="F5">INDEX(covid, MATCH($A5,iso_code,0), MATCH(F$1, columns, 0))</f>
        <v>77354</v>
      </c>
      <c r="G5" s="10" t="str">
        <f t="array" ref="G5">INDEX(covid, MATCH($A5,iso_code,0), MATCH(G$1, columns, 0))</f>
        <v/>
      </c>
      <c r="H5" s="16"/>
      <c r="P5" s="2"/>
    </row>
    <row r="6">
      <c r="A6" s="3" t="s">
        <v>127</v>
      </c>
      <c r="B6" s="3" t="s">
        <v>125</v>
      </c>
      <c r="C6" s="3" t="s">
        <v>128</v>
      </c>
      <c r="D6" s="2" t="str">
        <f t="array" ref="D6">INDEX(covid, MATCH($A6,iso_code,0), MATCH(D$1, columns, 0))</f>
        <v>#N/A</v>
      </c>
      <c r="E6" s="2" t="str">
        <f t="array" ref="E6">INDEX(covid, MATCH($A6,iso_code,0), MATCH(E$1, columns, 0))</f>
        <v>#N/A</v>
      </c>
      <c r="F6" s="2" t="str">
        <f t="array" ref="F6">INDEX(covid, MATCH($A6,iso_code,0), MATCH(F$1, columns, 0))</f>
        <v>#N/A</v>
      </c>
      <c r="G6" s="2" t="str">
        <f t="array" ref="G6">INDEX(covid, MATCH($A6,iso_code,0), MATCH(G$1, columns, 0))</f>
        <v>#N/A</v>
      </c>
      <c r="H6" s="16"/>
      <c r="P6" s="2"/>
    </row>
    <row r="7">
      <c r="A7" s="3" t="s">
        <v>129</v>
      </c>
      <c r="B7" s="3" t="s">
        <v>130</v>
      </c>
      <c r="C7" s="3" t="s">
        <v>131</v>
      </c>
      <c r="D7" s="2" t="str">
        <f t="array" ref="D7">INDEX(covid, MATCH($A7,iso_code,0), MATCH(D$1, columns, 0))</f>
        <v>#N/A</v>
      </c>
      <c r="E7" s="2" t="str">
        <f t="array" ref="E7">INDEX(covid, MATCH($A7,iso_code,0), MATCH(E$1, columns, 0))</f>
        <v>#N/A</v>
      </c>
      <c r="F7" s="2" t="str">
        <f t="array" ref="F7">INDEX(covid, MATCH($A7,iso_code,0), MATCH(F$1, columns, 0))</f>
        <v>#N/A</v>
      </c>
      <c r="G7" s="2" t="str">
        <f t="array" ref="G7">INDEX(covid, MATCH($A7,iso_code,0), MATCH(G$1, columns, 0))</f>
        <v>#N/A</v>
      </c>
      <c r="H7" s="16"/>
      <c r="P7" s="2"/>
    </row>
    <row r="8">
      <c r="A8" s="3" t="s">
        <v>132</v>
      </c>
      <c r="B8" s="3" t="s">
        <v>130</v>
      </c>
      <c r="C8" s="3" t="s">
        <v>133</v>
      </c>
      <c r="D8" s="2" t="str">
        <f t="array" ref="D8">INDEX(covid, MATCH($A8,iso_code,0), MATCH(D$1, columns, 0))</f>
        <v>#N/A</v>
      </c>
      <c r="E8" s="2" t="str">
        <f t="array" ref="E8">INDEX(covid, MATCH($A8,iso_code,0), MATCH(E$1, columns, 0))</f>
        <v>#N/A</v>
      </c>
      <c r="F8" s="2" t="str">
        <f t="array" ref="F8">INDEX(covid, MATCH($A8,iso_code,0), MATCH(F$1, columns, 0))</f>
        <v>#N/A</v>
      </c>
      <c r="G8" s="2" t="str">
        <f t="array" ref="G8">INDEX(covid, MATCH($A8,iso_code,0), MATCH(G$1, columns, 0))</f>
        <v>#N/A</v>
      </c>
      <c r="H8" s="16"/>
      <c r="P8" s="2"/>
    </row>
    <row r="9">
      <c r="A9" s="3" t="s">
        <v>134</v>
      </c>
      <c r="B9" s="3" t="s">
        <v>135</v>
      </c>
      <c r="C9" s="3" t="s">
        <v>136</v>
      </c>
      <c r="D9" s="2" t="str">
        <f t="array" ref="D9">INDEX(covid, MATCH($A9,iso_code,0), MATCH(D$1, columns, 0))</f>
        <v>#N/A</v>
      </c>
      <c r="E9" s="2" t="str">
        <f t="array" ref="E9">INDEX(covid, MATCH($A9,iso_code,0), MATCH(E$1, columns, 0))</f>
        <v>#N/A</v>
      </c>
      <c r="F9" s="2" t="str">
        <f t="array" ref="F9">INDEX(covid, MATCH($A9,iso_code,0), MATCH(F$1, columns, 0))</f>
        <v>#N/A</v>
      </c>
      <c r="G9" s="2" t="str">
        <f t="array" ref="G9">INDEX(covid, MATCH($A9,iso_code,0), MATCH(G$1, columns, 0))</f>
        <v>#N/A</v>
      </c>
      <c r="H9" s="16"/>
      <c r="P9" s="2"/>
    </row>
    <row r="10">
      <c r="A10" s="3" t="s">
        <v>137</v>
      </c>
      <c r="B10" s="3" t="s">
        <v>122</v>
      </c>
      <c r="C10" s="3" t="s">
        <v>138</v>
      </c>
      <c r="D10" s="2" t="str">
        <f t="array" ref="D10">INDEX(covid, MATCH($A10,iso_code,0), MATCH(D$1, columns, 0))</f>
        <v>#N/A</v>
      </c>
      <c r="E10" s="2" t="str">
        <f t="array" ref="E10">INDEX(covid, MATCH($A10,iso_code,0), MATCH(E$1, columns, 0))</f>
        <v>#N/A</v>
      </c>
      <c r="F10" s="2" t="str">
        <f t="array" ref="F10">INDEX(covid, MATCH($A10,iso_code,0), MATCH(F$1, columns, 0))</f>
        <v>#N/A</v>
      </c>
      <c r="G10" s="2" t="str">
        <f t="array" ref="G10">INDEX(covid, MATCH($A10,iso_code,0), MATCH(G$1, columns, 0))</f>
        <v>#N/A</v>
      </c>
      <c r="H10" s="16"/>
      <c r="P10" s="2"/>
    </row>
    <row r="11">
      <c r="A11" s="3" t="s">
        <v>139</v>
      </c>
      <c r="B11" s="3" t="s">
        <v>130</v>
      </c>
      <c r="C11" s="3" t="s">
        <v>140</v>
      </c>
      <c r="D11" s="2" t="str">
        <f t="array" ref="D11">INDEX(covid, MATCH($A11,iso_code,0), MATCH(D$1, columns, 0))</f>
        <v>#N/A</v>
      </c>
      <c r="E11" s="2" t="str">
        <f t="array" ref="E11">INDEX(covid, MATCH($A11,iso_code,0), MATCH(E$1, columns, 0))</f>
        <v>#N/A</v>
      </c>
      <c r="F11" s="2" t="str">
        <f t="array" ref="F11">INDEX(covid, MATCH($A11,iso_code,0), MATCH(F$1, columns, 0))</f>
        <v>#N/A</v>
      </c>
      <c r="G11" s="2" t="str">
        <f t="array" ref="G11">INDEX(covid, MATCH($A11,iso_code,0), MATCH(G$1, columns, 0))</f>
        <v>#N/A</v>
      </c>
      <c r="H11" s="16"/>
      <c r="P11" s="2"/>
    </row>
    <row r="12">
      <c r="A12" s="3" t="s">
        <v>141</v>
      </c>
      <c r="B12" s="3" t="s">
        <v>142</v>
      </c>
      <c r="C12" s="3" t="s">
        <v>143</v>
      </c>
      <c r="D12" s="2" t="str">
        <f t="array" ref="D12">INDEX(covid, MATCH($A12,iso_code,0), MATCH(D$1, columns, 0))</f>
        <v>#N/A</v>
      </c>
      <c r="E12" s="2" t="str">
        <f t="array" ref="E12">INDEX(covid, MATCH($A12,iso_code,0), MATCH(E$1, columns, 0))</f>
        <v>#N/A</v>
      </c>
      <c r="F12" s="2" t="str">
        <f t="array" ref="F12">INDEX(covid, MATCH($A12,iso_code,0), MATCH(F$1, columns, 0))</f>
        <v>#N/A</v>
      </c>
      <c r="G12" s="2" t="str">
        <f t="array" ref="G12">INDEX(covid, MATCH($A12,iso_code,0), MATCH(G$1, columns, 0))</f>
        <v>#N/A</v>
      </c>
      <c r="H12" s="16"/>
      <c r="I12" s="2"/>
      <c r="J12" s="2"/>
      <c r="K12" s="2"/>
      <c r="L12" s="2"/>
      <c r="M12" s="2"/>
      <c r="N12" s="2"/>
      <c r="O12" s="2"/>
      <c r="P12" s="2"/>
    </row>
    <row r="13">
      <c r="A13" s="3" t="s">
        <v>27</v>
      </c>
      <c r="B13" s="3" t="s">
        <v>23</v>
      </c>
      <c r="C13" s="3" t="s">
        <v>28</v>
      </c>
      <c r="D13" s="14">
        <f t="array" ref="D13">INDEX(covid, MATCH($A13,iso_code,0), MATCH(D$1, columns, 0))</f>
        <v>1278619</v>
      </c>
      <c r="E13" s="14">
        <f t="array" ref="E13">INDEX(covid, MATCH($A13,iso_code,0), MATCH(E$1, columns, 0))</f>
        <v>13733</v>
      </c>
      <c r="F13" s="14">
        <f t="array" ref="F13">INDEX(covid, MATCH($A13,iso_code,0), MATCH(F$1, columns, 0))</f>
        <v>9043072</v>
      </c>
      <c r="G13" s="10">
        <f t="array" ref="G13">INDEX(covid, MATCH($A13,iso_code,0), MATCH(G$1, columns, 0))</f>
        <v>45436.686</v>
      </c>
      <c r="H13" s="16"/>
      <c r="P13" s="2"/>
    </row>
    <row r="14">
      <c r="A14" s="3" t="s">
        <v>144</v>
      </c>
      <c r="B14" s="3" t="s">
        <v>122</v>
      </c>
      <c r="C14" s="3" t="s">
        <v>145</v>
      </c>
      <c r="D14" s="2" t="str">
        <f t="array" ref="D14">INDEX(covid, MATCH($A14,iso_code,0), MATCH(D$1, columns, 0))</f>
        <v>#N/A</v>
      </c>
      <c r="E14" s="2" t="str">
        <f t="array" ref="E14">INDEX(covid, MATCH($A14,iso_code,0), MATCH(E$1, columns, 0))</f>
        <v>#N/A</v>
      </c>
      <c r="F14" s="2" t="str">
        <f t="array" ref="F14">INDEX(covid, MATCH($A14,iso_code,0), MATCH(F$1, columns, 0))</f>
        <v>#N/A</v>
      </c>
      <c r="G14" s="2" t="str">
        <f t="array" ref="G14">INDEX(covid, MATCH($A14,iso_code,0), MATCH(G$1, columns, 0))</f>
        <v>#N/A</v>
      </c>
      <c r="H14" s="16"/>
      <c r="P14" s="2"/>
    </row>
    <row r="15">
      <c r="A15" s="3" t="s">
        <v>146</v>
      </c>
      <c r="B15" s="3" t="s">
        <v>130</v>
      </c>
      <c r="C15" s="3" t="s">
        <v>147</v>
      </c>
      <c r="D15" s="2" t="str">
        <f t="array" ref="D15">INDEX(covid, MATCH($A15,iso_code,0), MATCH(D$1, columns, 0))</f>
        <v>#N/A</v>
      </c>
      <c r="E15" s="2" t="str">
        <f t="array" ref="E15">INDEX(covid, MATCH($A15,iso_code,0), MATCH(E$1, columns, 0))</f>
        <v>#N/A</v>
      </c>
      <c r="F15" s="2" t="str">
        <f t="array" ref="F15">INDEX(covid, MATCH($A15,iso_code,0), MATCH(F$1, columns, 0))</f>
        <v>#N/A</v>
      </c>
      <c r="G15" s="2" t="str">
        <f t="array" ref="G15">INDEX(covid, MATCH($A15,iso_code,0), MATCH(G$1, columns, 0))</f>
        <v>#N/A</v>
      </c>
      <c r="H15" s="16"/>
      <c r="P15" s="2"/>
    </row>
    <row r="16">
      <c r="A16" s="3" t="s">
        <v>148</v>
      </c>
      <c r="B16" s="3" t="s">
        <v>122</v>
      </c>
      <c r="C16" s="3" t="s">
        <v>149</v>
      </c>
      <c r="D16" s="2" t="str">
        <f t="array" ref="D16">INDEX(covid, MATCH($A16,iso_code,0), MATCH(D$1, columns, 0))</f>
        <v>#N/A</v>
      </c>
      <c r="E16" s="2" t="str">
        <f t="array" ref="E16">INDEX(covid, MATCH($A16,iso_code,0), MATCH(E$1, columns, 0))</f>
        <v>#N/A</v>
      </c>
      <c r="F16" s="2" t="str">
        <f t="array" ref="F16">INDEX(covid, MATCH($A16,iso_code,0), MATCH(F$1, columns, 0))</f>
        <v>#N/A</v>
      </c>
      <c r="G16" s="2" t="str">
        <f t="array" ref="G16">INDEX(covid, MATCH($A16,iso_code,0), MATCH(G$1, columns, 0))</f>
        <v>#N/A</v>
      </c>
      <c r="H16" s="16"/>
      <c r="I16" s="4" t="s">
        <v>448</v>
      </c>
      <c r="J16" s="18"/>
      <c r="K16" s="18" t="s">
        <v>3</v>
      </c>
      <c r="L16" s="18" t="s">
        <v>4</v>
      </c>
      <c r="M16" s="18" t="s">
        <v>5</v>
      </c>
      <c r="N16" s="18" t="s">
        <v>10</v>
      </c>
      <c r="O16" s="18" t="s">
        <v>15</v>
      </c>
      <c r="P16" s="2"/>
    </row>
    <row r="17">
      <c r="A17" s="3" t="s">
        <v>150</v>
      </c>
      <c r="B17" s="3" t="s">
        <v>122</v>
      </c>
      <c r="C17" s="3" t="s">
        <v>151</v>
      </c>
      <c r="D17" s="2" t="str">
        <f t="array" ref="D17">INDEX(covid, MATCH($A17,iso_code,0), MATCH(D$1, columns, 0))</f>
        <v>#N/A</v>
      </c>
      <c r="E17" s="2" t="str">
        <f t="array" ref="E17">INDEX(covid, MATCH($A17,iso_code,0), MATCH(E$1, columns, 0))</f>
        <v>#N/A</v>
      </c>
      <c r="F17" s="2" t="str">
        <f t="array" ref="F17">INDEX(covid, MATCH($A17,iso_code,0), MATCH(F$1, columns, 0))</f>
        <v>#N/A</v>
      </c>
      <c r="G17" s="2" t="str">
        <f t="array" ref="G17">INDEX(covid, MATCH($A17,iso_code,0), MATCH(G$1, columns, 0))</f>
        <v>#N/A</v>
      </c>
      <c r="H17" s="16"/>
      <c r="I17" s="2"/>
      <c r="J17" s="2"/>
      <c r="K17" s="19" t="str">
        <f>IFERROR(__xludf.DUMMYFUNCTION("SORTN( FILTER(results_with_index,NOT(ISNA(total_cases_with_index))), I19,,MATCH(I29,K16:O16,0),I25)"),"Russia")</f>
        <v>Russia</v>
      </c>
      <c r="L17" s="14">
        <f>IFERROR(__xludf.DUMMYFUNCTION("""COMPUTED_VALUE"""),1.0320405E7)</f>
        <v>10320405</v>
      </c>
      <c r="M17" s="14">
        <f>IFERROR(__xludf.DUMMYFUNCTION("""COMPUTED_VALUE"""),302671.0)</f>
        <v>302671</v>
      </c>
      <c r="N17" s="14">
        <f>IFERROR(__xludf.DUMMYFUNCTION("""COMPUTED_VALUE"""),1.45912022E8)</f>
        <v>145912022</v>
      </c>
      <c r="O17" s="10">
        <f>IFERROR(__xludf.DUMMYFUNCTION("""COMPUTED_VALUE"""),24765.954)</f>
        <v>24765.954</v>
      </c>
      <c r="P17" s="2"/>
    </row>
    <row r="18">
      <c r="A18" s="3" t="s">
        <v>152</v>
      </c>
      <c r="B18" s="3" t="s">
        <v>130</v>
      </c>
      <c r="C18" s="3" t="s">
        <v>153</v>
      </c>
      <c r="D18" s="2" t="str">
        <f t="array" ref="D18">INDEX(covid, MATCH($A18,iso_code,0), MATCH(D$1, columns, 0))</f>
        <v>#N/A</v>
      </c>
      <c r="E18" s="2" t="str">
        <f t="array" ref="E18">INDEX(covid, MATCH($A18,iso_code,0), MATCH(E$1, columns, 0))</f>
        <v>#N/A</v>
      </c>
      <c r="F18" s="2" t="str">
        <f t="array" ref="F18">INDEX(covid, MATCH($A18,iso_code,0), MATCH(F$1, columns, 0))</f>
        <v>#N/A</v>
      </c>
      <c r="G18" s="2" t="str">
        <f t="array" ref="G18">INDEX(covid, MATCH($A18,iso_code,0), MATCH(G$1, columns, 0))</f>
        <v>#N/A</v>
      </c>
      <c r="H18" s="16"/>
      <c r="I18" s="20" t="s">
        <v>449</v>
      </c>
      <c r="J18" s="2"/>
      <c r="K18" s="2" t="str">
        <f>IFERROR(__xludf.DUMMYFUNCTION("""COMPUTED_VALUE"""),"Germany")</f>
        <v>Germany</v>
      </c>
      <c r="L18" s="14">
        <f>IFERROR(__xludf.DUMMYFUNCTION("""COMPUTED_VALUE"""),7193186.0)</f>
        <v>7193186</v>
      </c>
      <c r="M18" s="14">
        <f>IFERROR(__xludf.DUMMYFUNCTION("""COMPUTED_VALUE"""),112111.0)</f>
        <v>112111</v>
      </c>
      <c r="N18" s="14">
        <f>IFERROR(__xludf.DUMMYFUNCTION("""COMPUTED_VALUE"""),8.3900471E7)</f>
        <v>83900471</v>
      </c>
      <c r="O18" s="10">
        <f>IFERROR(__xludf.DUMMYFUNCTION("""COMPUTED_VALUE"""),45229.245)</f>
        <v>45229.245</v>
      </c>
      <c r="P18" s="2"/>
    </row>
    <row r="19">
      <c r="A19" s="3" t="s">
        <v>35</v>
      </c>
      <c r="B19" s="3" t="s">
        <v>23</v>
      </c>
      <c r="C19" s="3" t="s">
        <v>36</v>
      </c>
      <c r="D19" s="14">
        <f t="array" ref="D19">INDEX(covid, MATCH($A19,iso_code,0), MATCH(D$1, columns, 0))</f>
        <v>699110</v>
      </c>
      <c r="E19" s="14">
        <f t="array" ref="E19">INDEX(covid, MATCH($A19,iso_code,0), MATCH(E$1, columns, 0))</f>
        <v>5578</v>
      </c>
      <c r="F19" s="14">
        <f t="array" ref="F19">INDEX(covid, MATCH($A19,iso_code,0), MATCH(F$1, columns, 0))</f>
        <v>9442867</v>
      </c>
      <c r="G19" s="10">
        <f t="array" ref="G19">INDEX(covid, MATCH($A19,iso_code,0), MATCH(G$1, columns, 0))</f>
        <v>17167.967</v>
      </c>
      <c r="H19" s="16"/>
      <c r="I19" s="21">
        <v>50.0</v>
      </c>
      <c r="J19" s="2"/>
      <c r="K19" s="2" t="str">
        <f>IFERROR(__xludf.DUMMYFUNCTION("""COMPUTED_VALUE"""),"United Kingdom")</f>
        <v>United Kingdom</v>
      </c>
      <c r="L19" s="14">
        <f>IFERROR(__xludf.DUMMYFUNCTION("""COMPUTED_VALUE"""),1.2965393E7)</f>
        <v>12965393</v>
      </c>
      <c r="M19" s="14">
        <f>IFERROR(__xludf.DUMMYFUNCTION("""COMPUTED_VALUE"""),148737.0)</f>
        <v>148737</v>
      </c>
      <c r="N19" s="14">
        <f>IFERROR(__xludf.DUMMYFUNCTION("""COMPUTED_VALUE"""),6.8207114E7)</f>
        <v>68207114</v>
      </c>
      <c r="O19" s="10">
        <f>IFERROR(__xludf.DUMMYFUNCTION("""COMPUTED_VALUE"""),39753.244)</f>
        <v>39753.244</v>
      </c>
      <c r="P19" s="2"/>
    </row>
    <row r="20">
      <c r="A20" s="3" t="s">
        <v>29</v>
      </c>
      <c r="B20" s="3" t="s">
        <v>23</v>
      </c>
      <c r="C20" s="3" t="s">
        <v>30</v>
      </c>
      <c r="D20" s="14">
        <f t="array" ref="D20">INDEX(covid, MATCH($A20,iso_code,0), MATCH(D$1, columns, 0))</f>
        <v>2105343</v>
      </c>
      <c r="E20" s="14">
        <f t="array" ref="E20">INDEX(covid, MATCH($A20,iso_code,0), MATCH(E$1, columns, 0))</f>
        <v>28331</v>
      </c>
      <c r="F20" s="14">
        <f t="array" ref="F20">INDEX(covid, MATCH($A20,iso_code,0), MATCH(F$1, columns, 0))</f>
        <v>11632334</v>
      </c>
      <c r="G20" s="10">
        <f t="array" ref="G20">INDEX(covid, MATCH($A20,iso_code,0), MATCH(G$1, columns, 0))</f>
        <v>42658.576</v>
      </c>
      <c r="H20" s="16"/>
      <c r="I20" s="22"/>
      <c r="J20" s="2"/>
      <c r="K20" s="2" t="str">
        <f>IFERROR(__xludf.DUMMYFUNCTION("""COMPUTED_VALUE"""),"France")</f>
        <v>France</v>
      </c>
      <c r="L20" s="14">
        <f>IFERROR(__xludf.DUMMYFUNCTION("""COMPUTED_VALUE"""),1.041248E7)</f>
        <v>10412480</v>
      </c>
      <c r="M20" s="14">
        <f>IFERROR(__xludf.DUMMYFUNCTION("""COMPUTED_VALUE"""),123805.0)</f>
        <v>123805</v>
      </c>
      <c r="N20" s="14">
        <f>IFERROR(__xludf.DUMMYFUNCTION("""COMPUTED_VALUE"""),6.7422E7)</f>
        <v>67422000</v>
      </c>
      <c r="O20" s="10">
        <f>IFERROR(__xludf.DUMMYFUNCTION("""COMPUTED_VALUE"""),38605.671)</f>
        <v>38605.671</v>
      </c>
      <c r="P20" s="2"/>
    </row>
    <row r="21">
      <c r="A21" s="3" t="s">
        <v>154</v>
      </c>
      <c r="B21" s="3" t="s">
        <v>130</v>
      </c>
      <c r="C21" s="3" t="s">
        <v>155</v>
      </c>
      <c r="D21" s="2" t="str">
        <f t="array" ref="D21">INDEX(covid, MATCH($A21,iso_code,0), MATCH(D$1, columns, 0))</f>
        <v>#N/A</v>
      </c>
      <c r="E21" s="2" t="str">
        <f t="array" ref="E21">INDEX(covid, MATCH($A21,iso_code,0), MATCH(E$1, columns, 0))</f>
        <v>#N/A</v>
      </c>
      <c r="F21" s="2" t="str">
        <f t="array" ref="F21">INDEX(covid, MATCH($A21,iso_code,0), MATCH(F$1, columns, 0))</f>
        <v>#N/A</v>
      </c>
      <c r="G21" s="2" t="str">
        <f t="array" ref="G21">INDEX(covid, MATCH($A21,iso_code,0), MATCH(G$1, columns, 0))</f>
        <v>#N/A</v>
      </c>
      <c r="H21" s="16"/>
      <c r="I21" s="20" t="s">
        <v>450</v>
      </c>
      <c r="J21" s="2"/>
      <c r="K21" s="2" t="str">
        <f>IFERROR(__xludf.DUMMYFUNCTION("""COMPUTED_VALUE"""),"Italy")</f>
        <v>Italy</v>
      </c>
      <c r="L21" s="14">
        <f>IFERROR(__xludf.DUMMYFUNCTION("""COMPUTED_VALUE"""),6125683.0)</f>
        <v>6125683</v>
      </c>
      <c r="M21" s="14">
        <f>IFERROR(__xludf.DUMMYFUNCTION("""COMPUTED_VALUE"""),137402.0)</f>
        <v>137402</v>
      </c>
      <c r="N21" s="14">
        <f>IFERROR(__xludf.DUMMYFUNCTION("""COMPUTED_VALUE"""),6.0367471E7)</f>
        <v>60367471</v>
      </c>
      <c r="O21" s="10">
        <f>IFERROR(__xludf.DUMMYFUNCTION("""COMPUTED_VALUE"""),35220.084)</f>
        <v>35220.084</v>
      </c>
      <c r="P21" s="2"/>
    </row>
    <row r="22">
      <c r="A22" s="3" t="s">
        <v>156</v>
      </c>
      <c r="B22" s="3" t="s">
        <v>125</v>
      </c>
      <c r="C22" s="3" t="s">
        <v>157</v>
      </c>
      <c r="D22" s="2" t="str">
        <f t="array" ref="D22">INDEX(covid, MATCH($A22,iso_code,0), MATCH(D$1, columns, 0))</f>
        <v>#N/A</v>
      </c>
      <c r="E22" s="2" t="str">
        <f t="array" ref="E22">INDEX(covid, MATCH($A22,iso_code,0), MATCH(E$1, columns, 0))</f>
        <v>#N/A</v>
      </c>
      <c r="F22" s="2" t="str">
        <f t="array" ref="F22">INDEX(covid, MATCH($A22,iso_code,0), MATCH(F$1, columns, 0))</f>
        <v>#N/A</v>
      </c>
      <c r="G22" s="2" t="str">
        <f t="array" ref="G22">INDEX(covid, MATCH($A22,iso_code,0), MATCH(G$1, columns, 0))</f>
        <v>#N/A</v>
      </c>
      <c r="H22" s="16"/>
      <c r="I22" s="21">
        <v>1.0</v>
      </c>
      <c r="J22" s="2"/>
      <c r="K22" s="2" t="str">
        <f>IFERROR(__xludf.DUMMYFUNCTION("""COMPUTED_VALUE"""),"Spain")</f>
        <v>Spain</v>
      </c>
      <c r="L22" s="14">
        <f>IFERROR(__xludf.DUMMYFUNCTION("""COMPUTED_VALUE"""),6294745.0)</f>
        <v>6294745</v>
      </c>
      <c r="M22" s="14">
        <f>IFERROR(__xludf.DUMMYFUNCTION("""COMPUTED_VALUE"""),89405.0)</f>
        <v>89405</v>
      </c>
      <c r="N22" s="14">
        <f>IFERROR(__xludf.DUMMYFUNCTION("""COMPUTED_VALUE"""),4.6745211E7)</f>
        <v>46745211</v>
      </c>
      <c r="O22" s="10">
        <f>IFERROR(__xludf.DUMMYFUNCTION("""COMPUTED_VALUE"""),34272.36)</f>
        <v>34272.36</v>
      </c>
      <c r="P22" s="2"/>
    </row>
    <row r="23">
      <c r="A23" s="3" t="s">
        <v>158</v>
      </c>
      <c r="B23" s="3" t="s">
        <v>130</v>
      </c>
      <c r="C23" s="3" t="s">
        <v>159</v>
      </c>
      <c r="D23" s="2" t="str">
        <f t="array" ref="D23">INDEX(covid, MATCH($A23,iso_code,0), MATCH(D$1, columns, 0))</f>
        <v>#N/A</v>
      </c>
      <c r="E23" s="2" t="str">
        <f t="array" ref="E23">INDEX(covid, MATCH($A23,iso_code,0), MATCH(E$1, columns, 0))</f>
        <v>#N/A</v>
      </c>
      <c r="F23" s="2" t="str">
        <f t="array" ref="F23">INDEX(covid, MATCH($A23,iso_code,0), MATCH(F$1, columns, 0))</f>
        <v>#N/A</v>
      </c>
      <c r="G23" s="2" t="str">
        <f t="array" ref="G23">INDEX(covid, MATCH($A23,iso_code,0), MATCH(G$1, columns, 0))</f>
        <v>#N/A</v>
      </c>
      <c r="H23" s="16"/>
      <c r="I23" s="22"/>
      <c r="J23" s="2"/>
      <c r="K23" s="2" t="str">
        <f>IFERROR(__xludf.DUMMYFUNCTION("""COMPUTED_VALUE"""),"Ukraine")</f>
        <v>Ukraine</v>
      </c>
      <c r="L23" s="14">
        <f>IFERROR(__xludf.DUMMYFUNCTION("""COMPUTED_VALUE"""),3847226.0)</f>
        <v>3847226</v>
      </c>
      <c r="M23" s="14">
        <f>IFERROR(__xludf.DUMMYFUNCTION("""COMPUTED_VALUE"""),102088.0)</f>
        <v>102088</v>
      </c>
      <c r="N23" s="14">
        <f>IFERROR(__xludf.DUMMYFUNCTION("""COMPUTED_VALUE"""),4.3466822E7)</f>
        <v>43466822</v>
      </c>
      <c r="O23" s="10">
        <f>IFERROR(__xludf.DUMMYFUNCTION("""COMPUTED_VALUE"""),7894.393)</f>
        <v>7894.393</v>
      </c>
      <c r="P23" s="2"/>
    </row>
    <row r="24">
      <c r="A24" s="3" t="s">
        <v>160</v>
      </c>
      <c r="B24" s="3" t="s">
        <v>122</v>
      </c>
      <c r="C24" s="3" t="s">
        <v>161</v>
      </c>
      <c r="D24" s="2" t="str">
        <f t="array" ref="D24">INDEX(covid, MATCH($A24,iso_code,0), MATCH(D$1, columns, 0))</f>
        <v>#N/A</v>
      </c>
      <c r="E24" s="2" t="str">
        <f t="array" ref="E24">INDEX(covid, MATCH($A24,iso_code,0), MATCH(E$1, columns, 0))</f>
        <v>#N/A</v>
      </c>
      <c r="F24" s="2" t="str">
        <f t="array" ref="F24">INDEX(covid, MATCH($A24,iso_code,0), MATCH(F$1, columns, 0))</f>
        <v>#N/A</v>
      </c>
      <c r="G24" s="2" t="str">
        <f t="array" ref="G24">INDEX(covid, MATCH($A24,iso_code,0), MATCH(G$1, columns, 0))</f>
        <v>#N/A</v>
      </c>
      <c r="H24" s="16"/>
      <c r="I24" s="20" t="s">
        <v>451</v>
      </c>
      <c r="J24" s="2"/>
      <c r="K24" s="2" t="str">
        <f>IFERROR(__xludf.DUMMYFUNCTION("""COMPUTED_VALUE"""),"Poland")</f>
        <v>Poland</v>
      </c>
      <c r="L24" s="14">
        <f>IFERROR(__xludf.DUMMYFUNCTION("""COMPUTED_VALUE"""),4108215.0)</f>
        <v>4108215</v>
      </c>
      <c r="M24" s="14">
        <f>IFERROR(__xludf.DUMMYFUNCTION("""COMPUTED_VALUE"""),97054.0)</f>
        <v>97054</v>
      </c>
      <c r="N24" s="14">
        <f>IFERROR(__xludf.DUMMYFUNCTION("""COMPUTED_VALUE"""),3.7797E7)</f>
        <v>37797000</v>
      </c>
      <c r="O24" s="10">
        <f>IFERROR(__xludf.DUMMYFUNCTION("""COMPUTED_VALUE"""),27216.445)</f>
        <v>27216.445</v>
      </c>
      <c r="P24" s="2"/>
    </row>
    <row r="25">
      <c r="A25" s="3" t="s">
        <v>162</v>
      </c>
      <c r="B25" s="3" t="s">
        <v>135</v>
      </c>
      <c r="C25" s="3" t="s">
        <v>163</v>
      </c>
      <c r="D25" s="2" t="str">
        <f t="array" ref="D25">INDEX(covid, MATCH($A25,iso_code,0), MATCH(D$1, columns, 0))</f>
        <v>#N/A</v>
      </c>
      <c r="E25" s="2" t="str">
        <f t="array" ref="E25">INDEX(covid, MATCH($A25,iso_code,0), MATCH(E$1, columns, 0))</f>
        <v>#N/A</v>
      </c>
      <c r="F25" s="2" t="str">
        <f t="array" ref="F25">INDEX(covid, MATCH($A25,iso_code,0), MATCH(F$1, columns, 0))</f>
        <v>#N/A</v>
      </c>
      <c r="G25" s="2" t="str">
        <f t="array" ref="G25">INDEX(covid, MATCH($A25,iso_code,0), MATCH(G$1, columns, 0))</f>
        <v>#N/A</v>
      </c>
      <c r="H25" s="16"/>
      <c r="I25" s="23" t="b">
        <v>0</v>
      </c>
      <c r="J25" s="2"/>
      <c r="K25" s="2" t="str">
        <f>IFERROR(__xludf.DUMMYFUNCTION("""COMPUTED_VALUE"""),"Romania")</f>
        <v>Romania</v>
      </c>
      <c r="L25" s="14">
        <f>IFERROR(__xludf.DUMMYFUNCTION("""COMPUTED_VALUE"""),1808891.0)</f>
        <v>1808891</v>
      </c>
      <c r="M25" s="14">
        <f>IFERROR(__xludf.DUMMYFUNCTION("""COMPUTED_VALUE"""),58752.0)</f>
        <v>58752</v>
      </c>
      <c r="N25" s="14">
        <f>IFERROR(__xludf.DUMMYFUNCTION("""COMPUTED_VALUE"""),1.9127772E7)</f>
        <v>19127772</v>
      </c>
      <c r="O25" s="10">
        <f>IFERROR(__xludf.DUMMYFUNCTION("""COMPUTED_VALUE"""),23313.199)</f>
        <v>23313.199</v>
      </c>
      <c r="P25" s="2"/>
    </row>
    <row r="26">
      <c r="A26" s="3" t="s">
        <v>164</v>
      </c>
      <c r="B26" s="3" t="s">
        <v>130</v>
      </c>
      <c r="C26" s="3" t="s">
        <v>165</v>
      </c>
      <c r="D26" s="2" t="str">
        <f t="array" ref="D26">INDEX(covid, MATCH($A26,iso_code,0), MATCH(D$1, columns, 0))</f>
        <v>#N/A</v>
      </c>
      <c r="E26" s="2" t="str">
        <f t="array" ref="E26">INDEX(covid, MATCH($A26,iso_code,0), MATCH(E$1, columns, 0))</f>
        <v>#N/A</v>
      </c>
      <c r="F26" s="2" t="str">
        <f t="array" ref="F26">INDEX(covid, MATCH($A26,iso_code,0), MATCH(F$1, columns, 0))</f>
        <v>#N/A</v>
      </c>
      <c r="G26" s="2" t="str">
        <f t="array" ref="G26">INDEX(covid, MATCH($A26,iso_code,0), MATCH(G$1, columns, 0))</f>
        <v>#N/A</v>
      </c>
      <c r="H26" s="16"/>
      <c r="I26" s="2"/>
      <c r="J26" s="2"/>
      <c r="K26" s="2" t="str">
        <f>IFERROR(__xludf.DUMMYFUNCTION("""COMPUTED_VALUE"""),"Netherlands")</f>
        <v>Netherlands</v>
      </c>
      <c r="L26" s="14">
        <f>IFERROR(__xludf.DUMMYFUNCTION("""COMPUTED_VALUE"""),3137942.0)</f>
        <v>3137942</v>
      </c>
      <c r="M26" s="14">
        <f>IFERROR(__xludf.DUMMYFUNCTION("""COMPUTED_VALUE"""),20999.0)</f>
        <v>20999</v>
      </c>
      <c r="N26" s="14">
        <f>IFERROR(__xludf.DUMMYFUNCTION("""COMPUTED_VALUE"""),1.7173094E7)</f>
        <v>17173094</v>
      </c>
      <c r="O26" s="10">
        <f>IFERROR(__xludf.DUMMYFUNCTION("""COMPUTED_VALUE"""),48472.545000001)</f>
        <v>48472.545</v>
      </c>
      <c r="P26" s="2"/>
    </row>
    <row r="27">
      <c r="A27" s="3" t="s">
        <v>33</v>
      </c>
      <c r="B27" s="3" t="s">
        <v>23</v>
      </c>
      <c r="C27" s="3" t="s">
        <v>34</v>
      </c>
      <c r="D27" s="14">
        <f t="array" ref="D27">INDEX(covid, MATCH($A27,iso_code,0), MATCH(D$1, columns, 0))</f>
        <v>291313</v>
      </c>
      <c r="E27" s="14">
        <f t="array" ref="E27">INDEX(covid, MATCH($A27,iso_code,0), MATCH(E$1, columns, 0))</f>
        <v>13442</v>
      </c>
      <c r="F27" s="14">
        <f t="array" ref="F27">INDEX(covid, MATCH($A27,iso_code,0), MATCH(F$1, columns, 0))</f>
        <v>3263459</v>
      </c>
      <c r="G27" s="10">
        <f t="array" ref="G27">INDEX(covid, MATCH($A27,iso_code,0), MATCH(G$1, columns, 0))</f>
        <v>11713.895</v>
      </c>
      <c r="H27" s="16"/>
      <c r="K27" s="24" t="str">
        <f>IFERROR(__xludf.DUMMYFUNCTION("""COMPUTED_VALUE"""),"Belgium")</f>
        <v>Belgium</v>
      </c>
      <c r="L27" s="25">
        <f>IFERROR(__xludf.DUMMYFUNCTION("""COMPUTED_VALUE"""),2105343.0)</f>
        <v>2105343</v>
      </c>
      <c r="M27" s="25">
        <f>IFERROR(__xludf.DUMMYFUNCTION("""COMPUTED_VALUE"""),28331.0)</f>
        <v>28331</v>
      </c>
      <c r="N27" s="25">
        <f>IFERROR(__xludf.DUMMYFUNCTION("""COMPUTED_VALUE"""),1.1632334E7)</f>
        <v>11632334</v>
      </c>
      <c r="O27" s="26">
        <f>IFERROR(__xludf.DUMMYFUNCTION("""COMPUTED_VALUE"""),42658.576)</f>
        <v>42658.576</v>
      </c>
      <c r="P27" s="2"/>
    </row>
    <row r="28">
      <c r="A28" s="3" t="s">
        <v>166</v>
      </c>
      <c r="B28" s="3" t="s">
        <v>125</v>
      </c>
      <c r="C28" s="3" t="s">
        <v>167</v>
      </c>
      <c r="D28" s="2" t="str">
        <f t="array" ref="D28">INDEX(covid, MATCH($A28,iso_code,0), MATCH(D$1, columns, 0))</f>
        <v>#N/A</v>
      </c>
      <c r="E28" s="2" t="str">
        <f t="array" ref="E28">INDEX(covid, MATCH($A28,iso_code,0), MATCH(E$1, columns, 0))</f>
        <v>#N/A</v>
      </c>
      <c r="F28" s="2" t="str">
        <f t="array" ref="F28">INDEX(covid, MATCH($A28,iso_code,0), MATCH(F$1, columns, 0))</f>
        <v>#N/A</v>
      </c>
      <c r="G28" s="2" t="str">
        <f t="array" ref="G28">INDEX(covid, MATCH($A28,iso_code,0), MATCH(G$1, columns, 0))</f>
        <v>#N/A</v>
      </c>
      <c r="H28" s="16"/>
      <c r="I28" s="20" t="s">
        <v>450</v>
      </c>
      <c r="K28" s="24" t="str">
        <f>IFERROR(__xludf.DUMMYFUNCTION("""COMPUTED_VALUE"""),"Czech Republic")</f>
        <v>Czech Republic</v>
      </c>
      <c r="L28" s="25">
        <f>IFERROR(__xludf.DUMMYFUNCTION("""COMPUTED_VALUE"""),2475729.0)</f>
        <v>2475729</v>
      </c>
      <c r="M28" s="25">
        <f>IFERROR(__xludf.DUMMYFUNCTION("""COMPUTED_VALUE"""),36129.0)</f>
        <v>36129</v>
      </c>
      <c r="N28" s="25">
        <f>IFERROR(__xludf.DUMMYFUNCTION("""COMPUTED_VALUE"""),1.0724553E7)</f>
        <v>10724553</v>
      </c>
      <c r="O28" s="26">
        <f>IFERROR(__xludf.DUMMYFUNCTION("""COMPUTED_VALUE"""),32605.906)</f>
        <v>32605.906</v>
      </c>
      <c r="P28" s="2"/>
    </row>
    <row r="29">
      <c r="A29" s="3" t="s">
        <v>168</v>
      </c>
      <c r="B29" s="3" t="s">
        <v>135</v>
      </c>
      <c r="C29" s="3" t="s">
        <v>169</v>
      </c>
      <c r="D29" s="2" t="str">
        <f t="array" ref="D29">INDEX(covid, MATCH($A29,iso_code,0), MATCH(D$1, columns, 0))</f>
        <v>#N/A</v>
      </c>
      <c r="E29" s="2" t="str">
        <f t="array" ref="E29">INDEX(covid, MATCH($A29,iso_code,0), MATCH(E$1, columns, 0))</f>
        <v>#N/A</v>
      </c>
      <c r="F29" s="2" t="str">
        <f t="array" ref="F29">INDEX(covid, MATCH($A29,iso_code,0), MATCH(F$1, columns, 0))</f>
        <v>#N/A</v>
      </c>
      <c r="G29" s="2" t="str">
        <f t="array" ref="G29">INDEX(covid, MATCH($A29,iso_code,0), MATCH(G$1, columns, 0))</f>
        <v>#N/A</v>
      </c>
      <c r="H29" s="16"/>
      <c r="I29" s="21" t="s">
        <v>10</v>
      </c>
      <c r="K29" s="24" t="str">
        <f>IFERROR(__xludf.DUMMYFUNCTION("""COMPUTED_VALUE"""),"Greece")</f>
        <v>Greece</v>
      </c>
      <c r="L29" s="25">
        <f>IFERROR(__xludf.DUMMYFUNCTION("""COMPUTED_VALUE"""),1210853.0)</f>
        <v>1210853</v>
      </c>
      <c r="M29" s="25">
        <f>IFERROR(__xludf.DUMMYFUNCTION("""COMPUTED_VALUE"""),20790.0)</f>
        <v>20790</v>
      </c>
      <c r="N29" s="25">
        <f>IFERROR(__xludf.DUMMYFUNCTION("""COMPUTED_VALUE"""),1.0370747E7)</f>
        <v>10370747</v>
      </c>
      <c r="O29" s="26">
        <f>IFERROR(__xludf.DUMMYFUNCTION("""COMPUTED_VALUE"""),24574.382)</f>
        <v>24574.382</v>
      </c>
      <c r="P29" s="2"/>
    </row>
    <row r="30">
      <c r="A30" s="3" t="s">
        <v>170</v>
      </c>
      <c r="B30" s="3" t="s">
        <v>130</v>
      </c>
      <c r="C30" s="3" t="s">
        <v>171</v>
      </c>
      <c r="D30" s="2" t="str">
        <f t="array" ref="D30">INDEX(covid, MATCH($A30,iso_code,0), MATCH(D$1, columns, 0))</f>
        <v>#N/A</v>
      </c>
      <c r="E30" s="2" t="str">
        <f t="array" ref="E30">INDEX(covid, MATCH($A30,iso_code,0), MATCH(E$1, columns, 0))</f>
        <v>#N/A</v>
      </c>
      <c r="F30" s="2" t="str">
        <f t="array" ref="F30">INDEX(covid, MATCH($A30,iso_code,0), MATCH(F$1, columns, 0))</f>
        <v>#N/A</v>
      </c>
      <c r="G30" s="2" t="str">
        <f t="array" ref="G30">INDEX(covid, MATCH($A30,iso_code,0), MATCH(G$1, columns, 0))</f>
        <v>#N/A</v>
      </c>
      <c r="H30" s="16"/>
      <c r="I30" s="2"/>
      <c r="J30" s="2"/>
      <c r="K30" s="2" t="str">
        <f>IFERROR(__xludf.DUMMYFUNCTION("""COMPUTED_VALUE"""),"Portugal")</f>
        <v>Portugal</v>
      </c>
      <c r="L30" s="14">
        <f>IFERROR(__xludf.DUMMYFUNCTION("""COMPUTED_VALUE"""),1389646.0)</f>
        <v>1389646</v>
      </c>
      <c r="M30" s="14">
        <f>IFERROR(__xludf.DUMMYFUNCTION("""COMPUTED_VALUE"""),18955.0)</f>
        <v>18955</v>
      </c>
      <c r="N30" s="14">
        <f>IFERROR(__xludf.DUMMYFUNCTION("""COMPUTED_VALUE"""),1.0167923E7)</f>
        <v>10167923</v>
      </c>
      <c r="O30" s="10">
        <f>IFERROR(__xludf.DUMMYFUNCTION("""COMPUTED_VALUE"""),27936.896)</f>
        <v>27936.896</v>
      </c>
      <c r="P30" s="2"/>
    </row>
    <row r="31">
      <c r="A31" s="3" t="s">
        <v>172</v>
      </c>
      <c r="B31" s="3" t="s">
        <v>122</v>
      </c>
      <c r="C31" s="3" t="s">
        <v>173</v>
      </c>
      <c r="D31" s="2" t="str">
        <f t="array" ref="D31">INDEX(covid, MATCH($A31,iso_code,0), MATCH(D$1, columns, 0))</f>
        <v>#N/A</v>
      </c>
      <c r="E31" s="2" t="str">
        <f t="array" ref="E31">INDEX(covid, MATCH($A31,iso_code,0), MATCH(E$1, columns, 0))</f>
        <v>#N/A</v>
      </c>
      <c r="F31" s="2" t="str">
        <f t="array" ref="F31">INDEX(covid, MATCH($A31,iso_code,0), MATCH(F$1, columns, 0))</f>
        <v>#N/A</v>
      </c>
      <c r="G31" s="2" t="str">
        <f t="array" ref="G31">INDEX(covid, MATCH($A31,iso_code,0), MATCH(G$1, columns, 0))</f>
        <v>#N/A</v>
      </c>
      <c r="H31" s="16"/>
      <c r="I31" s="2"/>
      <c r="J31" s="2"/>
      <c r="K31" s="2" t="str">
        <f>IFERROR(__xludf.DUMMYFUNCTION("""COMPUTED_VALUE"""),"Sweden")</f>
        <v>Sweden</v>
      </c>
      <c r="L31" s="14">
        <f>IFERROR(__xludf.DUMMYFUNCTION("""COMPUTED_VALUE"""),1314784.0)</f>
        <v>1314784</v>
      </c>
      <c r="M31" s="14">
        <f>IFERROR(__xludf.DUMMYFUNCTION("""COMPUTED_VALUE"""),15310.0)</f>
        <v>15310</v>
      </c>
      <c r="N31" s="14">
        <f>IFERROR(__xludf.DUMMYFUNCTION("""COMPUTED_VALUE"""),1.0160159E7)</f>
        <v>10160159</v>
      </c>
      <c r="O31" s="10">
        <f>IFERROR(__xludf.DUMMYFUNCTION("""COMPUTED_VALUE"""),46949.283)</f>
        <v>46949.283</v>
      </c>
      <c r="P31" s="2"/>
    </row>
    <row r="32">
      <c r="A32" s="3" t="s">
        <v>31</v>
      </c>
      <c r="B32" s="3" t="s">
        <v>23</v>
      </c>
      <c r="C32" s="3" t="s">
        <v>32</v>
      </c>
      <c r="D32" s="14">
        <f t="array" ref="D32">INDEX(covid, MATCH($A32,iso_code,0), MATCH(D$1, columns, 0))</f>
        <v>747108</v>
      </c>
      <c r="E32" s="14">
        <f t="array" ref="E32">INDEX(covid, MATCH($A32,iso_code,0), MATCH(E$1, columns, 0))</f>
        <v>30955</v>
      </c>
      <c r="F32" s="14">
        <f t="array" ref="F32">INDEX(covid, MATCH($A32,iso_code,0), MATCH(F$1, columns, 0))</f>
        <v>6896655</v>
      </c>
      <c r="G32" s="10">
        <f t="array" ref="G32">INDEX(covid, MATCH($A32,iso_code,0), MATCH(G$1, columns, 0))</f>
        <v>18563.307</v>
      </c>
      <c r="H32" s="16"/>
      <c r="I32" s="2"/>
      <c r="J32" s="2"/>
      <c r="K32" s="2" t="str">
        <f>IFERROR(__xludf.DUMMYFUNCTION("""COMPUTED_VALUE"""),"Hungary")</f>
        <v>Hungary</v>
      </c>
      <c r="L32" s="14">
        <f>IFERROR(__xludf.DUMMYFUNCTION("""COMPUTED_VALUE"""),1256415.0)</f>
        <v>1256415</v>
      </c>
      <c r="M32" s="14">
        <f>IFERROR(__xludf.DUMMYFUNCTION("""COMPUTED_VALUE"""),39186.0)</f>
        <v>39186</v>
      </c>
      <c r="N32" s="14">
        <f>IFERROR(__xludf.DUMMYFUNCTION("""COMPUTED_VALUE"""),9634162.0)</f>
        <v>9634162</v>
      </c>
      <c r="O32" s="10">
        <f>IFERROR(__xludf.DUMMYFUNCTION("""COMPUTED_VALUE"""),26777.561)</f>
        <v>26777.561</v>
      </c>
      <c r="P32" s="2"/>
    </row>
    <row r="33">
      <c r="A33" s="3" t="s">
        <v>174</v>
      </c>
      <c r="B33" s="3" t="s">
        <v>125</v>
      </c>
      <c r="C33" s="3" t="s">
        <v>175</v>
      </c>
      <c r="D33" s="2" t="str">
        <f t="array" ref="D33">INDEX(covid, MATCH($A33,iso_code,0), MATCH(D$1, columns, 0))</f>
        <v>#N/A</v>
      </c>
      <c r="E33" s="2" t="str">
        <f t="array" ref="E33">INDEX(covid, MATCH($A33,iso_code,0), MATCH(E$1, columns, 0))</f>
        <v>#N/A</v>
      </c>
      <c r="F33" s="2" t="str">
        <f t="array" ref="F33">INDEX(covid, MATCH($A33,iso_code,0), MATCH(F$1, columns, 0))</f>
        <v>#N/A</v>
      </c>
      <c r="G33" s="2" t="str">
        <f t="array" ref="G33">INDEX(covid, MATCH($A33,iso_code,0), MATCH(G$1, columns, 0))</f>
        <v>#N/A</v>
      </c>
      <c r="H33" s="16"/>
      <c r="I33" s="2"/>
      <c r="J33" s="2"/>
      <c r="K33" s="2" t="str">
        <f>IFERROR(__xludf.DUMMYFUNCTION("""COMPUTED_VALUE"""),"Belarus")</f>
        <v>Belarus</v>
      </c>
      <c r="L33" s="14">
        <f>IFERROR(__xludf.DUMMYFUNCTION("""COMPUTED_VALUE"""),699110.0)</f>
        <v>699110</v>
      </c>
      <c r="M33" s="14">
        <f>IFERROR(__xludf.DUMMYFUNCTION("""COMPUTED_VALUE"""),5578.0)</f>
        <v>5578</v>
      </c>
      <c r="N33" s="14">
        <f>IFERROR(__xludf.DUMMYFUNCTION("""COMPUTED_VALUE"""),9442867.0)</f>
        <v>9442867</v>
      </c>
      <c r="O33" s="10">
        <f>IFERROR(__xludf.DUMMYFUNCTION("""COMPUTED_VALUE"""),17167.967)</f>
        <v>17167.967</v>
      </c>
      <c r="P33" s="2"/>
    </row>
    <row r="34">
      <c r="A34" s="3" t="s">
        <v>176</v>
      </c>
      <c r="B34" s="3" t="s">
        <v>125</v>
      </c>
      <c r="C34" s="3" t="s">
        <v>177</v>
      </c>
      <c r="D34" s="2" t="str">
        <f t="array" ref="D34">INDEX(covid, MATCH($A34,iso_code,0), MATCH(D$1, columns, 0))</f>
        <v>#N/A</v>
      </c>
      <c r="E34" s="2" t="str">
        <f t="array" ref="E34">INDEX(covid, MATCH($A34,iso_code,0), MATCH(E$1, columns, 0))</f>
        <v>#N/A</v>
      </c>
      <c r="F34" s="2" t="str">
        <f t="array" ref="F34">INDEX(covid, MATCH($A34,iso_code,0), MATCH(F$1, columns, 0))</f>
        <v>#N/A</v>
      </c>
      <c r="G34" s="2" t="str">
        <f t="array" ref="G34">INDEX(covid, MATCH($A34,iso_code,0), MATCH(G$1, columns, 0))</f>
        <v>#N/A</v>
      </c>
      <c r="H34" s="16"/>
      <c r="I34" s="2"/>
      <c r="J34" s="2"/>
      <c r="K34" s="2" t="str">
        <f>IFERROR(__xludf.DUMMYFUNCTION("""COMPUTED_VALUE"""),"Austria")</f>
        <v>Austria</v>
      </c>
      <c r="L34" s="14">
        <f>IFERROR(__xludf.DUMMYFUNCTION("""COMPUTED_VALUE"""),1278619.0)</f>
        <v>1278619</v>
      </c>
      <c r="M34" s="14">
        <f>IFERROR(__xludf.DUMMYFUNCTION("""COMPUTED_VALUE"""),13733.0)</f>
        <v>13733</v>
      </c>
      <c r="N34" s="14">
        <f>IFERROR(__xludf.DUMMYFUNCTION("""COMPUTED_VALUE"""),9043072.0)</f>
        <v>9043072</v>
      </c>
      <c r="O34" s="10">
        <f>IFERROR(__xludf.DUMMYFUNCTION("""COMPUTED_VALUE"""),45436.686)</f>
        <v>45436.686</v>
      </c>
      <c r="P34" s="2"/>
    </row>
    <row r="35">
      <c r="A35" s="3" t="s">
        <v>178</v>
      </c>
      <c r="B35" s="3" t="s">
        <v>122</v>
      </c>
      <c r="C35" s="3" t="s">
        <v>179</v>
      </c>
      <c r="D35" s="2" t="str">
        <f t="array" ref="D35">INDEX(covid, MATCH($A35,iso_code,0), MATCH(D$1, columns, 0))</f>
        <v>#N/A</v>
      </c>
      <c r="E35" s="2" t="str">
        <f t="array" ref="E35">INDEX(covid, MATCH($A35,iso_code,0), MATCH(E$1, columns, 0))</f>
        <v>#N/A</v>
      </c>
      <c r="F35" s="2" t="str">
        <f t="array" ref="F35">INDEX(covid, MATCH($A35,iso_code,0), MATCH(F$1, columns, 0))</f>
        <v>#N/A</v>
      </c>
      <c r="G35" s="2" t="str">
        <f t="array" ref="G35">INDEX(covid, MATCH($A35,iso_code,0), MATCH(G$1, columns, 0))</f>
        <v>#N/A</v>
      </c>
      <c r="H35" s="16"/>
      <c r="I35" s="2"/>
      <c r="J35" s="2"/>
      <c r="K35" s="2" t="str">
        <f>IFERROR(__xludf.DUMMYFUNCTION("""COMPUTED_VALUE"""),"Switzerland")</f>
        <v>Switzerland</v>
      </c>
      <c r="L35" s="14">
        <f>IFERROR(__xludf.DUMMYFUNCTION("""COMPUTED_VALUE"""),1332615.0)</f>
        <v>1332615</v>
      </c>
      <c r="M35" s="14">
        <f>IFERROR(__xludf.DUMMYFUNCTION("""COMPUTED_VALUE"""),12217.0)</f>
        <v>12217</v>
      </c>
      <c r="N35" s="14">
        <f>IFERROR(__xludf.DUMMYFUNCTION("""COMPUTED_VALUE"""),8715494.0)</f>
        <v>8715494</v>
      </c>
      <c r="O35" s="10">
        <f>IFERROR(__xludf.DUMMYFUNCTION("""COMPUTED_VALUE"""),57410.166000001)</f>
        <v>57410.166</v>
      </c>
      <c r="P35" s="2"/>
    </row>
    <row r="36">
      <c r="A36" s="3" t="s">
        <v>180</v>
      </c>
      <c r="B36" s="3" t="s">
        <v>125</v>
      </c>
      <c r="C36" s="3" t="s">
        <v>181</v>
      </c>
      <c r="D36" s="2" t="str">
        <f t="array" ref="D36">INDEX(covid, MATCH($A36,iso_code,0), MATCH(D$1, columns, 0))</f>
        <v>#N/A</v>
      </c>
      <c r="E36" s="2" t="str">
        <f t="array" ref="E36">INDEX(covid, MATCH($A36,iso_code,0), MATCH(E$1, columns, 0))</f>
        <v>#N/A</v>
      </c>
      <c r="F36" s="2" t="str">
        <f t="array" ref="F36">INDEX(covid, MATCH($A36,iso_code,0), MATCH(F$1, columns, 0))</f>
        <v>#N/A</v>
      </c>
      <c r="G36" s="2" t="str">
        <f t="array" ref="G36">INDEX(covid, MATCH($A36,iso_code,0), MATCH(G$1, columns, 0))</f>
        <v>#N/A</v>
      </c>
      <c r="H36" s="16"/>
      <c r="I36" s="2"/>
      <c r="J36" s="2"/>
      <c r="K36" s="2" t="str">
        <f>IFERROR(__xludf.DUMMYFUNCTION("""COMPUTED_VALUE"""),"Bulgaria")</f>
        <v>Bulgaria</v>
      </c>
      <c r="L36" s="14">
        <f>IFERROR(__xludf.DUMMYFUNCTION("""COMPUTED_VALUE"""),747108.0)</f>
        <v>747108</v>
      </c>
      <c r="M36" s="14">
        <f>IFERROR(__xludf.DUMMYFUNCTION("""COMPUTED_VALUE"""),30955.0)</f>
        <v>30955</v>
      </c>
      <c r="N36" s="14">
        <f>IFERROR(__xludf.DUMMYFUNCTION("""COMPUTED_VALUE"""),6896655.0)</f>
        <v>6896655</v>
      </c>
      <c r="O36" s="10">
        <f>IFERROR(__xludf.DUMMYFUNCTION("""COMPUTED_VALUE"""),18563.307)</f>
        <v>18563.307</v>
      </c>
      <c r="P36" s="2"/>
    </row>
    <row r="37">
      <c r="A37" s="3" t="s">
        <v>182</v>
      </c>
      <c r="B37" s="3" t="s">
        <v>130</v>
      </c>
      <c r="C37" s="3" t="s">
        <v>183</v>
      </c>
      <c r="D37" s="2" t="str">
        <f t="array" ref="D37">INDEX(covid, MATCH($A37,iso_code,0), MATCH(D$1, columns, 0))</f>
        <v>#N/A</v>
      </c>
      <c r="E37" s="2" t="str">
        <f t="array" ref="E37">INDEX(covid, MATCH($A37,iso_code,0), MATCH(E$1, columns, 0))</f>
        <v>#N/A</v>
      </c>
      <c r="F37" s="2" t="str">
        <f t="array" ref="F37">INDEX(covid, MATCH($A37,iso_code,0), MATCH(F$1, columns, 0))</f>
        <v>#N/A</v>
      </c>
      <c r="G37" s="2" t="str">
        <f t="array" ref="G37">INDEX(covid, MATCH($A37,iso_code,0), MATCH(G$1, columns, 0))</f>
        <v>#N/A</v>
      </c>
      <c r="H37" s="16"/>
      <c r="I37" s="2"/>
      <c r="J37" s="2"/>
      <c r="K37" s="2" t="str">
        <f>IFERROR(__xludf.DUMMYFUNCTION("""COMPUTED_VALUE"""),"Serbia")</f>
        <v>Serbia</v>
      </c>
      <c r="L37" s="14">
        <f>IFERROR(__xludf.DUMMYFUNCTION("""COMPUTED_VALUE"""),1299339.0)</f>
        <v>1299339</v>
      </c>
      <c r="M37" s="14">
        <f>IFERROR(__xludf.DUMMYFUNCTION("""COMPUTED_VALUE"""),12714.0)</f>
        <v>12714</v>
      </c>
      <c r="N37" s="14">
        <f>IFERROR(__xludf.DUMMYFUNCTION("""COMPUTED_VALUE"""),6871547.0)</f>
        <v>6871547</v>
      </c>
      <c r="O37" s="10">
        <f>IFERROR(__xludf.DUMMYFUNCTION("""COMPUTED_VALUE"""),14048.881)</f>
        <v>14048.881</v>
      </c>
      <c r="P37" s="2"/>
    </row>
    <row r="38">
      <c r="A38" s="3" t="s">
        <v>184</v>
      </c>
      <c r="B38" s="3" t="s">
        <v>125</v>
      </c>
      <c r="C38" s="3" t="s">
        <v>185</v>
      </c>
      <c r="D38" s="2" t="str">
        <f t="array" ref="D38">INDEX(covid, MATCH($A38,iso_code,0), MATCH(D$1, columns, 0))</f>
        <v>#N/A</v>
      </c>
      <c r="E38" s="2" t="str">
        <f t="array" ref="E38">INDEX(covid, MATCH($A38,iso_code,0), MATCH(E$1, columns, 0))</f>
        <v>#N/A</v>
      </c>
      <c r="F38" s="2" t="str">
        <f t="array" ref="F38">INDEX(covid, MATCH($A38,iso_code,0), MATCH(F$1, columns, 0))</f>
        <v>#N/A</v>
      </c>
      <c r="G38" s="2" t="str">
        <f t="array" ref="G38">INDEX(covid, MATCH($A38,iso_code,0), MATCH(G$1, columns, 0))</f>
        <v>#N/A</v>
      </c>
      <c r="H38" s="16"/>
      <c r="I38" s="2"/>
      <c r="J38" s="2"/>
      <c r="K38" s="2" t="str">
        <f>IFERROR(__xludf.DUMMYFUNCTION("""COMPUTED_VALUE"""),"Denmark")</f>
        <v>Denmark</v>
      </c>
      <c r="L38" s="14">
        <f>IFERROR(__xludf.DUMMYFUNCTION("""COMPUTED_VALUE"""),802397.0)</f>
        <v>802397</v>
      </c>
      <c r="M38" s="14">
        <f>IFERROR(__xludf.DUMMYFUNCTION("""COMPUTED_VALUE"""),3207.0)</f>
        <v>3207</v>
      </c>
      <c r="N38" s="14">
        <f>IFERROR(__xludf.DUMMYFUNCTION("""COMPUTED_VALUE"""),5813302.0)</f>
        <v>5813302</v>
      </c>
      <c r="O38" s="10">
        <f>IFERROR(__xludf.DUMMYFUNCTION("""COMPUTED_VALUE"""),46682.515)</f>
        <v>46682.515</v>
      </c>
      <c r="P38" s="2"/>
    </row>
    <row r="39">
      <c r="A39" s="3" t="s">
        <v>186</v>
      </c>
      <c r="B39" s="3" t="s">
        <v>130</v>
      </c>
      <c r="C39" s="3" t="s">
        <v>187</v>
      </c>
      <c r="D39" s="2" t="str">
        <f t="array" ref="D39">INDEX(covid, MATCH($A39,iso_code,0), MATCH(D$1, columns, 0))</f>
        <v>#N/A</v>
      </c>
      <c r="E39" s="2" t="str">
        <f t="array" ref="E39">INDEX(covid, MATCH($A39,iso_code,0), MATCH(E$1, columns, 0))</f>
        <v>#N/A</v>
      </c>
      <c r="F39" s="2" t="str">
        <f t="array" ref="F39">INDEX(covid, MATCH($A39,iso_code,0), MATCH(F$1, columns, 0))</f>
        <v>#N/A</v>
      </c>
      <c r="G39" s="2" t="str">
        <f t="array" ref="G39">INDEX(covid, MATCH($A39,iso_code,0), MATCH(G$1, columns, 0))</f>
        <v>#N/A</v>
      </c>
      <c r="H39" s="16"/>
      <c r="I39" s="2"/>
      <c r="J39" s="2"/>
      <c r="K39" s="2" t="str">
        <f>IFERROR(__xludf.DUMMYFUNCTION("""COMPUTED_VALUE"""),"Finland")</f>
        <v>Finland</v>
      </c>
      <c r="L39" s="14">
        <f>IFERROR(__xludf.DUMMYFUNCTION("""COMPUTED_VALUE"""),260292.0)</f>
        <v>260292</v>
      </c>
      <c r="M39" s="14">
        <f>IFERROR(__xludf.DUMMYFUNCTION("""COMPUTED_VALUE"""),1564.0)</f>
        <v>1564</v>
      </c>
      <c r="N39" s="14">
        <f>IFERROR(__xludf.DUMMYFUNCTION("""COMPUTED_VALUE"""),5548361.0)</f>
        <v>5548361</v>
      </c>
      <c r="O39" s="10">
        <f>IFERROR(__xludf.DUMMYFUNCTION("""COMPUTED_VALUE"""),40585.721000001)</f>
        <v>40585.721</v>
      </c>
      <c r="P39" s="2"/>
    </row>
    <row r="40">
      <c r="A40" s="3" t="s">
        <v>188</v>
      </c>
      <c r="B40" s="3" t="s">
        <v>125</v>
      </c>
      <c r="C40" s="3" t="s">
        <v>189</v>
      </c>
      <c r="D40" s="2" t="str">
        <f t="array" ref="D40">INDEX(covid, MATCH($A40,iso_code,0), MATCH(D$1, columns, 0))</f>
        <v>#N/A</v>
      </c>
      <c r="E40" s="2" t="str">
        <f t="array" ref="E40">INDEX(covid, MATCH($A40,iso_code,0), MATCH(E$1, columns, 0))</f>
        <v>#N/A</v>
      </c>
      <c r="F40" s="2" t="str">
        <f t="array" ref="F40">INDEX(covid, MATCH($A40,iso_code,0), MATCH(F$1, columns, 0))</f>
        <v>#N/A</v>
      </c>
      <c r="G40" s="2" t="str">
        <f t="array" ref="G40">INDEX(covid, MATCH($A40,iso_code,0), MATCH(G$1, columns, 0))</f>
        <v>#N/A</v>
      </c>
      <c r="H40" s="16"/>
      <c r="I40" s="2"/>
      <c r="J40" s="2"/>
      <c r="K40" s="2" t="str">
        <f>IFERROR(__xludf.DUMMYFUNCTION("""COMPUTED_VALUE"""),"Norway")</f>
        <v>Norway</v>
      </c>
      <c r="L40" s="14">
        <f>IFERROR(__xludf.DUMMYFUNCTION("""COMPUTED_VALUE"""),394259.0)</f>
        <v>394259</v>
      </c>
      <c r="M40" s="14">
        <f>IFERROR(__xludf.DUMMYFUNCTION("""COMPUTED_VALUE"""),1305.0)</f>
        <v>1305</v>
      </c>
      <c r="N40" s="14">
        <f>IFERROR(__xludf.DUMMYFUNCTION("""COMPUTED_VALUE"""),5465629.0)</f>
        <v>5465629</v>
      </c>
      <c r="O40" s="10">
        <f>IFERROR(__xludf.DUMMYFUNCTION("""COMPUTED_VALUE"""),64800.056999999)</f>
        <v>64800.057</v>
      </c>
      <c r="P40" s="2"/>
    </row>
    <row r="41">
      <c r="A41" s="3" t="s">
        <v>190</v>
      </c>
      <c r="B41" s="3" t="s">
        <v>125</v>
      </c>
      <c r="C41" s="3" t="s">
        <v>191</v>
      </c>
      <c r="D41" s="2" t="str">
        <f t="array" ref="D41">INDEX(covid, MATCH($A41,iso_code,0), MATCH(D$1, columns, 0))</f>
        <v>#N/A</v>
      </c>
      <c r="E41" s="2" t="str">
        <f t="array" ref="E41">INDEX(covid, MATCH($A41,iso_code,0), MATCH(E$1, columns, 0))</f>
        <v>#N/A</v>
      </c>
      <c r="F41" s="2" t="str">
        <f t="array" ref="F41">INDEX(covid, MATCH($A41,iso_code,0), MATCH(F$1, columns, 0))</f>
        <v>#N/A</v>
      </c>
      <c r="G41" s="2" t="str">
        <f t="array" ref="G41">INDEX(covid, MATCH($A41,iso_code,0), MATCH(G$1, columns, 0))</f>
        <v>#N/A</v>
      </c>
      <c r="H41" s="16"/>
      <c r="I41" s="2"/>
      <c r="J41" s="2"/>
      <c r="K41" s="2" t="str">
        <f>IFERROR(__xludf.DUMMYFUNCTION("""COMPUTED_VALUE"""),"Slovakia")</f>
        <v>Slovakia</v>
      </c>
      <c r="L41" s="14">
        <f>IFERROR(__xludf.DUMMYFUNCTION("""COMPUTED_VALUE"""),1371082.0)</f>
        <v>1371082</v>
      </c>
      <c r="M41" s="14">
        <f>IFERROR(__xludf.DUMMYFUNCTION("""COMPUTED_VALUE"""),16635.0)</f>
        <v>16635</v>
      </c>
      <c r="N41" s="14">
        <f>IFERROR(__xludf.DUMMYFUNCTION("""COMPUTED_VALUE"""),5449270.0)</f>
        <v>5449270</v>
      </c>
      <c r="O41" s="10">
        <f>IFERROR(__xludf.DUMMYFUNCTION("""COMPUTED_VALUE"""),30155.152)</f>
        <v>30155.152</v>
      </c>
      <c r="P41" s="2"/>
    </row>
    <row r="42">
      <c r="A42" s="3" t="s">
        <v>192</v>
      </c>
      <c r="B42" s="3" t="s">
        <v>135</v>
      </c>
      <c r="C42" s="3" t="s">
        <v>193</v>
      </c>
      <c r="D42" s="2" t="str">
        <f t="array" ref="D42">INDEX(covid, MATCH($A42,iso_code,0), MATCH(D$1, columns, 0))</f>
        <v>#N/A</v>
      </c>
      <c r="E42" s="2" t="str">
        <f t="array" ref="E42">INDEX(covid, MATCH($A42,iso_code,0), MATCH(E$1, columns, 0))</f>
        <v>#N/A</v>
      </c>
      <c r="F42" s="2" t="str">
        <f t="array" ref="F42">INDEX(covid, MATCH($A42,iso_code,0), MATCH(F$1, columns, 0))</f>
        <v>#N/A</v>
      </c>
      <c r="G42" s="2" t="str">
        <f t="array" ref="G42">INDEX(covid, MATCH($A42,iso_code,0), MATCH(G$1, columns, 0))</f>
        <v>#N/A</v>
      </c>
      <c r="H42" s="16"/>
      <c r="I42" s="2"/>
      <c r="J42" s="2"/>
      <c r="K42" s="2" t="str">
        <f>IFERROR(__xludf.DUMMYFUNCTION("""COMPUTED_VALUE"""),"Ireland")</f>
        <v>Ireland</v>
      </c>
      <c r="L42" s="14">
        <f>IFERROR(__xludf.DUMMYFUNCTION("""COMPUTED_VALUE"""),788559.0)</f>
        <v>788559</v>
      </c>
      <c r="M42" s="14">
        <f>IFERROR(__xludf.DUMMYFUNCTION("""COMPUTED_VALUE"""),5912.0)</f>
        <v>5912</v>
      </c>
      <c r="N42" s="14">
        <f>IFERROR(__xludf.DUMMYFUNCTION("""COMPUTED_VALUE"""),4982904.0)</f>
        <v>4982904</v>
      </c>
      <c r="O42" s="10">
        <f>IFERROR(__xludf.DUMMYFUNCTION("""COMPUTED_VALUE"""),67335.293)</f>
        <v>67335.293</v>
      </c>
      <c r="P42" s="2"/>
    </row>
    <row r="43">
      <c r="A43" s="3" t="s">
        <v>194</v>
      </c>
      <c r="B43" s="3" t="s">
        <v>122</v>
      </c>
      <c r="C43" s="3" t="s">
        <v>195</v>
      </c>
      <c r="D43" s="2" t="str">
        <f t="array" ref="D43">INDEX(covid, MATCH($A43,iso_code,0), MATCH(D$1, columns, 0))</f>
        <v>#N/A</v>
      </c>
      <c r="E43" s="2" t="str">
        <f t="array" ref="E43">INDEX(covid, MATCH($A43,iso_code,0), MATCH(E$1, columns, 0))</f>
        <v>#N/A</v>
      </c>
      <c r="F43" s="2" t="str">
        <f t="array" ref="F43">INDEX(covid, MATCH($A43,iso_code,0), MATCH(F$1, columns, 0))</f>
        <v>#N/A</v>
      </c>
      <c r="G43" s="2" t="str">
        <f t="array" ref="G43">INDEX(covid, MATCH($A43,iso_code,0), MATCH(G$1, columns, 0))</f>
        <v>#N/A</v>
      </c>
      <c r="H43" s="16"/>
      <c r="I43" s="2"/>
      <c r="J43" s="2"/>
      <c r="K43" s="2" t="str">
        <f>IFERROR(__xludf.DUMMYFUNCTION("""COMPUTED_VALUE"""),"Croatia")</f>
        <v>Croatia</v>
      </c>
      <c r="L43" s="14">
        <f>IFERROR(__xludf.DUMMYFUNCTION("""COMPUTED_VALUE"""),715245.0)</f>
        <v>715245</v>
      </c>
      <c r="M43" s="14">
        <f>IFERROR(__xludf.DUMMYFUNCTION("""COMPUTED_VALUE"""),12538.0)</f>
        <v>12538</v>
      </c>
      <c r="N43" s="14">
        <f>IFERROR(__xludf.DUMMYFUNCTION("""COMPUTED_VALUE"""),4081657.0)</f>
        <v>4081657</v>
      </c>
      <c r="O43" s="10">
        <f>IFERROR(__xludf.DUMMYFUNCTION("""COMPUTED_VALUE"""),22669.797)</f>
        <v>22669.797</v>
      </c>
      <c r="P43" s="2"/>
    </row>
    <row r="44">
      <c r="A44" s="3" t="s">
        <v>196</v>
      </c>
      <c r="B44" s="3" t="s">
        <v>135</v>
      </c>
      <c r="C44" s="3" t="s">
        <v>197</v>
      </c>
      <c r="D44" s="2" t="str">
        <f t="array" ref="D44">INDEX(covid, MATCH($A44,iso_code,0), MATCH(D$1, columns, 0))</f>
        <v>#N/A</v>
      </c>
      <c r="E44" s="2" t="str">
        <f t="array" ref="E44">INDEX(covid, MATCH($A44,iso_code,0), MATCH(E$1, columns, 0))</f>
        <v>#N/A</v>
      </c>
      <c r="F44" s="2" t="str">
        <f t="array" ref="F44">INDEX(covid, MATCH($A44,iso_code,0), MATCH(F$1, columns, 0))</f>
        <v>#N/A</v>
      </c>
      <c r="G44" s="2" t="str">
        <f t="array" ref="G44">INDEX(covid, MATCH($A44,iso_code,0), MATCH(G$1, columns, 0))</f>
        <v>#N/A</v>
      </c>
      <c r="H44" s="16"/>
      <c r="I44" s="2"/>
      <c r="J44" s="2"/>
      <c r="K44" s="2" t="str">
        <f>IFERROR(__xludf.DUMMYFUNCTION("""COMPUTED_VALUE"""),"Moldova")</f>
        <v>Moldova</v>
      </c>
      <c r="L44" s="14">
        <f>IFERROR(__xludf.DUMMYFUNCTION("""COMPUTED_VALUE"""),376155.0)</f>
        <v>376155</v>
      </c>
      <c r="M44" s="14">
        <f>IFERROR(__xludf.DUMMYFUNCTION("""COMPUTED_VALUE"""),9690.0)</f>
        <v>9690</v>
      </c>
      <c r="N44" s="14">
        <f>IFERROR(__xludf.DUMMYFUNCTION("""COMPUTED_VALUE"""),4024025.0)</f>
        <v>4024025</v>
      </c>
      <c r="O44" s="10">
        <f>IFERROR(__xludf.DUMMYFUNCTION("""COMPUTED_VALUE"""),5189.972)</f>
        <v>5189.972</v>
      </c>
      <c r="P44" s="2"/>
    </row>
    <row r="45">
      <c r="A45" s="3" t="s">
        <v>198</v>
      </c>
      <c r="B45" s="3" t="s">
        <v>125</v>
      </c>
      <c r="C45" s="3" t="s">
        <v>199</v>
      </c>
      <c r="D45" s="2" t="str">
        <f t="array" ref="D45">INDEX(covid, MATCH($A45,iso_code,0), MATCH(D$1, columns, 0))</f>
        <v>#N/A</v>
      </c>
      <c r="E45" s="2" t="str">
        <f t="array" ref="E45">INDEX(covid, MATCH($A45,iso_code,0), MATCH(E$1, columns, 0))</f>
        <v>#N/A</v>
      </c>
      <c r="F45" s="2" t="str">
        <f t="array" ref="F45">INDEX(covid, MATCH($A45,iso_code,0), MATCH(F$1, columns, 0))</f>
        <v>#N/A</v>
      </c>
      <c r="G45" s="2" t="str">
        <f t="array" ref="G45">INDEX(covid, MATCH($A45,iso_code,0), MATCH(G$1, columns, 0))</f>
        <v>#N/A</v>
      </c>
      <c r="H45" s="16"/>
      <c r="I45" s="2"/>
      <c r="J45" s="2"/>
      <c r="K45" s="2" t="str">
        <f>IFERROR(__xludf.DUMMYFUNCTION("""COMPUTED_VALUE"""),"Bosnia and Herzegovina")</f>
        <v>Bosnia and Herzegovina</v>
      </c>
      <c r="L45" s="14">
        <f>IFERROR(__xludf.DUMMYFUNCTION("""COMPUTED_VALUE"""),291313.0)</f>
        <v>291313</v>
      </c>
      <c r="M45" s="14">
        <f>IFERROR(__xludf.DUMMYFUNCTION("""COMPUTED_VALUE"""),13442.0)</f>
        <v>13442</v>
      </c>
      <c r="N45" s="14">
        <f>IFERROR(__xludf.DUMMYFUNCTION("""COMPUTED_VALUE"""),3263459.0)</f>
        <v>3263459</v>
      </c>
      <c r="O45" s="10">
        <f>IFERROR(__xludf.DUMMYFUNCTION("""COMPUTED_VALUE"""),11713.895)</f>
        <v>11713.895</v>
      </c>
      <c r="P45" s="2"/>
    </row>
    <row r="46">
      <c r="A46" s="3" t="s">
        <v>200</v>
      </c>
      <c r="B46" s="3" t="s">
        <v>125</v>
      </c>
      <c r="C46" s="3" t="s">
        <v>201</v>
      </c>
      <c r="D46" s="2" t="str">
        <f t="array" ref="D46">INDEX(covid, MATCH($A46,iso_code,0), MATCH(D$1, columns, 0))</f>
        <v>#N/A</v>
      </c>
      <c r="E46" s="2" t="str">
        <f t="array" ref="E46">INDEX(covid, MATCH($A46,iso_code,0), MATCH(E$1, columns, 0))</f>
        <v>#N/A</v>
      </c>
      <c r="F46" s="2" t="str">
        <f t="array" ref="F46">INDEX(covid, MATCH($A46,iso_code,0), MATCH(F$1, columns, 0))</f>
        <v>#N/A</v>
      </c>
      <c r="G46" s="2" t="str">
        <f t="array" ref="G46">INDEX(covid, MATCH($A46,iso_code,0), MATCH(G$1, columns, 0))</f>
        <v>#N/A</v>
      </c>
      <c r="H46" s="16"/>
      <c r="I46" s="2"/>
      <c r="J46" s="2"/>
      <c r="K46" s="2" t="str">
        <f>IFERROR(__xludf.DUMMYFUNCTION("""COMPUTED_VALUE"""),"Albania")</f>
        <v>Albania</v>
      </c>
      <c r="L46" s="14">
        <f>IFERROR(__xludf.DUMMYFUNCTION("""COMPUTED_VALUE"""),210224.0)</f>
        <v>210224</v>
      </c>
      <c r="M46" s="14">
        <f>IFERROR(__xludf.DUMMYFUNCTION("""COMPUTED_VALUE"""),3217.0)</f>
        <v>3217</v>
      </c>
      <c r="N46" s="14">
        <f>IFERROR(__xludf.DUMMYFUNCTION("""COMPUTED_VALUE"""),2872934.0)</f>
        <v>2872934</v>
      </c>
      <c r="O46" s="10">
        <f>IFERROR(__xludf.DUMMYFUNCTION("""COMPUTED_VALUE"""),11803.431)</f>
        <v>11803.431</v>
      </c>
      <c r="P46" s="2"/>
    </row>
    <row r="47">
      <c r="A47" s="3" t="s">
        <v>202</v>
      </c>
      <c r="B47" s="3" t="s">
        <v>130</v>
      </c>
      <c r="C47" s="3" t="s">
        <v>203</v>
      </c>
      <c r="D47" s="2" t="str">
        <f t="array" ref="D47">INDEX(covid, MATCH($A47,iso_code,0), MATCH(D$1, columns, 0))</f>
        <v>#N/A</v>
      </c>
      <c r="E47" s="2" t="str">
        <f t="array" ref="E47">INDEX(covid, MATCH($A47,iso_code,0), MATCH(E$1, columns, 0))</f>
        <v>#N/A</v>
      </c>
      <c r="F47" s="2" t="str">
        <f t="array" ref="F47">INDEX(covid, MATCH($A47,iso_code,0), MATCH(F$1, columns, 0))</f>
        <v>#N/A</v>
      </c>
      <c r="G47" s="2" t="str">
        <f t="array" ref="G47">INDEX(covid, MATCH($A47,iso_code,0), MATCH(G$1, columns, 0))</f>
        <v>#N/A</v>
      </c>
      <c r="H47" s="16"/>
      <c r="I47" s="2"/>
      <c r="J47" s="2"/>
      <c r="K47" s="2" t="str">
        <f>IFERROR(__xludf.DUMMYFUNCTION("""COMPUTED_VALUE"""),"Lithuania")</f>
        <v>Lithuania</v>
      </c>
      <c r="L47" s="14">
        <f>IFERROR(__xludf.DUMMYFUNCTION("""COMPUTED_VALUE"""),519597.0)</f>
        <v>519597</v>
      </c>
      <c r="M47" s="14">
        <f>IFERROR(__xludf.DUMMYFUNCTION("""COMPUTED_VALUE"""),7387.0)</f>
        <v>7387</v>
      </c>
      <c r="N47" s="14">
        <f>IFERROR(__xludf.DUMMYFUNCTION("""COMPUTED_VALUE"""),2689862.0)</f>
        <v>2689862</v>
      </c>
      <c r="O47" s="10">
        <f>IFERROR(__xludf.DUMMYFUNCTION("""COMPUTED_VALUE"""),29524.265)</f>
        <v>29524.265</v>
      </c>
      <c r="P47" s="2"/>
    </row>
    <row r="48">
      <c r="A48" s="3" t="s">
        <v>204</v>
      </c>
      <c r="B48" s="3" t="s">
        <v>125</v>
      </c>
      <c r="C48" s="3" t="s">
        <v>205</v>
      </c>
      <c r="D48" s="2" t="str">
        <f t="array" ref="D48">INDEX(covid, MATCH($A48,iso_code,0), MATCH(D$1, columns, 0))</f>
        <v>#N/A</v>
      </c>
      <c r="E48" s="2" t="str">
        <f t="array" ref="E48">INDEX(covid, MATCH($A48,iso_code,0), MATCH(E$1, columns, 0))</f>
        <v>#N/A</v>
      </c>
      <c r="F48" s="2" t="str">
        <f t="array" ref="F48">INDEX(covid, MATCH($A48,iso_code,0), MATCH(F$1, columns, 0))</f>
        <v>#N/A</v>
      </c>
      <c r="G48" s="2" t="str">
        <f t="array" ref="G48">INDEX(covid, MATCH($A48,iso_code,0), MATCH(G$1, columns, 0))</f>
        <v>#N/A</v>
      </c>
      <c r="H48" s="16"/>
      <c r="I48" s="2"/>
      <c r="J48" s="2"/>
      <c r="K48" s="2" t="str">
        <f>IFERROR(__xludf.DUMMYFUNCTION("""COMPUTED_VALUE"""),"Macedonia")</f>
        <v>Macedonia</v>
      </c>
      <c r="L48" s="14">
        <f>IFERROR(__xludf.DUMMYFUNCTION("""COMPUTED_VALUE"""),225049.0)</f>
        <v>225049</v>
      </c>
      <c r="M48" s="14">
        <f>IFERROR(__xludf.DUMMYFUNCTION("""COMPUTED_VALUE"""),7960.0)</f>
        <v>7960</v>
      </c>
      <c r="N48" s="14">
        <f>IFERROR(__xludf.DUMMYFUNCTION("""COMPUTED_VALUE"""),2082661.0)</f>
        <v>2082661</v>
      </c>
      <c r="O48" s="10">
        <f>IFERROR(__xludf.DUMMYFUNCTION("""COMPUTED_VALUE"""),13111.214)</f>
        <v>13111.214</v>
      </c>
      <c r="P48" s="2"/>
    </row>
    <row r="49">
      <c r="A49" s="3" t="s">
        <v>63</v>
      </c>
      <c r="B49" s="3" t="s">
        <v>23</v>
      </c>
      <c r="C49" s="3" t="s">
        <v>64</v>
      </c>
      <c r="D49" s="14">
        <f t="array" ref="D49">INDEX(covid, MATCH($A49,iso_code,0), MATCH(D$1, columns, 0))</f>
        <v>715245</v>
      </c>
      <c r="E49" s="14">
        <f t="array" ref="E49">INDEX(covid, MATCH($A49,iso_code,0), MATCH(E$1, columns, 0))</f>
        <v>12538</v>
      </c>
      <c r="F49" s="14">
        <f t="array" ref="F49">INDEX(covid, MATCH($A49,iso_code,0), MATCH(F$1, columns, 0))</f>
        <v>4081657</v>
      </c>
      <c r="G49" s="10">
        <f t="array" ref="G49">INDEX(covid, MATCH($A49,iso_code,0), MATCH(G$1, columns, 0))</f>
        <v>22669.797</v>
      </c>
      <c r="H49" s="16"/>
      <c r="I49" s="2"/>
      <c r="J49" s="2"/>
      <c r="K49" s="2" t="str">
        <f>IFERROR(__xludf.DUMMYFUNCTION("""COMPUTED_VALUE"""),"Slovenia")</f>
        <v>Slovenia</v>
      </c>
      <c r="L49" s="14">
        <f>IFERROR(__xludf.DUMMYFUNCTION("""COMPUTED_VALUE"""),464048.0)</f>
        <v>464048</v>
      </c>
      <c r="M49" s="14">
        <f>IFERROR(__xludf.DUMMYFUNCTION("""COMPUTED_VALUE"""),5589.0)</f>
        <v>5589</v>
      </c>
      <c r="N49" s="14">
        <f>IFERROR(__xludf.DUMMYFUNCTION("""COMPUTED_VALUE"""),2078723.0)</f>
        <v>2078723</v>
      </c>
      <c r="O49" s="10">
        <f>IFERROR(__xludf.DUMMYFUNCTION("""COMPUTED_VALUE"""),31400.84)</f>
        <v>31400.84</v>
      </c>
      <c r="P49" s="2"/>
    </row>
    <row r="50">
      <c r="A50" s="3" t="s">
        <v>206</v>
      </c>
      <c r="B50" s="3" t="s">
        <v>130</v>
      </c>
      <c r="C50" s="3" t="s">
        <v>207</v>
      </c>
      <c r="D50" s="2" t="str">
        <f t="array" ref="D50">INDEX(covid, MATCH($A50,iso_code,0), MATCH(D$1, columns, 0))</f>
        <v>#N/A</v>
      </c>
      <c r="E50" s="2" t="str">
        <f t="array" ref="E50">INDEX(covid, MATCH($A50,iso_code,0), MATCH(E$1, columns, 0))</f>
        <v>#N/A</v>
      </c>
      <c r="F50" s="2" t="str">
        <f t="array" ref="F50">INDEX(covid, MATCH($A50,iso_code,0), MATCH(F$1, columns, 0))</f>
        <v>#N/A</v>
      </c>
      <c r="G50" s="2" t="str">
        <f t="array" ref="G50">INDEX(covid, MATCH($A50,iso_code,0), MATCH(G$1, columns, 0))</f>
        <v>#N/A</v>
      </c>
      <c r="H50" s="16"/>
      <c r="I50" s="2"/>
      <c r="J50" s="2"/>
      <c r="K50" s="2" t="str">
        <f>IFERROR(__xludf.DUMMYFUNCTION("""COMPUTED_VALUE"""),"Latvia")</f>
        <v>Latvia</v>
      </c>
      <c r="L50" s="14">
        <f>IFERROR(__xludf.DUMMYFUNCTION("""COMPUTED_VALUE"""),276674.0)</f>
        <v>276674</v>
      </c>
      <c r="M50" s="14">
        <f>IFERROR(__xludf.DUMMYFUNCTION("""COMPUTED_VALUE"""),4570.0)</f>
        <v>4570</v>
      </c>
      <c r="N50" s="14">
        <f>IFERROR(__xludf.DUMMYFUNCTION("""COMPUTED_VALUE"""),1866934.0)</f>
        <v>1866934</v>
      </c>
      <c r="O50" s="10">
        <f>IFERROR(__xludf.DUMMYFUNCTION("""COMPUTED_VALUE"""),25063.846)</f>
        <v>25063.846</v>
      </c>
      <c r="P50" s="2"/>
    </row>
    <row r="51">
      <c r="A51" s="3" t="s">
        <v>208</v>
      </c>
      <c r="B51" s="3" t="s">
        <v>130</v>
      </c>
      <c r="C51" s="3" t="s">
        <v>209</v>
      </c>
      <c r="D51" s="2" t="str">
        <f t="array" ref="D51">INDEX(covid, MATCH($A51,iso_code,0), MATCH(D$1, columns, 0))</f>
        <v>#N/A</v>
      </c>
      <c r="E51" s="2" t="str">
        <f t="array" ref="E51">INDEX(covid, MATCH($A51,iso_code,0), MATCH(E$1, columns, 0))</f>
        <v>#N/A</v>
      </c>
      <c r="F51" s="2" t="str">
        <f t="array" ref="F51">INDEX(covid, MATCH($A51,iso_code,0), MATCH(F$1, columns, 0))</f>
        <v>#N/A</v>
      </c>
      <c r="G51" s="2" t="str">
        <f t="array" ref="G51">INDEX(covid, MATCH($A51,iso_code,0), MATCH(G$1, columns, 0))</f>
        <v>#N/A</v>
      </c>
      <c r="H51" s="16"/>
      <c r="I51" s="2"/>
      <c r="J51" s="2"/>
      <c r="K51" s="2" t="str">
        <f>IFERROR(__xludf.DUMMYFUNCTION("""COMPUTED_VALUE"""),"Estonia")</f>
        <v>Estonia</v>
      </c>
      <c r="L51" s="14">
        <f>IFERROR(__xludf.DUMMYFUNCTION("""COMPUTED_VALUE"""),241408.0)</f>
        <v>241408</v>
      </c>
      <c r="M51" s="14">
        <f>IFERROR(__xludf.DUMMYFUNCTION("""COMPUTED_VALUE"""),1932.0)</f>
        <v>1932</v>
      </c>
      <c r="N51" s="14">
        <f>IFERROR(__xludf.DUMMYFUNCTION("""COMPUTED_VALUE"""),1325188.0)</f>
        <v>1325188</v>
      </c>
      <c r="O51" s="10">
        <f>IFERROR(__xludf.DUMMYFUNCTION("""COMPUTED_VALUE"""),29481.252)</f>
        <v>29481.252</v>
      </c>
      <c r="P51" s="2"/>
    </row>
    <row r="52">
      <c r="A52" s="3" t="s">
        <v>39</v>
      </c>
      <c r="B52" s="3" t="s">
        <v>23</v>
      </c>
      <c r="C52" s="3" t="s">
        <v>210</v>
      </c>
      <c r="D52" s="14">
        <f t="array" ref="D52">INDEX(covid, MATCH($A52,iso_code,0), MATCH(D$1, columns, 0))</f>
        <v>2475729</v>
      </c>
      <c r="E52" s="14">
        <f t="array" ref="E52">INDEX(covid, MATCH($A52,iso_code,0), MATCH(E$1, columns, 0))</f>
        <v>36129</v>
      </c>
      <c r="F52" s="14">
        <f t="array" ref="F52">INDEX(covid, MATCH($A52,iso_code,0), MATCH(F$1, columns, 0))</f>
        <v>10724553</v>
      </c>
      <c r="G52" s="10">
        <f t="array" ref="G52">INDEX(covid, MATCH($A52,iso_code,0), MATCH(G$1, columns, 0))</f>
        <v>32605.906</v>
      </c>
      <c r="H52" s="16"/>
      <c r="I52" s="2"/>
      <c r="J52" s="2"/>
      <c r="K52" s="2" t="str">
        <f>IFERROR(__xludf.DUMMYFUNCTION("""COMPUTED_VALUE"""),"Luxembourg")</f>
        <v>Luxembourg</v>
      </c>
      <c r="L52" s="14">
        <f>IFERROR(__xludf.DUMMYFUNCTION("""COMPUTED_VALUE"""),103766.0)</f>
        <v>103766</v>
      </c>
      <c r="M52" s="2">
        <f>IFERROR(__xludf.DUMMYFUNCTION("""COMPUTED_VALUE"""),915.0)</f>
        <v>915</v>
      </c>
      <c r="N52" s="14">
        <f>IFERROR(__xludf.DUMMYFUNCTION("""COMPUTED_VALUE"""),634814.0)</f>
        <v>634814</v>
      </c>
      <c r="O52" s="10">
        <f>IFERROR(__xludf.DUMMYFUNCTION("""COMPUTED_VALUE"""),94277.965000002)</f>
        <v>94277.965</v>
      </c>
      <c r="P52" s="2"/>
    </row>
    <row r="53">
      <c r="A53" s="3" t="s">
        <v>211</v>
      </c>
      <c r="B53" s="3" t="s">
        <v>125</v>
      </c>
      <c r="C53" s="3" t="s">
        <v>212</v>
      </c>
      <c r="D53" s="2" t="str">
        <f t="array" ref="D53">INDEX(covid, MATCH($A53,iso_code,0), MATCH(D$1, columns, 0))</f>
        <v>#N/A</v>
      </c>
      <c r="E53" s="2" t="str">
        <f t="array" ref="E53">INDEX(covid, MATCH($A53,iso_code,0), MATCH(E$1, columns, 0))</f>
        <v>#N/A</v>
      </c>
      <c r="F53" s="2" t="str">
        <f t="array" ref="F53">INDEX(covid, MATCH($A53,iso_code,0), MATCH(F$1, columns, 0))</f>
        <v>#N/A</v>
      </c>
      <c r="G53" s="2" t="str">
        <f t="array" ref="G53">INDEX(covid, MATCH($A53,iso_code,0), MATCH(G$1, columns, 0))</f>
        <v>#N/A</v>
      </c>
      <c r="H53" s="16"/>
      <c r="I53" s="2"/>
      <c r="J53" s="2"/>
      <c r="K53" s="2" t="str">
        <f>IFERROR(__xludf.DUMMYFUNCTION("""COMPUTED_VALUE"""),"Montenegro")</f>
        <v>Montenegro</v>
      </c>
      <c r="L53" s="14">
        <f>IFERROR(__xludf.DUMMYFUNCTION("""COMPUTED_VALUE"""),170034.0)</f>
        <v>170034</v>
      </c>
      <c r="M53" s="14">
        <f>IFERROR(__xludf.DUMMYFUNCTION("""COMPUTED_VALUE"""),2411.0)</f>
        <v>2411</v>
      </c>
      <c r="N53" s="14">
        <f>IFERROR(__xludf.DUMMYFUNCTION("""COMPUTED_VALUE"""),628051.0)</f>
        <v>628051</v>
      </c>
      <c r="O53" s="10">
        <f>IFERROR(__xludf.DUMMYFUNCTION("""COMPUTED_VALUE"""),16409.288)</f>
        <v>16409.288</v>
      </c>
      <c r="P53" s="2"/>
    </row>
    <row r="54">
      <c r="A54" s="3" t="s">
        <v>43</v>
      </c>
      <c r="B54" s="3" t="s">
        <v>23</v>
      </c>
      <c r="C54" s="3" t="s">
        <v>44</v>
      </c>
      <c r="D54" s="14">
        <f t="array" ref="D54">INDEX(covid, MATCH($A54,iso_code,0), MATCH(D$1, columns, 0))</f>
        <v>802397</v>
      </c>
      <c r="E54" s="14">
        <f t="array" ref="E54">INDEX(covid, MATCH($A54,iso_code,0), MATCH(E$1, columns, 0))</f>
        <v>3207</v>
      </c>
      <c r="F54" s="14">
        <f t="array" ref="F54">INDEX(covid, MATCH($A54,iso_code,0), MATCH(F$1, columns, 0))</f>
        <v>5813302</v>
      </c>
      <c r="G54" s="10">
        <f t="array" ref="G54">INDEX(covid, MATCH($A54,iso_code,0), MATCH(G$1, columns, 0))</f>
        <v>46682.515</v>
      </c>
      <c r="H54" s="16"/>
      <c r="I54" s="2"/>
      <c r="J54" s="2"/>
      <c r="K54" s="2" t="str">
        <f>IFERROR(__xludf.DUMMYFUNCTION("""COMPUTED_VALUE"""),"Malta")</f>
        <v>Malta</v>
      </c>
      <c r="L54" s="14">
        <f>IFERROR(__xludf.DUMMYFUNCTION("""COMPUTED_VALUE"""),52473.0)</f>
        <v>52473</v>
      </c>
      <c r="M54" s="2">
        <f>IFERROR(__xludf.DUMMYFUNCTION("""COMPUTED_VALUE"""),476.0)</f>
        <v>476</v>
      </c>
      <c r="N54" s="14">
        <f>IFERROR(__xludf.DUMMYFUNCTION("""COMPUTED_VALUE"""),516100.0)</f>
        <v>516100</v>
      </c>
      <c r="O54" s="10">
        <f>IFERROR(__xludf.DUMMYFUNCTION("""COMPUTED_VALUE"""),36513.323)</f>
        <v>36513.323</v>
      </c>
      <c r="P54" s="2"/>
    </row>
    <row r="55">
      <c r="A55" s="3" t="s">
        <v>213</v>
      </c>
      <c r="B55" s="3" t="s">
        <v>125</v>
      </c>
      <c r="C55" s="3" t="s">
        <v>214</v>
      </c>
      <c r="D55" s="2" t="str">
        <f t="array" ref="D55">INDEX(covid, MATCH($A55,iso_code,0), MATCH(D$1, columns, 0))</f>
        <v>#N/A</v>
      </c>
      <c r="E55" s="2" t="str">
        <f t="array" ref="E55">INDEX(covid, MATCH($A55,iso_code,0), MATCH(E$1, columns, 0))</f>
        <v>#N/A</v>
      </c>
      <c r="F55" s="2" t="str">
        <f t="array" ref="F55">INDEX(covid, MATCH($A55,iso_code,0), MATCH(F$1, columns, 0))</f>
        <v>#N/A</v>
      </c>
      <c r="G55" s="2" t="str">
        <f t="array" ref="G55">INDEX(covid, MATCH($A55,iso_code,0), MATCH(G$1, columns, 0))</f>
        <v>#N/A</v>
      </c>
      <c r="H55" s="16"/>
      <c r="I55" s="2"/>
      <c r="J55" s="2"/>
      <c r="K55" s="2" t="str">
        <f>IFERROR(__xludf.DUMMYFUNCTION("""COMPUTED_VALUE"""),"Iceland")</f>
        <v>Iceland</v>
      </c>
      <c r="L55" s="14">
        <f>IFERROR(__xludf.DUMMYFUNCTION("""COMPUTED_VALUE"""),27059.0)</f>
        <v>27059</v>
      </c>
      <c r="M55" s="2">
        <f>IFERROR(__xludf.DUMMYFUNCTION("""COMPUTED_VALUE"""),37.0)</f>
        <v>37</v>
      </c>
      <c r="N55" s="14">
        <f>IFERROR(__xludf.DUMMYFUNCTION("""COMPUTED_VALUE"""),368792.0)</f>
        <v>368792</v>
      </c>
      <c r="O55" s="10">
        <f>IFERROR(__xludf.DUMMYFUNCTION("""COMPUTED_VALUE"""),46482.958)</f>
        <v>46482.958</v>
      </c>
      <c r="P55" s="2"/>
    </row>
    <row r="56">
      <c r="A56" s="3" t="s">
        <v>215</v>
      </c>
      <c r="B56" s="3" t="s">
        <v>130</v>
      </c>
      <c r="C56" s="3" t="s">
        <v>216</v>
      </c>
      <c r="D56" s="2" t="str">
        <f t="array" ref="D56">INDEX(covid, MATCH($A56,iso_code,0), MATCH(D$1, columns, 0))</f>
        <v>#N/A</v>
      </c>
      <c r="E56" s="2" t="str">
        <f t="array" ref="E56">INDEX(covid, MATCH($A56,iso_code,0), MATCH(E$1, columns, 0))</f>
        <v>#N/A</v>
      </c>
      <c r="F56" s="2" t="str">
        <f t="array" ref="F56">INDEX(covid, MATCH($A56,iso_code,0), MATCH(F$1, columns, 0))</f>
        <v>#N/A</v>
      </c>
      <c r="G56" s="2" t="str">
        <f t="array" ref="G56">INDEX(covid, MATCH($A56,iso_code,0), MATCH(G$1, columns, 0))</f>
        <v>#N/A</v>
      </c>
      <c r="H56" s="16"/>
      <c r="I56" s="2"/>
      <c r="J56" s="2"/>
      <c r="K56" s="2" t="str">
        <f>IFERROR(__xludf.DUMMYFUNCTION("""COMPUTED_VALUE"""),"Jersey")</f>
        <v>Jersey</v>
      </c>
      <c r="L56" s="2"/>
      <c r="M56" s="2"/>
      <c r="N56" s="14">
        <f>IFERROR(__xludf.DUMMYFUNCTION("""COMPUTED_VALUE"""),101073.0)</f>
        <v>101073</v>
      </c>
      <c r="O56" s="10"/>
      <c r="P56" s="2"/>
    </row>
    <row r="57">
      <c r="A57" s="3" t="s">
        <v>217</v>
      </c>
      <c r="B57" s="3" t="s">
        <v>130</v>
      </c>
      <c r="C57" s="3" t="s">
        <v>218</v>
      </c>
      <c r="D57" s="2" t="str">
        <f t="array" ref="D57">INDEX(covid, MATCH($A57,iso_code,0), MATCH(D$1, columns, 0))</f>
        <v>#N/A</v>
      </c>
      <c r="E57" s="2" t="str">
        <f t="array" ref="E57">INDEX(covid, MATCH($A57,iso_code,0), MATCH(E$1, columns, 0))</f>
        <v>#N/A</v>
      </c>
      <c r="F57" s="2" t="str">
        <f t="array" ref="F57">INDEX(covid, MATCH($A57,iso_code,0), MATCH(F$1, columns, 0))</f>
        <v>#N/A</v>
      </c>
      <c r="G57" s="2" t="str">
        <f t="array" ref="G57">INDEX(covid, MATCH($A57,iso_code,0), MATCH(G$1, columns, 0))</f>
        <v>#N/A</v>
      </c>
      <c r="H57" s="16"/>
      <c r="I57" s="2"/>
      <c r="J57" s="2"/>
      <c r="K57" s="2" t="str">
        <f>IFERROR(__xludf.DUMMYFUNCTION("""COMPUTED_VALUE"""),"Isle of Man")</f>
        <v>Isle of Man</v>
      </c>
      <c r="L57" s="14">
        <f>IFERROR(__xludf.DUMMYFUNCTION("""COMPUTED_VALUE"""),13641.0)</f>
        <v>13641</v>
      </c>
      <c r="M57" s="2">
        <f>IFERROR(__xludf.DUMMYFUNCTION("""COMPUTED_VALUE"""),67.0)</f>
        <v>67</v>
      </c>
      <c r="N57" s="14">
        <f>IFERROR(__xludf.DUMMYFUNCTION("""COMPUTED_VALUE"""),85410.0)</f>
        <v>85410</v>
      </c>
      <c r="O57" s="10"/>
      <c r="P57" s="2"/>
    </row>
    <row r="58">
      <c r="A58" s="3" t="s">
        <v>219</v>
      </c>
      <c r="B58" s="3" t="s">
        <v>135</v>
      </c>
      <c r="C58" s="3" t="s">
        <v>220</v>
      </c>
      <c r="D58" s="2" t="str">
        <f t="array" ref="D58">INDEX(covid, MATCH($A58,iso_code,0), MATCH(D$1, columns, 0))</f>
        <v>#N/A</v>
      </c>
      <c r="E58" s="2" t="str">
        <f t="array" ref="E58">INDEX(covid, MATCH($A58,iso_code,0), MATCH(E$1, columns, 0))</f>
        <v>#N/A</v>
      </c>
      <c r="F58" s="2" t="str">
        <f t="array" ref="F58">INDEX(covid, MATCH($A58,iso_code,0), MATCH(F$1, columns, 0))</f>
        <v>#N/A</v>
      </c>
      <c r="G58" s="2" t="str">
        <f t="array" ref="G58">INDEX(covid, MATCH($A58,iso_code,0), MATCH(G$1, columns, 0))</f>
        <v>#N/A</v>
      </c>
      <c r="H58" s="16"/>
      <c r="I58" s="2"/>
      <c r="J58" s="2"/>
      <c r="K58" s="2" t="str">
        <f>IFERROR(__xludf.DUMMYFUNCTION("""COMPUTED_VALUE"""),"Andorra")</f>
        <v>Andorra</v>
      </c>
      <c r="L58" s="14">
        <f>IFERROR(__xludf.DUMMYFUNCTION("""COMPUTED_VALUE"""),23740.0)</f>
        <v>23740</v>
      </c>
      <c r="M58" s="2">
        <f>IFERROR(__xludf.DUMMYFUNCTION("""COMPUTED_VALUE"""),140.0)</f>
        <v>140</v>
      </c>
      <c r="N58" s="14">
        <f>IFERROR(__xludf.DUMMYFUNCTION("""COMPUTED_VALUE"""),77354.0)</f>
        <v>77354</v>
      </c>
      <c r="O58" s="10"/>
      <c r="P58" s="2"/>
    </row>
    <row r="59">
      <c r="A59" s="3" t="s">
        <v>221</v>
      </c>
      <c r="B59" s="3" t="s">
        <v>125</v>
      </c>
      <c r="C59" s="3" t="s">
        <v>222</v>
      </c>
      <c r="D59" s="2" t="str">
        <f t="array" ref="D59">INDEX(covid, MATCH($A59,iso_code,0), MATCH(D$1, columns, 0))</f>
        <v>#N/A</v>
      </c>
      <c r="E59" s="2" t="str">
        <f t="array" ref="E59">INDEX(covid, MATCH($A59,iso_code,0), MATCH(E$1, columns, 0))</f>
        <v>#N/A</v>
      </c>
      <c r="F59" s="2" t="str">
        <f t="array" ref="F59">INDEX(covid, MATCH($A59,iso_code,0), MATCH(F$1, columns, 0))</f>
        <v>#N/A</v>
      </c>
      <c r="G59" s="2" t="str">
        <f t="array" ref="G59">INDEX(covid, MATCH($A59,iso_code,0), MATCH(G$1, columns, 0))</f>
        <v>#N/A</v>
      </c>
      <c r="H59" s="16"/>
      <c r="I59" s="2"/>
      <c r="J59" s="2"/>
      <c r="K59" s="2" t="str">
        <f>IFERROR(__xludf.DUMMYFUNCTION("""COMPUTED_VALUE"""),"Guernsey")</f>
        <v>Guernsey</v>
      </c>
      <c r="L59" s="2"/>
      <c r="M59" s="2"/>
      <c r="N59" s="14">
        <f>IFERROR(__xludf.DUMMYFUNCTION("""COMPUTED_VALUE"""),63385.0)</f>
        <v>63385</v>
      </c>
      <c r="O59" s="10"/>
      <c r="P59" s="2"/>
    </row>
    <row r="60">
      <c r="A60" s="3" t="s">
        <v>223</v>
      </c>
      <c r="B60" s="3" t="s">
        <v>130</v>
      </c>
      <c r="C60" s="3" t="s">
        <v>224</v>
      </c>
      <c r="D60" s="2" t="str">
        <f t="array" ref="D60">INDEX(covid, MATCH($A60,iso_code,0), MATCH(D$1, columns, 0))</f>
        <v>#N/A</v>
      </c>
      <c r="E60" s="2" t="str">
        <f t="array" ref="E60">INDEX(covid, MATCH($A60,iso_code,0), MATCH(E$1, columns, 0))</f>
        <v>#N/A</v>
      </c>
      <c r="F60" s="2" t="str">
        <f t="array" ref="F60">INDEX(covid, MATCH($A60,iso_code,0), MATCH(F$1, columns, 0))</f>
        <v>#N/A</v>
      </c>
      <c r="G60" s="2" t="str">
        <f t="array" ref="G60">INDEX(covid, MATCH($A60,iso_code,0), MATCH(G$1, columns, 0))</f>
        <v>#N/A</v>
      </c>
      <c r="H60" s="16"/>
      <c r="I60" s="2"/>
      <c r="J60" s="2"/>
      <c r="K60" s="2" t="str">
        <f>IFERROR(__xludf.DUMMYFUNCTION("""COMPUTED_VALUE"""),"Faeroe Islands")</f>
        <v>Faeroe Islands</v>
      </c>
      <c r="L60" s="14">
        <f>IFERROR(__xludf.DUMMYFUNCTION("""COMPUTED_VALUE"""),5764.0)</f>
        <v>5764</v>
      </c>
      <c r="M60" s="2">
        <f>IFERROR(__xludf.DUMMYFUNCTION("""COMPUTED_VALUE"""),14.0)</f>
        <v>14</v>
      </c>
      <c r="N60" s="14">
        <f>IFERROR(__xludf.DUMMYFUNCTION("""COMPUTED_VALUE"""),49053.0)</f>
        <v>49053</v>
      </c>
      <c r="O60" s="10"/>
      <c r="P60" s="2"/>
    </row>
    <row r="61">
      <c r="A61" s="3" t="s">
        <v>225</v>
      </c>
      <c r="B61" s="3" t="s">
        <v>125</v>
      </c>
      <c r="C61" s="3" t="s">
        <v>226</v>
      </c>
      <c r="D61" s="2" t="str">
        <f t="array" ref="D61">INDEX(covid, MATCH($A61,iso_code,0), MATCH(D$1, columns, 0))</f>
        <v>#N/A</v>
      </c>
      <c r="E61" s="2" t="str">
        <f t="array" ref="E61">INDEX(covid, MATCH($A61,iso_code,0), MATCH(E$1, columns, 0))</f>
        <v>#N/A</v>
      </c>
      <c r="F61" s="2" t="str">
        <f t="array" ref="F61">INDEX(covid, MATCH($A61,iso_code,0), MATCH(F$1, columns, 0))</f>
        <v>#N/A</v>
      </c>
      <c r="G61" s="2" t="str">
        <f t="array" ref="G61">INDEX(covid, MATCH($A61,iso_code,0), MATCH(G$1, columns, 0))</f>
        <v>#N/A</v>
      </c>
      <c r="H61" s="16"/>
      <c r="I61" s="2"/>
      <c r="J61" s="2"/>
      <c r="K61" s="2" t="str">
        <f>IFERROR(__xludf.DUMMYFUNCTION("""COMPUTED_VALUE"""),"Monaco")</f>
        <v>Monaco</v>
      </c>
      <c r="L61" s="14">
        <f>IFERROR(__xludf.DUMMYFUNCTION("""COMPUTED_VALUE"""),4985.0)</f>
        <v>4985</v>
      </c>
      <c r="M61" s="2">
        <f>IFERROR(__xludf.DUMMYFUNCTION("""COMPUTED_VALUE"""),38.0)</f>
        <v>38</v>
      </c>
      <c r="N61" s="14">
        <f>IFERROR(__xludf.DUMMYFUNCTION("""COMPUTED_VALUE"""),39520.0)</f>
        <v>39520</v>
      </c>
      <c r="O61" s="10"/>
      <c r="P61" s="2"/>
    </row>
    <row r="62">
      <c r="A62" s="3" t="s">
        <v>227</v>
      </c>
      <c r="B62" s="3" t="s">
        <v>125</v>
      </c>
      <c r="C62" s="3" t="s">
        <v>228</v>
      </c>
      <c r="D62" s="2" t="str">
        <f t="array" ref="D62">INDEX(covid, MATCH($A62,iso_code,0), MATCH(D$1, columns, 0))</f>
        <v>#N/A</v>
      </c>
      <c r="E62" s="2" t="str">
        <f t="array" ref="E62">INDEX(covid, MATCH($A62,iso_code,0), MATCH(E$1, columns, 0))</f>
        <v>#N/A</v>
      </c>
      <c r="F62" s="2" t="str">
        <f t="array" ref="F62">INDEX(covid, MATCH($A62,iso_code,0), MATCH(F$1, columns, 0))</f>
        <v>#N/A</v>
      </c>
      <c r="G62" s="2" t="str">
        <f t="array" ref="G62">INDEX(covid, MATCH($A62,iso_code,0), MATCH(G$1, columns, 0))</f>
        <v>#N/A</v>
      </c>
      <c r="H62" s="16"/>
      <c r="I62" s="2"/>
      <c r="J62" s="2"/>
      <c r="K62" s="2" t="str">
        <f>IFERROR(__xludf.DUMMYFUNCTION("""COMPUTED_VALUE"""),"Liechtenstein")</f>
        <v>Liechtenstein</v>
      </c>
      <c r="L62" s="14">
        <f>IFERROR(__xludf.DUMMYFUNCTION("""COMPUTED_VALUE"""),6131.0)</f>
        <v>6131</v>
      </c>
      <c r="M62" s="2">
        <f>IFERROR(__xludf.DUMMYFUNCTION("""COMPUTED_VALUE"""),69.0)</f>
        <v>69</v>
      </c>
      <c r="N62" s="14">
        <f>IFERROR(__xludf.DUMMYFUNCTION("""COMPUTED_VALUE"""),38254.0)</f>
        <v>38254</v>
      </c>
      <c r="O62" s="10"/>
      <c r="P62" s="2"/>
    </row>
    <row r="63">
      <c r="A63" s="3" t="s">
        <v>47</v>
      </c>
      <c r="B63" s="3" t="s">
        <v>23</v>
      </c>
      <c r="C63" s="3" t="s">
        <v>48</v>
      </c>
      <c r="D63" s="14">
        <f t="array" ref="D63">INDEX(covid, MATCH($A63,iso_code,0), MATCH(D$1, columns, 0))</f>
        <v>241408</v>
      </c>
      <c r="E63" s="14">
        <f t="array" ref="E63">INDEX(covid, MATCH($A63,iso_code,0), MATCH(E$1, columns, 0))</f>
        <v>1932</v>
      </c>
      <c r="F63" s="14">
        <f t="array" ref="F63">INDEX(covid, MATCH($A63,iso_code,0), MATCH(F$1, columns, 0))</f>
        <v>1325188</v>
      </c>
      <c r="G63" s="10">
        <f t="array" ref="G63">INDEX(covid, MATCH($A63,iso_code,0), MATCH(G$1, columns, 0))</f>
        <v>29481.252</v>
      </c>
      <c r="H63" s="16"/>
      <c r="I63" s="2"/>
      <c r="J63" s="2"/>
      <c r="K63" s="2" t="str">
        <f>IFERROR(__xludf.DUMMYFUNCTION("""COMPUTED_VALUE"""),"San Marino")</f>
        <v>San Marino</v>
      </c>
      <c r="L63" s="14">
        <f>IFERROR(__xludf.DUMMYFUNCTION("""COMPUTED_VALUE"""),8202.0)</f>
        <v>8202</v>
      </c>
      <c r="M63" s="2">
        <f>IFERROR(__xludf.DUMMYFUNCTION("""COMPUTED_VALUE"""),100.0)</f>
        <v>100</v>
      </c>
      <c r="N63" s="14">
        <f>IFERROR(__xludf.DUMMYFUNCTION("""COMPUTED_VALUE"""),34010.0)</f>
        <v>34010</v>
      </c>
      <c r="O63" s="10">
        <f>IFERROR(__xludf.DUMMYFUNCTION("""COMPUTED_VALUE"""),56861.469999999)</f>
        <v>56861.47</v>
      </c>
      <c r="P63" s="2"/>
    </row>
    <row r="64">
      <c r="A64" s="3" t="s">
        <v>229</v>
      </c>
      <c r="B64" s="3" t="s">
        <v>125</v>
      </c>
      <c r="C64" s="3" t="s">
        <v>230</v>
      </c>
      <c r="D64" s="2" t="str">
        <f t="array" ref="D64">INDEX(covid, MATCH($A64,iso_code,0), MATCH(D$1, columns, 0))</f>
        <v>#N/A</v>
      </c>
      <c r="E64" s="2" t="str">
        <f t="array" ref="E64">INDEX(covid, MATCH($A64,iso_code,0), MATCH(E$1, columns, 0))</f>
        <v>#N/A</v>
      </c>
      <c r="F64" s="2" t="str">
        <f t="array" ref="F64">INDEX(covid, MATCH($A64,iso_code,0), MATCH(F$1, columns, 0))</f>
        <v>#N/A</v>
      </c>
      <c r="G64" s="2" t="str">
        <f t="array" ref="G64">INDEX(covid, MATCH($A64,iso_code,0), MATCH(G$1, columns, 0))</f>
        <v>#N/A</v>
      </c>
      <c r="H64" s="16"/>
      <c r="I64" s="2"/>
      <c r="J64" s="2"/>
      <c r="K64" s="2" t="str">
        <f>IFERROR(__xludf.DUMMYFUNCTION("""COMPUTED_VALUE"""),"Gibraltar")</f>
        <v>Gibraltar</v>
      </c>
      <c r="L64" s="14">
        <f>IFERROR(__xludf.DUMMYFUNCTION("""COMPUTED_VALUE"""),8701.0)</f>
        <v>8701</v>
      </c>
      <c r="M64" s="2">
        <f>IFERROR(__xludf.DUMMYFUNCTION("""COMPUTED_VALUE"""),100.0)</f>
        <v>100</v>
      </c>
      <c r="N64" s="14">
        <f>IFERROR(__xludf.DUMMYFUNCTION("""COMPUTED_VALUE"""),33691.0)</f>
        <v>33691</v>
      </c>
      <c r="O64" s="10"/>
      <c r="P64" s="2"/>
    </row>
    <row r="65">
      <c r="A65" s="3" t="s">
        <v>53</v>
      </c>
      <c r="B65" s="3" t="s">
        <v>23</v>
      </c>
      <c r="C65" s="3" t="s">
        <v>54</v>
      </c>
      <c r="D65" s="14">
        <f t="array" ref="D65">INDEX(covid, MATCH($A65,iso_code,0), MATCH(D$1, columns, 0))</f>
        <v>5764</v>
      </c>
      <c r="E65" s="2">
        <f t="array" ref="E65">INDEX(covid, MATCH($A65,iso_code,0), MATCH(E$1, columns, 0))</f>
        <v>14</v>
      </c>
      <c r="F65" s="14">
        <f t="array" ref="F65">INDEX(covid, MATCH($A65,iso_code,0), MATCH(F$1, columns, 0))</f>
        <v>49053</v>
      </c>
      <c r="G65" s="10" t="str">
        <f t="array" ref="G65">INDEX(covid, MATCH($A65,iso_code,0), MATCH(G$1, columns, 0))</f>
        <v/>
      </c>
      <c r="H65" s="16"/>
      <c r="I65" s="2"/>
      <c r="J65" s="2"/>
      <c r="K65" s="2" t="str">
        <f>IFERROR(__xludf.DUMMYFUNCTION("""COMPUTED_VALUE"""),"Vatican")</f>
        <v>Vatican</v>
      </c>
      <c r="L65" s="2">
        <f>IFERROR(__xludf.DUMMYFUNCTION("""COMPUTED_VALUE"""),27.0)</f>
        <v>27</v>
      </c>
      <c r="M65" s="2"/>
      <c r="N65" s="2">
        <f>IFERROR(__xludf.DUMMYFUNCTION("""COMPUTED_VALUE"""),812.0)</f>
        <v>812</v>
      </c>
      <c r="O65" s="10"/>
      <c r="P65" s="2"/>
    </row>
    <row r="66">
      <c r="A66" s="3" t="s">
        <v>231</v>
      </c>
      <c r="B66" s="3" t="s">
        <v>135</v>
      </c>
      <c r="C66" s="3" t="s">
        <v>232</v>
      </c>
      <c r="D66" s="2" t="str">
        <f t="array" ref="D66">INDEX(covid, MATCH($A66,iso_code,0), MATCH(D$1, columns, 0))</f>
        <v>#N/A</v>
      </c>
      <c r="E66" s="2" t="str">
        <f t="array" ref="E66">INDEX(covid, MATCH($A66,iso_code,0), MATCH(E$1, columns, 0))</f>
        <v>#N/A</v>
      </c>
      <c r="F66" s="2" t="str">
        <f t="array" ref="F66">INDEX(covid, MATCH($A66,iso_code,0), MATCH(F$1, columns, 0))</f>
        <v>#N/A</v>
      </c>
      <c r="G66" s="2" t="str">
        <f t="array" ref="G66">INDEX(covid, MATCH($A66,iso_code,0), MATCH(G$1, columns, 0))</f>
        <v>#N/A</v>
      </c>
      <c r="H66" s="16"/>
      <c r="I66" s="2"/>
      <c r="J66" s="2"/>
      <c r="K66" s="2"/>
      <c r="L66" s="2"/>
      <c r="M66" s="2"/>
      <c r="N66" s="2"/>
      <c r="O66" s="2"/>
      <c r="P66" s="2"/>
    </row>
    <row r="67">
      <c r="A67" s="3" t="s">
        <v>233</v>
      </c>
      <c r="B67" s="3" t="s">
        <v>142</v>
      </c>
      <c r="C67" s="3" t="s">
        <v>234</v>
      </c>
      <c r="D67" s="2" t="str">
        <f t="array" ref="D67">INDEX(covid, MATCH($A67,iso_code,0), MATCH(D$1, columns, 0))</f>
        <v>#N/A</v>
      </c>
      <c r="E67" s="2" t="str">
        <f t="array" ref="E67">INDEX(covid, MATCH($A67,iso_code,0), MATCH(E$1, columns, 0))</f>
        <v>#N/A</v>
      </c>
      <c r="F67" s="2" t="str">
        <f t="array" ref="F67">INDEX(covid, MATCH($A67,iso_code,0), MATCH(F$1, columns, 0))</f>
        <v>#N/A</v>
      </c>
      <c r="G67" s="2" t="str">
        <f t="array" ref="G67">INDEX(covid, MATCH($A67,iso_code,0), MATCH(G$1, columns, 0))</f>
        <v>#N/A</v>
      </c>
      <c r="H67" s="16"/>
      <c r="I67" s="2"/>
      <c r="J67" s="2"/>
      <c r="K67" s="2"/>
      <c r="L67" s="2"/>
      <c r="M67" s="2"/>
      <c r="N67" s="2"/>
      <c r="O67" s="2"/>
      <c r="P67" s="2"/>
    </row>
    <row r="68">
      <c r="A68" s="3" t="s">
        <v>49</v>
      </c>
      <c r="B68" s="3" t="s">
        <v>23</v>
      </c>
      <c r="C68" s="3" t="s">
        <v>50</v>
      </c>
      <c r="D68" s="14">
        <f t="array" ref="D68">INDEX(covid, MATCH($A68,iso_code,0), MATCH(D$1, columns, 0))</f>
        <v>260292</v>
      </c>
      <c r="E68" s="14">
        <f t="array" ref="E68">INDEX(covid, MATCH($A68,iso_code,0), MATCH(E$1, columns, 0))</f>
        <v>1564</v>
      </c>
      <c r="F68" s="14">
        <f t="array" ref="F68">INDEX(covid, MATCH($A68,iso_code,0), MATCH(F$1, columns, 0))</f>
        <v>5548361</v>
      </c>
      <c r="G68" s="10">
        <f t="array" ref="G68">INDEX(covid, MATCH($A68,iso_code,0), MATCH(G$1, columns, 0))</f>
        <v>40585.721</v>
      </c>
      <c r="H68" s="16"/>
      <c r="I68" s="2"/>
      <c r="J68" s="2"/>
      <c r="K68" s="2"/>
      <c r="L68" s="2"/>
      <c r="M68" s="2"/>
      <c r="N68" s="2"/>
      <c r="O68" s="2"/>
      <c r="P68" s="2"/>
    </row>
    <row r="69">
      <c r="A69" s="3" t="s">
        <v>51</v>
      </c>
      <c r="B69" s="3" t="s">
        <v>23</v>
      </c>
      <c r="C69" s="3" t="s">
        <v>52</v>
      </c>
      <c r="D69" s="14">
        <f t="array" ref="D69">INDEX(covid, MATCH($A69,iso_code,0), MATCH(D$1, columns, 0))</f>
        <v>10412480</v>
      </c>
      <c r="E69" s="14">
        <f t="array" ref="E69">INDEX(covid, MATCH($A69,iso_code,0), MATCH(E$1, columns, 0))</f>
        <v>123805</v>
      </c>
      <c r="F69" s="14">
        <f t="array" ref="F69">INDEX(covid, MATCH($A69,iso_code,0), MATCH(F$1, columns, 0))</f>
        <v>67422000</v>
      </c>
      <c r="G69" s="10">
        <f t="array" ref="G69">INDEX(covid, MATCH($A69,iso_code,0), MATCH(G$1, columns, 0))</f>
        <v>38605.671</v>
      </c>
      <c r="H69" s="16"/>
      <c r="I69" s="2"/>
      <c r="J69" s="2"/>
      <c r="K69" s="2"/>
      <c r="L69" s="2"/>
      <c r="M69" s="2"/>
      <c r="N69" s="2"/>
      <c r="O69" s="2"/>
      <c r="P69" s="2"/>
    </row>
    <row r="70">
      <c r="A70" s="3" t="s">
        <v>235</v>
      </c>
      <c r="B70" s="3" t="s">
        <v>142</v>
      </c>
      <c r="C70" s="3" t="s">
        <v>236</v>
      </c>
      <c r="D70" s="2" t="str">
        <f t="array" ref="D70">INDEX(covid, MATCH($A70,iso_code,0), MATCH(D$1, columns, 0))</f>
        <v>#N/A</v>
      </c>
      <c r="E70" s="2" t="str">
        <f t="array" ref="E70">INDEX(covid, MATCH($A70,iso_code,0), MATCH(E$1, columns, 0))</f>
        <v>#N/A</v>
      </c>
      <c r="F70" s="2" t="str">
        <f t="array" ref="F70">INDEX(covid, MATCH($A70,iso_code,0), MATCH(F$1, columns, 0))</f>
        <v>#N/A</v>
      </c>
      <c r="G70" s="2" t="str">
        <f t="array" ref="G70">INDEX(covid, MATCH($A70,iso_code,0), MATCH(G$1, columns, 0))</f>
        <v>#N/A</v>
      </c>
      <c r="H70" s="16"/>
      <c r="I70" s="2"/>
      <c r="J70" s="2"/>
      <c r="K70" s="2"/>
      <c r="L70" s="2"/>
      <c r="M70" s="2"/>
      <c r="N70" s="2"/>
      <c r="O70" s="2"/>
      <c r="P70" s="2"/>
    </row>
    <row r="71">
      <c r="A71" s="3" t="s">
        <v>237</v>
      </c>
      <c r="B71" s="3" t="s">
        <v>125</v>
      </c>
      <c r="C71" s="3" t="s">
        <v>238</v>
      </c>
      <c r="D71" s="2" t="str">
        <f t="array" ref="D71">INDEX(covid, MATCH($A71,iso_code,0), MATCH(D$1, columns, 0))</f>
        <v>#N/A</v>
      </c>
      <c r="E71" s="2" t="str">
        <f t="array" ref="E71">INDEX(covid, MATCH($A71,iso_code,0), MATCH(E$1, columns, 0))</f>
        <v>#N/A</v>
      </c>
      <c r="F71" s="2" t="str">
        <f t="array" ref="F71">INDEX(covid, MATCH($A71,iso_code,0), MATCH(F$1, columns, 0))</f>
        <v>#N/A</v>
      </c>
      <c r="G71" s="2" t="str">
        <f t="array" ref="G71">INDEX(covid, MATCH($A71,iso_code,0), MATCH(G$1, columns, 0))</f>
        <v>#N/A</v>
      </c>
      <c r="H71" s="16"/>
      <c r="I71" s="2"/>
      <c r="J71" s="2"/>
      <c r="K71" s="2"/>
      <c r="L71" s="2"/>
      <c r="M71" s="2"/>
      <c r="N71" s="2"/>
      <c r="O71" s="2"/>
      <c r="P71" s="2"/>
    </row>
    <row r="72">
      <c r="A72" s="3" t="s">
        <v>239</v>
      </c>
      <c r="B72" s="3" t="s">
        <v>125</v>
      </c>
      <c r="C72" s="3" t="s">
        <v>240</v>
      </c>
      <c r="D72" s="2" t="str">
        <f t="array" ref="D72">INDEX(covid, MATCH($A72,iso_code,0), MATCH(D$1, columns, 0))</f>
        <v>#N/A</v>
      </c>
      <c r="E72" s="2" t="str">
        <f t="array" ref="E72">INDEX(covid, MATCH($A72,iso_code,0), MATCH(E$1, columns, 0))</f>
        <v>#N/A</v>
      </c>
      <c r="F72" s="2" t="str">
        <f t="array" ref="F72">INDEX(covid, MATCH($A72,iso_code,0), MATCH(F$1, columns, 0))</f>
        <v>#N/A</v>
      </c>
      <c r="G72" s="2" t="str">
        <f t="array" ref="G72">INDEX(covid, MATCH($A72,iso_code,0), MATCH(G$1, columns, 0))</f>
        <v>#N/A</v>
      </c>
      <c r="H72" s="16"/>
      <c r="I72" s="2"/>
      <c r="J72" s="2"/>
      <c r="K72" s="2"/>
      <c r="L72" s="2"/>
      <c r="M72" s="2"/>
      <c r="N72" s="2"/>
      <c r="O72" s="2"/>
      <c r="P72" s="2"/>
    </row>
    <row r="73">
      <c r="A73" s="3" t="s">
        <v>241</v>
      </c>
      <c r="B73" s="3" t="s">
        <v>122</v>
      </c>
      <c r="C73" s="3" t="s">
        <v>242</v>
      </c>
      <c r="D73" s="2" t="str">
        <f t="array" ref="D73">INDEX(covid, MATCH($A73,iso_code,0), MATCH(D$1, columns, 0))</f>
        <v>#N/A</v>
      </c>
      <c r="E73" s="2" t="str">
        <f t="array" ref="E73">INDEX(covid, MATCH($A73,iso_code,0), MATCH(E$1, columns, 0))</f>
        <v>#N/A</v>
      </c>
      <c r="F73" s="2" t="str">
        <f t="array" ref="F73">INDEX(covid, MATCH($A73,iso_code,0), MATCH(F$1, columns, 0))</f>
        <v>#N/A</v>
      </c>
      <c r="G73" s="2" t="str">
        <f t="array" ref="G73">INDEX(covid, MATCH($A73,iso_code,0), MATCH(G$1, columns, 0))</f>
        <v>#N/A</v>
      </c>
      <c r="H73" s="16"/>
      <c r="I73" s="2"/>
      <c r="J73" s="2"/>
      <c r="K73" s="2"/>
      <c r="L73" s="2"/>
      <c r="M73" s="2"/>
      <c r="N73" s="2"/>
      <c r="O73" s="2"/>
      <c r="P73" s="2"/>
    </row>
    <row r="74">
      <c r="A74" s="3" t="s">
        <v>41</v>
      </c>
      <c r="B74" s="3" t="s">
        <v>23</v>
      </c>
      <c r="C74" s="3" t="s">
        <v>42</v>
      </c>
      <c r="D74" s="14">
        <f t="array" ref="D74">INDEX(covid, MATCH($A74,iso_code,0), MATCH(D$1, columns, 0))</f>
        <v>7193186</v>
      </c>
      <c r="E74" s="14">
        <f t="array" ref="E74">INDEX(covid, MATCH($A74,iso_code,0), MATCH(E$1, columns, 0))</f>
        <v>112111</v>
      </c>
      <c r="F74" s="14">
        <f t="array" ref="F74">INDEX(covid, MATCH($A74,iso_code,0), MATCH(F$1, columns, 0))</f>
        <v>83900471</v>
      </c>
      <c r="G74" s="10">
        <f t="array" ref="G74">INDEX(covid, MATCH($A74,iso_code,0), MATCH(G$1, columns, 0))</f>
        <v>45229.245</v>
      </c>
      <c r="H74" s="16"/>
      <c r="I74" s="2"/>
      <c r="J74" s="2"/>
      <c r="K74" s="2"/>
      <c r="L74" s="2"/>
      <c r="M74" s="2"/>
      <c r="N74" s="2"/>
      <c r="O74" s="2"/>
      <c r="P74" s="2"/>
    </row>
    <row r="75">
      <c r="A75" s="3" t="s">
        <v>243</v>
      </c>
      <c r="B75" s="3" t="s">
        <v>125</v>
      </c>
      <c r="C75" s="3" t="s">
        <v>244</v>
      </c>
      <c r="D75" s="2" t="str">
        <f t="array" ref="D75">INDEX(covid, MATCH($A75,iso_code,0), MATCH(D$1, columns, 0))</f>
        <v>#N/A</v>
      </c>
      <c r="E75" s="2" t="str">
        <f t="array" ref="E75">INDEX(covid, MATCH($A75,iso_code,0), MATCH(E$1, columns, 0))</f>
        <v>#N/A</v>
      </c>
      <c r="F75" s="2" t="str">
        <f t="array" ref="F75">INDEX(covid, MATCH($A75,iso_code,0), MATCH(F$1, columns, 0))</f>
        <v>#N/A</v>
      </c>
      <c r="G75" s="2" t="str">
        <f t="array" ref="G75">INDEX(covid, MATCH($A75,iso_code,0), MATCH(G$1, columns, 0))</f>
        <v>#N/A</v>
      </c>
      <c r="H75" s="16"/>
      <c r="I75" s="2"/>
      <c r="J75" s="2"/>
      <c r="K75" s="2"/>
      <c r="L75" s="2"/>
      <c r="M75" s="2"/>
      <c r="N75" s="2"/>
      <c r="O75" s="2"/>
      <c r="P75" s="2"/>
    </row>
    <row r="76">
      <c r="A76" s="3" t="s">
        <v>59</v>
      </c>
      <c r="B76" s="3" t="s">
        <v>23</v>
      </c>
      <c r="C76" s="3" t="s">
        <v>60</v>
      </c>
      <c r="D76" s="14">
        <f t="array" ref="D76">INDEX(covid, MATCH($A76,iso_code,0), MATCH(D$1, columns, 0))</f>
        <v>8701</v>
      </c>
      <c r="E76" s="2">
        <f t="array" ref="E76">INDEX(covid, MATCH($A76,iso_code,0), MATCH(E$1, columns, 0))</f>
        <v>100</v>
      </c>
      <c r="F76" s="14">
        <f t="array" ref="F76">INDEX(covid, MATCH($A76,iso_code,0), MATCH(F$1, columns, 0))</f>
        <v>33691</v>
      </c>
      <c r="G76" s="10" t="str">
        <f t="array" ref="G76">INDEX(covid, MATCH($A76,iso_code,0), MATCH(G$1, columns, 0))</f>
        <v/>
      </c>
      <c r="H76" s="16"/>
      <c r="I76" s="2"/>
      <c r="J76" s="2"/>
      <c r="K76" s="2"/>
      <c r="L76" s="2"/>
      <c r="M76" s="2"/>
      <c r="N76" s="2"/>
      <c r="O76" s="2"/>
      <c r="P76" s="2"/>
    </row>
    <row r="77">
      <c r="A77" s="3" t="s">
        <v>61</v>
      </c>
      <c r="B77" s="3" t="s">
        <v>23</v>
      </c>
      <c r="C77" s="3" t="s">
        <v>62</v>
      </c>
      <c r="D77" s="14">
        <f t="array" ref="D77">INDEX(covid, MATCH($A77,iso_code,0), MATCH(D$1, columns, 0))</f>
        <v>1210853</v>
      </c>
      <c r="E77" s="14">
        <f t="array" ref="E77">INDEX(covid, MATCH($A77,iso_code,0), MATCH(E$1, columns, 0))</f>
        <v>20790</v>
      </c>
      <c r="F77" s="14">
        <f t="array" ref="F77">INDEX(covid, MATCH($A77,iso_code,0), MATCH(F$1, columns, 0))</f>
        <v>10370747</v>
      </c>
      <c r="G77" s="10">
        <f t="array" ref="G77">INDEX(covid, MATCH($A77,iso_code,0), MATCH(G$1, columns, 0))</f>
        <v>24574.382</v>
      </c>
      <c r="H77" s="16"/>
      <c r="I77" s="2"/>
      <c r="J77" s="2"/>
      <c r="K77" s="2"/>
      <c r="L77" s="2"/>
      <c r="M77" s="2"/>
      <c r="N77" s="2"/>
      <c r="O77" s="2"/>
      <c r="P77" s="2"/>
    </row>
    <row r="78">
      <c r="A78" s="3" t="s">
        <v>245</v>
      </c>
      <c r="B78" s="3" t="s">
        <v>130</v>
      </c>
      <c r="C78" s="3" t="s">
        <v>246</v>
      </c>
      <c r="D78" s="2" t="str">
        <f t="array" ref="D78">INDEX(covid, MATCH($A78,iso_code,0), MATCH(D$1, columns, 0))</f>
        <v>#N/A</v>
      </c>
      <c r="E78" s="2" t="str">
        <f t="array" ref="E78">INDEX(covid, MATCH($A78,iso_code,0), MATCH(E$1, columns, 0))</f>
        <v>#N/A</v>
      </c>
      <c r="F78" s="2" t="str">
        <f t="array" ref="F78">INDEX(covid, MATCH($A78,iso_code,0), MATCH(F$1, columns, 0))</f>
        <v>#N/A</v>
      </c>
      <c r="G78" s="2" t="str">
        <f t="array" ref="G78">INDEX(covid, MATCH($A78,iso_code,0), MATCH(G$1, columns, 0))</f>
        <v>#N/A</v>
      </c>
      <c r="H78" s="16"/>
      <c r="I78" s="2"/>
      <c r="J78" s="2"/>
      <c r="K78" s="2"/>
      <c r="L78" s="2"/>
      <c r="M78" s="2"/>
      <c r="N78" s="2"/>
      <c r="O78" s="2"/>
      <c r="P78" s="2"/>
    </row>
    <row r="79">
      <c r="A79" s="3" t="s">
        <v>247</v>
      </c>
      <c r="B79" s="3" t="s">
        <v>130</v>
      </c>
      <c r="C79" s="3" t="s">
        <v>248</v>
      </c>
      <c r="D79" s="2" t="str">
        <f t="array" ref="D79">INDEX(covid, MATCH($A79,iso_code,0), MATCH(D$1, columns, 0))</f>
        <v>#N/A</v>
      </c>
      <c r="E79" s="2" t="str">
        <f t="array" ref="E79">INDEX(covid, MATCH($A79,iso_code,0), MATCH(E$1, columns, 0))</f>
        <v>#N/A</v>
      </c>
      <c r="F79" s="2" t="str">
        <f t="array" ref="F79">INDEX(covid, MATCH($A79,iso_code,0), MATCH(F$1, columns, 0))</f>
        <v>#N/A</v>
      </c>
      <c r="G79" s="2" t="str">
        <f t="array" ref="G79">INDEX(covid, MATCH($A79,iso_code,0), MATCH(G$1, columns, 0))</f>
        <v>#N/A</v>
      </c>
      <c r="H79" s="16"/>
      <c r="I79" s="2"/>
      <c r="J79" s="2"/>
      <c r="K79" s="2"/>
      <c r="L79" s="2"/>
      <c r="M79" s="2"/>
      <c r="N79" s="2"/>
      <c r="O79" s="2"/>
      <c r="P79" s="2"/>
    </row>
    <row r="80">
      <c r="A80" s="3" t="s">
        <v>249</v>
      </c>
      <c r="B80" s="3" t="s">
        <v>142</v>
      </c>
      <c r="C80" s="3" t="s">
        <v>250</v>
      </c>
      <c r="D80" s="2" t="str">
        <f t="array" ref="D80">INDEX(covid, MATCH($A80,iso_code,0), MATCH(D$1, columns, 0))</f>
        <v>#N/A</v>
      </c>
      <c r="E80" s="2" t="str">
        <f t="array" ref="E80">INDEX(covid, MATCH($A80,iso_code,0), MATCH(E$1, columns, 0))</f>
        <v>#N/A</v>
      </c>
      <c r="F80" s="2" t="str">
        <f t="array" ref="F80">INDEX(covid, MATCH($A80,iso_code,0), MATCH(F$1, columns, 0))</f>
        <v>#N/A</v>
      </c>
      <c r="G80" s="2" t="str">
        <f t="array" ref="G80">INDEX(covid, MATCH($A80,iso_code,0), MATCH(G$1, columns, 0))</f>
        <v>#N/A</v>
      </c>
      <c r="H80" s="16"/>
      <c r="I80" s="2"/>
      <c r="J80" s="2"/>
      <c r="K80" s="2"/>
      <c r="L80" s="2"/>
      <c r="M80" s="2"/>
      <c r="N80" s="2"/>
      <c r="O80" s="2"/>
      <c r="P80" s="2"/>
    </row>
    <row r="81">
      <c r="A81" s="3" t="s">
        <v>251</v>
      </c>
      <c r="B81" s="3" t="s">
        <v>130</v>
      </c>
      <c r="C81" s="3" t="s">
        <v>252</v>
      </c>
      <c r="D81" s="2" t="str">
        <f t="array" ref="D81">INDEX(covid, MATCH($A81,iso_code,0), MATCH(D$1, columns, 0))</f>
        <v>#N/A</v>
      </c>
      <c r="E81" s="2" t="str">
        <f t="array" ref="E81">INDEX(covid, MATCH($A81,iso_code,0), MATCH(E$1, columns, 0))</f>
        <v>#N/A</v>
      </c>
      <c r="F81" s="2" t="str">
        <f t="array" ref="F81">INDEX(covid, MATCH($A81,iso_code,0), MATCH(F$1, columns, 0))</f>
        <v>#N/A</v>
      </c>
      <c r="G81" s="2" t="str">
        <f t="array" ref="G81">INDEX(covid, MATCH($A81,iso_code,0), MATCH(G$1, columns, 0))</f>
        <v>#N/A</v>
      </c>
      <c r="H81" s="16"/>
      <c r="I81" s="2"/>
      <c r="J81" s="2"/>
      <c r="K81" s="2"/>
      <c r="L81" s="2"/>
      <c r="M81" s="2"/>
      <c r="N81" s="2"/>
      <c r="O81" s="2"/>
      <c r="P81" s="2"/>
    </row>
    <row r="82">
      <c r="A82" s="3" t="s">
        <v>57</v>
      </c>
      <c r="B82" s="3" t="s">
        <v>23</v>
      </c>
      <c r="C82" s="3" t="s">
        <v>58</v>
      </c>
      <c r="D82" s="2" t="str">
        <f t="array" ref="D82">INDEX(covid, MATCH($A82,iso_code,0), MATCH(D$1, columns, 0))</f>
        <v/>
      </c>
      <c r="E82" s="2" t="str">
        <f t="array" ref="E82">INDEX(covid, MATCH($A82,iso_code,0), MATCH(E$1, columns, 0))</f>
        <v/>
      </c>
      <c r="F82" s="14">
        <f t="array" ref="F82">INDEX(covid, MATCH($A82,iso_code,0), MATCH(F$1, columns, 0))</f>
        <v>63385</v>
      </c>
      <c r="G82" s="10" t="str">
        <f t="array" ref="G82">INDEX(covid, MATCH($A82,iso_code,0), MATCH(G$1, columns, 0))</f>
        <v/>
      </c>
      <c r="H82" s="16"/>
      <c r="I82" s="2"/>
      <c r="J82" s="2"/>
      <c r="K82" s="2"/>
      <c r="L82" s="2"/>
      <c r="M82" s="2"/>
      <c r="N82" s="2"/>
      <c r="O82" s="2"/>
      <c r="P82" s="2"/>
    </row>
    <row r="83">
      <c r="A83" s="3" t="s">
        <v>253</v>
      </c>
      <c r="B83" s="3" t="s">
        <v>125</v>
      </c>
      <c r="C83" s="3" t="s">
        <v>254</v>
      </c>
      <c r="D83" s="2" t="str">
        <f t="array" ref="D83">INDEX(covid, MATCH($A83,iso_code,0), MATCH(D$1, columns, 0))</f>
        <v>#N/A</v>
      </c>
      <c r="E83" s="2" t="str">
        <f t="array" ref="E83">INDEX(covid, MATCH($A83,iso_code,0), MATCH(E$1, columns, 0))</f>
        <v>#N/A</v>
      </c>
      <c r="F83" s="2" t="str">
        <f t="array" ref="F83">INDEX(covid, MATCH($A83,iso_code,0), MATCH(F$1, columns, 0))</f>
        <v>#N/A</v>
      </c>
      <c r="G83" s="2" t="str">
        <f t="array" ref="G83">INDEX(covid, MATCH($A83,iso_code,0), MATCH(G$1, columns, 0))</f>
        <v>#N/A</v>
      </c>
      <c r="H83" s="16"/>
      <c r="I83" s="2"/>
      <c r="J83" s="2"/>
      <c r="K83" s="2"/>
      <c r="L83" s="2"/>
      <c r="M83" s="2"/>
      <c r="N83" s="2"/>
      <c r="O83" s="2"/>
      <c r="P83" s="2"/>
    </row>
    <row r="84">
      <c r="A84" s="3" t="s">
        <v>255</v>
      </c>
      <c r="B84" s="3" t="s">
        <v>125</v>
      </c>
      <c r="C84" s="3" t="s">
        <v>256</v>
      </c>
      <c r="D84" s="2" t="str">
        <f t="array" ref="D84">INDEX(covid, MATCH($A84,iso_code,0), MATCH(D$1, columns, 0))</f>
        <v>#N/A</v>
      </c>
      <c r="E84" s="2" t="str">
        <f t="array" ref="E84">INDEX(covid, MATCH($A84,iso_code,0), MATCH(E$1, columns, 0))</f>
        <v>#N/A</v>
      </c>
      <c r="F84" s="2" t="str">
        <f t="array" ref="F84">INDEX(covid, MATCH($A84,iso_code,0), MATCH(F$1, columns, 0))</f>
        <v>#N/A</v>
      </c>
      <c r="G84" s="2" t="str">
        <f t="array" ref="G84">INDEX(covid, MATCH($A84,iso_code,0), MATCH(G$1, columns, 0))</f>
        <v>#N/A</v>
      </c>
      <c r="H84" s="16"/>
      <c r="I84" s="2"/>
      <c r="J84" s="2"/>
      <c r="K84" s="2"/>
      <c r="L84" s="2"/>
      <c r="M84" s="2"/>
      <c r="N84" s="2"/>
      <c r="O84" s="2"/>
      <c r="P84" s="2"/>
    </row>
    <row r="85">
      <c r="A85" s="3" t="s">
        <v>257</v>
      </c>
      <c r="B85" s="3" t="s">
        <v>135</v>
      </c>
      <c r="C85" s="3" t="s">
        <v>258</v>
      </c>
      <c r="D85" s="2" t="str">
        <f t="array" ref="D85">INDEX(covid, MATCH($A85,iso_code,0), MATCH(D$1, columns, 0))</f>
        <v>#N/A</v>
      </c>
      <c r="E85" s="2" t="str">
        <f t="array" ref="E85">INDEX(covid, MATCH($A85,iso_code,0), MATCH(E$1, columns, 0))</f>
        <v>#N/A</v>
      </c>
      <c r="F85" s="2" t="str">
        <f t="array" ref="F85">INDEX(covid, MATCH($A85,iso_code,0), MATCH(F$1, columns, 0))</f>
        <v>#N/A</v>
      </c>
      <c r="G85" s="2" t="str">
        <f t="array" ref="G85">INDEX(covid, MATCH($A85,iso_code,0), MATCH(G$1, columns, 0))</f>
        <v>#N/A</v>
      </c>
      <c r="H85" s="16"/>
      <c r="I85" s="2"/>
      <c r="J85" s="2"/>
      <c r="K85" s="2"/>
      <c r="L85" s="2"/>
      <c r="M85" s="2"/>
      <c r="N85" s="2"/>
      <c r="O85" s="2"/>
      <c r="P85" s="2"/>
    </row>
    <row r="86">
      <c r="A86" s="3" t="s">
        <v>259</v>
      </c>
      <c r="B86" s="3" t="s">
        <v>130</v>
      </c>
      <c r="C86" s="3" t="s">
        <v>260</v>
      </c>
      <c r="D86" s="2" t="str">
        <f t="array" ref="D86">INDEX(covid, MATCH($A86,iso_code,0), MATCH(D$1, columns, 0))</f>
        <v>#N/A</v>
      </c>
      <c r="E86" s="2" t="str">
        <f t="array" ref="E86">INDEX(covid, MATCH($A86,iso_code,0), MATCH(E$1, columns, 0))</f>
        <v>#N/A</v>
      </c>
      <c r="F86" s="2" t="str">
        <f t="array" ref="F86">INDEX(covid, MATCH($A86,iso_code,0), MATCH(F$1, columns, 0))</f>
        <v>#N/A</v>
      </c>
      <c r="G86" s="2" t="str">
        <f t="array" ref="G86">INDEX(covid, MATCH($A86,iso_code,0), MATCH(G$1, columns, 0))</f>
        <v>#N/A</v>
      </c>
      <c r="H86" s="16"/>
      <c r="I86" s="2"/>
      <c r="J86" s="2"/>
      <c r="K86" s="2"/>
      <c r="L86" s="2"/>
      <c r="M86" s="2"/>
      <c r="N86" s="2"/>
      <c r="O86" s="2"/>
      <c r="P86" s="2"/>
    </row>
    <row r="87">
      <c r="A87" s="3" t="s">
        <v>261</v>
      </c>
      <c r="B87" s="3" t="s">
        <v>130</v>
      </c>
      <c r="C87" s="3" t="s">
        <v>262</v>
      </c>
      <c r="D87" s="2" t="str">
        <f t="array" ref="D87">INDEX(covid, MATCH($A87,iso_code,0), MATCH(D$1, columns, 0))</f>
        <v>#N/A</v>
      </c>
      <c r="E87" s="2" t="str">
        <f t="array" ref="E87">INDEX(covid, MATCH($A87,iso_code,0), MATCH(E$1, columns, 0))</f>
        <v>#N/A</v>
      </c>
      <c r="F87" s="2" t="str">
        <f t="array" ref="F87">INDEX(covid, MATCH($A87,iso_code,0), MATCH(F$1, columns, 0))</f>
        <v>#N/A</v>
      </c>
      <c r="G87" s="2" t="str">
        <f t="array" ref="G87">INDEX(covid, MATCH($A87,iso_code,0), MATCH(G$1, columns, 0))</f>
        <v>#N/A</v>
      </c>
      <c r="H87" s="16"/>
      <c r="I87" s="2"/>
      <c r="J87" s="2"/>
      <c r="K87" s="2"/>
      <c r="L87" s="2"/>
      <c r="M87" s="2"/>
      <c r="N87" s="2"/>
      <c r="O87" s="2"/>
      <c r="P87" s="2"/>
    </row>
    <row r="88">
      <c r="A88" s="3" t="s">
        <v>263</v>
      </c>
      <c r="B88" s="3" t="s">
        <v>122</v>
      </c>
      <c r="C88" s="3" t="s">
        <v>264</v>
      </c>
      <c r="D88" s="2" t="str">
        <f t="array" ref="D88">INDEX(covid, MATCH($A88,iso_code,0), MATCH(D$1, columns, 0))</f>
        <v>#N/A</v>
      </c>
      <c r="E88" s="2" t="str">
        <f t="array" ref="E88">INDEX(covid, MATCH($A88,iso_code,0), MATCH(E$1, columns, 0))</f>
        <v>#N/A</v>
      </c>
      <c r="F88" s="2" t="str">
        <f t="array" ref="F88">INDEX(covid, MATCH($A88,iso_code,0), MATCH(F$1, columns, 0))</f>
        <v>#N/A</v>
      </c>
      <c r="G88" s="2" t="str">
        <f t="array" ref="G88">INDEX(covid, MATCH($A88,iso_code,0), MATCH(G$1, columns, 0))</f>
        <v>#N/A</v>
      </c>
      <c r="H88" s="16"/>
      <c r="I88" s="2"/>
      <c r="J88" s="2"/>
      <c r="K88" s="2"/>
      <c r="L88" s="2"/>
      <c r="M88" s="2"/>
      <c r="N88" s="2"/>
      <c r="O88" s="2"/>
      <c r="P88" s="2"/>
    </row>
    <row r="89">
      <c r="A89" s="3" t="s">
        <v>65</v>
      </c>
      <c r="B89" s="3" t="s">
        <v>23</v>
      </c>
      <c r="C89" s="3" t="s">
        <v>66</v>
      </c>
      <c r="D89" s="14">
        <f t="array" ref="D89">INDEX(covid, MATCH($A89,iso_code,0), MATCH(D$1, columns, 0))</f>
        <v>1256415</v>
      </c>
      <c r="E89" s="14">
        <f t="array" ref="E89">INDEX(covid, MATCH($A89,iso_code,0), MATCH(E$1, columns, 0))</f>
        <v>39186</v>
      </c>
      <c r="F89" s="14">
        <f t="array" ref="F89">INDEX(covid, MATCH($A89,iso_code,0), MATCH(F$1, columns, 0))</f>
        <v>9634162</v>
      </c>
      <c r="G89" s="10">
        <f t="array" ref="G89">INDEX(covid, MATCH($A89,iso_code,0), MATCH(G$1, columns, 0))</f>
        <v>26777.561</v>
      </c>
      <c r="H89" s="16"/>
      <c r="I89" s="2"/>
      <c r="J89" s="2"/>
      <c r="K89" s="2"/>
      <c r="L89" s="2"/>
      <c r="M89" s="2"/>
      <c r="N89" s="2"/>
      <c r="O89" s="2"/>
      <c r="P89" s="2"/>
    </row>
    <row r="90">
      <c r="A90" s="3" t="s">
        <v>71</v>
      </c>
      <c r="B90" s="3" t="s">
        <v>23</v>
      </c>
      <c r="C90" s="3" t="s">
        <v>72</v>
      </c>
      <c r="D90" s="14">
        <f t="array" ref="D90">INDEX(covid, MATCH($A90,iso_code,0), MATCH(D$1, columns, 0))</f>
        <v>27059</v>
      </c>
      <c r="E90" s="2">
        <f t="array" ref="E90">INDEX(covid, MATCH($A90,iso_code,0), MATCH(E$1, columns, 0))</f>
        <v>37</v>
      </c>
      <c r="F90" s="14">
        <f t="array" ref="F90">INDEX(covid, MATCH($A90,iso_code,0), MATCH(F$1, columns, 0))</f>
        <v>368792</v>
      </c>
      <c r="G90" s="10">
        <f t="array" ref="G90">INDEX(covid, MATCH($A90,iso_code,0), MATCH(G$1, columns, 0))</f>
        <v>46482.958</v>
      </c>
      <c r="H90" s="16"/>
      <c r="I90" s="2"/>
      <c r="J90" s="2"/>
      <c r="K90" s="2"/>
      <c r="L90" s="2"/>
      <c r="M90" s="2"/>
      <c r="N90" s="2"/>
      <c r="O90" s="2"/>
      <c r="P90" s="2"/>
    </row>
    <row r="91">
      <c r="A91" s="3" t="s">
        <v>265</v>
      </c>
      <c r="B91" s="3" t="s">
        <v>122</v>
      </c>
      <c r="C91" s="3" t="s">
        <v>266</v>
      </c>
      <c r="D91" s="2" t="str">
        <f t="array" ref="D91">INDEX(covid, MATCH($A91,iso_code,0), MATCH(D$1, columns, 0))</f>
        <v>#N/A</v>
      </c>
      <c r="E91" s="2" t="str">
        <f t="array" ref="E91">INDEX(covid, MATCH($A91,iso_code,0), MATCH(E$1, columns, 0))</f>
        <v>#N/A</v>
      </c>
      <c r="F91" s="2" t="str">
        <f t="array" ref="F91">INDEX(covid, MATCH($A91,iso_code,0), MATCH(F$1, columns, 0))</f>
        <v>#N/A</v>
      </c>
      <c r="G91" s="2" t="str">
        <f t="array" ref="G91">INDEX(covid, MATCH($A91,iso_code,0), MATCH(G$1, columns, 0))</f>
        <v>#N/A</v>
      </c>
      <c r="H91" s="16"/>
      <c r="I91" s="2"/>
      <c r="J91" s="2"/>
      <c r="K91" s="2"/>
      <c r="L91" s="2"/>
      <c r="M91" s="2"/>
      <c r="N91" s="2"/>
      <c r="O91" s="2"/>
      <c r="P91" s="2"/>
    </row>
    <row r="92">
      <c r="A92" s="3" t="s">
        <v>267</v>
      </c>
      <c r="B92" s="3" t="s">
        <v>122</v>
      </c>
      <c r="C92" s="3" t="s">
        <v>268</v>
      </c>
      <c r="D92" s="2" t="str">
        <f t="array" ref="D92">INDEX(covid, MATCH($A92,iso_code,0), MATCH(D$1, columns, 0))</f>
        <v>#N/A</v>
      </c>
      <c r="E92" s="2" t="str">
        <f t="array" ref="E92">INDEX(covid, MATCH($A92,iso_code,0), MATCH(E$1, columns, 0))</f>
        <v>#N/A</v>
      </c>
      <c r="F92" s="2" t="str">
        <f t="array" ref="F92">INDEX(covid, MATCH($A92,iso_code,0), MATCH(F$1, columns, 0))</f>
        <v>#N/A</v>
      </c>
      <c r="G92" s="2" t="str">
        <f t="array" ref="G92">INDEX(covid, MATCH($A92,iso_code,0), MATCH(G$1, columns, 0))</f>
        <v>#N/A</v>
      </c>
      <c r="H92" s="16"/>
      <c r="I92" s="2"/>
      <c r="J92" s="2"/>
      <c r="K92" s="2"/>
      <c r="L92" s="2"/>
      <c r="M92" s="2"/>
      <c r="N92" s="2"/>
      <c r="O92" s="2"/>
      <c r="P92" s="2"/>
    </row>
    <row r="93">
      <c r="A93" s="3" t="s">
        <v>269</v>
      </c>
      <c r="B93" s="3" t="s">
        <v>122</v>
      </c>
      <c r="C93" s="3" t="s">
        <v>270</v>
      </c>
      <c r="D93" s="2" t="str">
        <f t="array" ref="D93">INDEX(covid, MATCH($A93,iso_code,0), MATCH(D$1, columns, 0))</f>
        <v>#N/A</v>
      </c>
      <c r="E93" s="2" t="str">
        <f t="array" ref="E93">INDEX(covid, MATCH($A93,iso_code,0), MATCH(E$1, columns, 0))</f>
        <v>#N/A</v>
      </c>
      <c r="F93" s="2" t="str">
        <f t="array" ref="F93">INDEX(covid, MATCH($A93,iso_code,0), MATCH(F$1, columns, 0))</f>
        <v>#N/A</v>
      </c>
      <c r="G93" s="2" t="str">
        <f t="array" ref="G93">INDEX(covid, MATCH($A93,iso_code,0), MATCH(G$1, columns, 0))</f>
        <v>#N/A</v>
      </c>
      <c r="H93" s="16"/>
      <c r="I93" s="2"/>
      <c r="J93" s="2"/>
      <c r="K93" s="2"/>
      <c r="L93" s="2"/>
      <c r="M93" s="2"/>
      <c r="N93" s="2"/>
      <c r="O93" s="2"/>
      <c r="P93" s="2"/>
    </row>
    <row r="94">
      <c r="A94" s="3" t="s">
        <v>271</v>
      </c>
      <c r="B94" s="3" t="s">
        <v>122</v>
      </c>
      <c r="C94" s="3" t="s">
        <v>272</v>
      </c>
      <c r="D94" s="2" t="str">
        <f t="array" ref="D94">INDEX(covid, MATCH($A94,iso_code,0), MATCH(D$1, columns, 0))</f>
        <v>#N/A</v>
      </c>
      <c r="E94" s="2" t="str">
        <f t="array" ref="E94">INDEX(covid, MATCH($A94,iso_code,0), MATCH(E$1, columns, 0))</f>
        <v>#N/A</v>
      </c>
      <c r="F94" s="2" t="str">
        <f t="array" ref="F94">INDEX(covid, MATCH($A94,iso_code,0), MATCH(F$1, columns, 0))</f>
        <v>#N/A</v>
      </c>
      <c r="G94" s="2" t="str">
        <f t="array" ref="G94">INDEX(covid, MATCH($A94,iso_code,0), MATCH(G$1, columns, 0))</f>
        <v>#N/A</v>
      </c>
      <c r="H94" s="16"/>
      <c r="I94" s="2"/>
      <c r="J94" s="2"/>
      <c r="K94" s="2"/>
      <c r="L94" s="2"/>
      <c r="M94" s="2"/>
      <c r="N94" s="2"/>
      <c r="O94" s="2"/>
      <c r="P94" s="2"/>
    </row>
    <row r="95">
      <c r="A95" s="3" t="s">
        <v>69</v>
      </c>
      <c r="B95" s="3" t="s">
        <v>23</v>
      </c>
      <c r="C95" s="3" t="s">
        <v>70</v>
      </c>
      <c r="D95" s="14">
        <f t="array" ref="D95">INDEX(covid, MATCH($A95,iso_code,0), MATCH(D$1, columns, 0))</f>
        <v>788559</v>
      </c>
      <c r="E95" s="14">
        <f t="array" ref="E95">INDEX(covid, MATCH($A95,iso_code,0), MATCH(E$1, columns, 0))</f>
        <v>5912</v>
      </c>
      <c r="F95" s="14">
        <f t="array" ref="F95">INDEX(covid, MATCH($A95,iso_code,0), MATCH(F$1, columns, 0))</f>
        <v>4982904</v>
      </c>
      <c r="G95" s="10">
        <f t="array" ref="G95">INDEX(covid, MATCH($A95,iso_code,0), MATCH(G$1, columns, 0))</f>
        <v>67335.293</v>
      </c>
      <c r="H95" s="16"/>
      <c r="I95" s="2"/>
      <c r="J95" s="2"/>
      <c r="K95" s="2"/>
      <c r="L95" s="2"/>
      <c r="M95" s="2"/>
      <c r="N95" s="2"/>
      <c r="O95" s="2"/>
      <c r="P95" s="2"/>
    </row>
    <row r="96">
      <c r="A96" s="3" t="s">
        <v>67</v>
      </c>
      <c r="B96" s="3" t="s">
        <v>23</v>
      </c>
      <c r="C96" s="3" t="s">
        <v>68</v>
      </c>
      <c r="D96" s="14">
        <f t="array" ref="D96">INDEX(covid, MATCH($A96,iso_code,0), MATCH(D$1, columns, 0))</f>
        <v>13641</v>
      </c>
      <c r="E96" s="2">
        <f t="array" ref="E96">INDEX(covid, MATCH($A96,iso_code,0), MATCH(E$1, columns, 0))</f>
        <v>67</v>
      </c>
      <c r="F96" s="14">
        <f t="array" ref="F96">INDEX(covid, MATCH($A96,iso_code,0), MATCH(F$1, columns, 0))</f>
        <v>85410</v>
      </c>
      <c r="G96" s="10" t="str">
        <f t="array" ref="G96">INDEX(covid, MATCH($A96,iso_code,0), MATCH(G$1, columns, 0))</f>
        <v/>
      </c>
      <c r="H96" s="16"/>
      <c r="I96" s="2"/>
      <c r="J96" s="2"/>
      <c r="K96" s="2"/>
      <c r="L96" s="2"/>
      <c r="M96" s="2"/>
      <c r="N96" s="2"/>
      <c r="O96" s="2"/>
      <c r="P96" s="2"/>
    </row>
    <row r="97">
      <c r="A97" s="3" t="s">
        <v>273</v>
      </c>
      <c r="B97" s="3" t="s">
        <v>122</v>
      </c>
      <c r="C97" s="3" t="s">
        <v>274</v>
      </c>
      <c r="D97" s="2" t="str">
        <f t="array" ref="D97">INDEX(covid, MATCH($A97,iso_code,0), MATCH(D$1, columns, 0))</f>
        <v>#N/A</v>
      </c>
      <c r="E97" s="2" t="str">
        <f t="array" ref="E97">INDEX(covid, MATCH($A97,iso_code,0), MATCH(E$1, columns, 0))</f>
        <v>#N/A</v>
      </c>
      <c r="F97" s="2" t="str">
        <f t="array" ref="F97">INDEX(covid, MATCH($A97,iso_code,0), MATCH(F$1, columns, 0))</f>
        <v>#N/A</v>
      </c>
      <c r="G97" s="2" t="str">
        <f t="array" ref="G97">INDEX(covid, MATCH($A97,iso_code,0), MATCH(G$1, columns, 0))</f>
        <v>#N/A</v>
      </c>
      <c r="H97" s="16"/>
      <c r="I97" s="2"/>
      <c r="J97" s="2"/>
      <c r="K97" s="2"/>
      <c r="L97" s="2"/>
      <c r="M97" s="2"/>
      <c r="N97" s="2"/>
      <c r="O97" s="2"/>
      <c r="P97" s="2"/>
    </row>
    <row r="98">
      <c r="A98" s="3" t="s">
        <v>73</v>
      </c>
      <c r="B98" s="3" t="s">
        <v>23</v>
      </c>
      <c r="C98" s="3" t="s">
        <v>74</v>
      </c>
      <c r="D98" s="14">
        <f t="array" ref="D98">INDEX(covid, MATCH($A98,iso_code,0), MATCH(D$1, columns, 0))</f>
        <v>6125683</v>
      </c>
      <c r="E98" s="14">
        <f t="array" ref="E98">INDEX(covid, MATCH($A98,iso_code,0), MATCH(E$1, columns, 0))</f>
        <v>137402</v>
      </c>
      <c r="F98" s="14">
        <f t="array" ref="F98">INDEX(covid, MATCH($A98,iso_code,0), MATCH(F$1, columns, 0))</f>
        <v>60367471</v>
      </c>
      <c r="G98" s="10">
        <f t="array" ref="G98">INDEX(covid, MATCH($A98,iso_code,0), MATCH(G$1, columns, 0))</f>
        <v>35220.084</v>
      </c>
      <c r="H98" s="16"/>
      <c r="I98" s="2"/>
      <c r="J98" s="2"/>
      <c r="K98" s="2"/>
      <c r="L98" s="2"/>
      <c r="M98" s="2"/>
      <c r="N98" s="2"/>
      <c r="O98" s="2"/>
      <c r="P98" s="2"/>
    </row>
    <row r="99">
      <c r="A99" s="3" t="s">
        <v>275</v>
      </c>
      <c r="B99" s="3" t="s">
        <v>130</v>
      </c>
      <c r="C99" s="3" t="s">
        <v>276</v>
      </c>
      <c r="D99" s="2" t="str">
        <f t="array" ref="D99">INDEX(covid, MATCH($A99,iso_code,0), MATCH(D$1, columns, 0))</f>
        <v>#N/A</v>
      </c>
      <c r="E99" s="2" t="str">
        <f t="array" ref="E99">INDEX(covid, MATCH($A99,iso_code,0), MATCH(E$1, columns, 0))</f>
        <v>#N/A</v>
      </c>
      <c r="F99" s="2" t="str">
        <f t="array" ref="F99">INDEX(covid, MATCH($A99,iso_code,0), MATCH(F$1, columns, 0))</f>
        <v>#N/A</v>
      </c>
      <c r="G99" s="2" t="str">
        <f t="array" ref="G99">INDEX(covid, MATCH($A99,iso_code,0), MATCH(G$1, columns, 0))</f>
        <v>#N/A</v>
      </c>
      <c r="H99" s="16"/>
      <c r="I99" s="2"/>
      <c r="J99" s="2"/>
      <c r="K99" s="2"/>
      <c r="L99" s="2"/>
      <c r="M99" s="2"/>
      <c r="N99" s="2"/>
      <c r="O99" s="2"/>
      <c r="P99" s="2"/>
    </row>
    <row r="100">
      <c r="A100" s="3" t="s">
        <v>277</v>
      </c>
      <c r="B100" s="3" t="s">
        <v>122</v>
      </c>
      <c r="C100" s="3" t="s">
        <v>278</v>
      </c>
      <c r="D100" s="2" t="str">
        <f t="array" ref="D100">INDEX(covid, MATCH($A100,iso_code,0), MATCH(D$1, columns, 0))</f>
        <v>#N/A</v>
      </c>
      <c r="E100" s="2" t="str">
        <f t="array" ref="E100">INDEX(covid, MATCH($A100,iso_code,0), MATCH(E$1, columns, 0))</f>
        <v>#N/A</v>
      </c>
      <c r="F100" s="2" t="str">
        <f t="array" ref="F100">INDEX(covid, MATCH($A100,iso_code,0), MATCH(F$1, columns, 0))</f>
        <v>#N/A</v>
      </c>
      <c r="G100" s="2" t="str">
        <f t="array" ref="G100">INDEX(covid, MATCH($A100,iso_code,0), MATCH(G$1, columns, 0))</f>
        <v>#N/A</v>
      </c>
      <c r="H100" s="16"/>
      <c r="I100" s="2"/>
      <c r="J100" s="2"/>
      <c r="K100" s="2"/>
      <c r="L100" s="2"/>
      <c r="M100" s="2"/>
      <c r="N100" s="2"/>
      <c r="O100" s="2"/>
      <c r="P100" s="2"/>
    </row>
    <row r="101">
      <c r="A101" s="3" t="s">
        <v>75</v>
      </c>
      <c r="B101" s="3" t="s">
        <v>23</v>
      </c>
      <c r="C101" s="3" t="s">
        <v>76</v>
      </c>
      <c r="D101" s="2" t="str">
        <f t="array" ref="D101">INDEX(covid, MATCH($A101,iso_code,0), MATCH(D$1, columns, 0))</f>
        <v/>
      </c>
      <c r="E101" s="2" t="str">
        <f t="array" ref="E101">INDEX(covid, MATCH($A101,iso_code,0), MATCH(E$1, columns, 0))</f>
        <v/>
      </c>
      <c r="F101" s="14">
        <f t="array" ref="F101">INDEX(covid, MATCH($A101,iso_code,0), MATCH(F$1, columns, 0))</f>
        <v>101073</v>
      </c>
      <c r="G101" s="10" t="str">
        <f t="array" ref="G101">INDEX(covid, MATCH($A101,iso_code,0), MATCH(G$1, columns, 0))</f>
        <v/>
      </c>
      <c r="H101" s="16"/>
      <c r="I101" s="2"/>
      <c r="J101" s="2"/>
      <c r="K101" s="2"/>
      <c r="L101" s="2"/>
      <c r="M101" s="2"/>
      <c r="N101" s="2"/>
      <c r="O101" s="2"/>
      <c r="P101" s="2"/>
    </row>
    <row r="102">
      <c r="A102" s="3" t="s">
        <v>279</v>
      </c>
      <c r="B102" s="3" t="s">
        <v>122</v>
      </c>
      <c r="C102" s="3" t="s">
        <v>280</v>
      </c>
      <c r="D102" s="2" t="str">
        <f t="array" ref="D102">INDEX(covid, MATCH($A102,iso_code,0), MATCH(D$1, columns, 0))</f>
        <v>#N/A</v>
      </c>
      <c r="E102" s="2" t="str">
        <f t="array" ref="E102">INDEX(covid, MATCH($A102,iso_code,0), MATCH(E$1, columns, 0))</f>
        <v>#N/A</v>
      </c>
      <c r="F102" s="2" t="str">
        <f t="array" ref="F102">INDEX(covid, MATCH($A102,iso_code,0), MATCH(F$1, columns, 0))</f>
        <v>#N/A</v>
      </c>
      <c r="G102" s="2" t="str">
        <f t="array" ref="G102">INDEX(covid, MATCH($A102,iso_code,0), MATCH(G$1, columns, 0))</f>
        <v>#N/A</v>
      </c>
      <c r="H102" s="16"/>
      <c r="I102" s="2"/>
      <c r="J102" s="2"/>
      <c r="K102" s="2"/>
      <c r="L102" s="2"/>
      <c r="M102" s="2"/>
      <c r="N102" s="2"/>
      <c r="O102" s="2"/>
      <c r="P102" s="2"/>
    </row>
    <row r="103">
      <c r="A103" s="3" t="s">
        <v>281</v>
      </c>
      <c r="B103" s="3" t="s">
        <v>122</v>
      </c>
      <c r="C103" s="3" t="s">
        <v>282</v>
      </c>
      <c r="D103" s="2" t="str">
        <f t="array" ref="D103">INDEX(covid, MATCH($A103,iso_code,0), MATCH(D$1, columns, 0))</f>
        <v>#N/A</v>
      </c>
      <c r="E103" s="2" t="str">
        <f t="array" ref="E103">INDEX(covid, MATCH($A103,iso_code,0), MATCH(E$1, columns, 0))</f>
        <v>#N/A</v>
      </c>
      <c r="F103" s="2" t="str">
        <f t="array" ref="F103">INDEX(covid, MATCH($A103,iso_code,0), MATCH(F$1, columns, 0))</f>
        <v>#N/A</v>
      </c>
      <c r="G103" s="2" t="str">
        <f t="array" ref="G103">INDEX(covid, MATCH($A103,iso_code,0), MATCH(G$1, columns, 0))</f>
        <v>#N/A</v>
      </c>
      <c r="H103" s="16"/>
      <c r="I103" s="2"/>
      <c r="J103" s="2"/>
      <c r="K103" s="2"/>
      <c r="L103" s="2"/>
      <c r="M103" s="2"/>
      <c r="N103" s="2"/>
      <c r="O103" s="2"/>
      <c r="P103" s="2"/>
    </row>
    <row r="104">
      <c r="A104" s="3" t="s">
        <v>283</v>
      </c>
      <c r="B104" s="3" t="s">
        <v>125</v>
      </c>
      <c r="C104" s="3" t="s">
        <v>284</v>
      </c>
      <c r="D104" s="2" t="str">
        <f t="array" ref="D104">INDEX(covid, MATCH($A104,iso_code,0), MATCH(D$1, columns, 0))</f>
        <v>#N/A</v>
      </c>
      <c r="E104" s="2" t="str">
        <f t="array" ref="E104">INDEX(covid, MATCH($A104,iso_code,0), MATCH(E$1, columns, 0))</f>
        <v>#N/A</v>
      </c>
      <c r="F104" s="2" t="str">
        <f t="array" ref="F104">INDEX(covid, MATCH($A104,iso_code,0), MATCH(F$1, columns, 0))</f>
        <v>#N/A</v>
      </c>
      <c r="G104" s="2" t="str">
        <f t="array" ref="G104">INDEX(covid, MATCH($A104,iso_code,0), MATCH(G$1, columns, 0))</f>
        <v>#N/A</v>
      </c>
      <c r="H104" s="16"/>
      <c r="I104" s="2"/>
      <c r="J104" s="2"/>
      <c r="K104" s="2"/>
      <c r="L104" s="2"/>
      <c r="M104" s="2"/>
      <c r="N104" s="2"/>
      <c r="O104" s="2"/>
      <c r="P104" s="2"/>
    </row>
    <row r="105">
      <c r="A105" s="3" t="s">
        <v>285</v>
      </c>
      <c r="B105" s="3" t="s">
        <v>23</v>
      </c>
      <c r="C105" s="3" t="s">
        <v>286</v>
      </c>
      <c r="D105" s="2" t="str">
        <f t="array" ref="D105">INDEX(covid, MATCH($A105,iso_code,0), MATCH(D$1, columns, 0))</f>
        <v>#N/A</v>
      </c>
      <c r="E105" s="2" t="str">
        <f t="array" ref="E105">INDEX(covid, MATCH($A105,iso_code,0), MATCH(E$1, columns, 0))</f>
        <v>#N/A</v>
      </c>
      <c r="F105" s="2" t="str">
        <f t="array" ref="F105">INDEX(covid, MATCH($A105,iso_code,0), MATCH(F$1, columns, 0))</f>
        <v>#N/A</v>
      </c>
      <c r="G105" s="2" t="str">
        <f t="array" ref="G105">INDEX(covid, MATCH($A105,iso_code,0), MATCH(G$1, columns, 0))</f>
        <v>#N/A</v>
      </c>
      <c r="H105" s="16"/>
      <c r="I105" s="2"/>
      <c r="J105" s="2"/>
      <c r="K105" s="2"/>
      <c r="L105" s="2"/>
      <c r="M105" s="2"/>
      <c r="N105" s="2"/>
      <c r="O105" s="2"/>
      <c r="P105" s="2"/>
    </row>
    <row r="106">
      <c r="A106" s="3" t="s">
        <v>287</v>
      </c>
      <c r="B106" s="3" t="s">
        <v>122</v>
      </c>
      <c r="C106" s="3" t="s">
        <v>288</v>
      </c>
      <c r="D106" s="2" t="str">
        <f t="array" ref="D106">INDEX(covid, MATCH($A106,iso_code,0), MATCH(D$1, columns, 0))</f>
        <v>#N/A</v>
      </c>
      <c r="E106" s="2" t="str">
        <f t="array" ref="E106">INDEX(covid, MATCH($A106,iso_code,0), MATCH(E$1, columns, 0))</f>
        <v>#N/A</v>
      </c>
      <c r="F106" s="2" t="str">
        <f t="array" ref="F106">INDEX(covid, MATCH($A106,iso_code,0), MATCH(F$1, columns, 0))</f>
        <v>#N/A</v>
      </c>
      <c r="G106" s="2" t="str">
        <f t="array" ref="G106">INDEX(covid, MATCH($A106,iso_code,0), MATCH(G$1, columns, 0))</f>
        <v>#N/A</v>
      </c>
      <c r="H106" s="16"/>
      <c r="I106" s="2"/>
      <c r="J106" s="2"/>
      <c r="K106" s="2"/>
      <c r="L106" s="2"/>
      <c r="M106" s="2"/>
      <c r="N106" s="2"/>
      <c r="O106" s="2"/>
      <c r="P106" s="2"/>
    </row>
    <row r="107">
      <c r="A107" s="3" t="s">
        <v>289</v>
      </c>
      <c r="B107" s="3" t="s">
        <v>122</v>
      </c>
      <c r="C107" s="3" t="s">
        <v>290</v>
      </c>
      <c r="D107" s="2" t="str">
        <f t="array" ref="D107">INDEX(covid, MATCH($A107,iso_code,0), MATCH(D$1, columns, 0))</f>
        <v>#N/A</v>
      </c>
      <c r="E107" s="2" t="str">
        <f t="array" ref="E107">INDEX(covid, MATCH($A107,iso_code,0), MATCH(E$1, columns, 0))</f>
        <v>#N/A</v>
      </c>
      <c r="F107" s="2" t="str">
        <f t="array" ref="F107">INDEX(covid, MATCH($A107,iso_code,0), MATCH(F$1, columns, 0))</f>
        <v>#N/A</v>
      </c>
      <c r="G107" s="2" t="str">
        <f t="array" ref="G107">INDEX(covid, MATCH($A107,iso_code,0), MATCH(G$1, columns, 0))</f>
        <v>#N/A</v>
      </c>
      <c r="H107" s="16"/>
      <c r="I107" s="2"/>
      <c r="J107" s="2"/>
      <c r="K107" s="2"/>
      <c r="L107" s="2"/>
      <c r="M107" s="2"/>
      <c r="N107" s="2"/>
      <c r="O107" s="2"/>
      <c r="P107" s="2"/>
    </row>
    <row r="108">
      <c r="A108" s="3" t="s">
        <v>291</v>
      </c>
      <c r="B108" s="3" t="s">
        <v>122</v>
      </c>
      <c r="C108" s="3" t="s">
        <v>292</v>
      </c>
      <c r="D108" s="2" t="str">
        <f t="array" ref="D108">INDEX(covid, MATCH($A108,iso_code,0), MATCH(D$1, columns, 0))</f>
        <v>#N/A</v>
      </c>
      <c r="E108" s="2" t="str">
        <f t="array" ref="E108">INDEX(covid, MATCH($A108,iso_code,0), MATCH(E$1, columns, 0))</f>
        <v>#N/A</v>
      </c>
      <c r="F108" s="2" t="str">
        <f t="array" ref="F108">INDEX(covid, MATCH($A108,iso_code,0), MATCH(F$1, columns, 0))</f>
        <v>#N/A</v>
      </c>
      <c r="G108" s="2" t="str">
        <f t="array" ref="G108">INDEX(covid, MATCH($A108,iso_code,0), MATCH(G$1, columns, 0))</f>
        <v>#N/A</v>
      </c>
      <c r="H108" s="16"/>
      <c r="I108" s="2"/>
      <c r="J108" s="2"/>
      <c r="K108" s="2"/>
      <c r="L108" s="2"/>
      <c r="M108" s="2"/>
      <c r="N108" s="2"/>
      <c r="O108" s="2"/>
      <c r="P108" s="2"/>
    </row>
    <row r="109">
      <c r="A109" s="3" t="s">
        <v>83</v>
      </c>
      <c r="B109" s="3" t="s">
        <v>23</v>
      </c>
      <c r="C109" s="3" t="s">
        <v>84</v>
      </c>
      <c r="D109" s="14">
        <f t="array" ref="D109">INDEX(covid, MATCH($A109,iso_code,0), MATCH(D$1, columns, 0))</f>
        <v>276674</v>
      </c>
      <c r="E109" s="14">
        <f t="array" ref="E109">INDEX(covid, MATCH($A109,iso_code,0), MATCH(E$1, columns, 0))</f>
        <v>4570</v>
      </c>
      <c r="F109" s="14">
        <f t="array" ref="F109">INDEX(covid, MATCH($A109,iso_code,0), MATCH(F$1, columns, 0))</f>
        <v>1866934</v>
      </c>
      <c r="G109" s="10">
        <f t="array" ref="G109">INDEX(covid, MATCH($A109,iso_code,0), MATCH(G$1, columns, 0))</f>
        <v>25063.846</v>
      </c>
      <c r="H109" s="16"/>
      <c r="I109" s="2"/>
      <c r="J109" s="2"/>
      <c r="K109" s="2"/>
      <c r="L109" s="2"/>
      <c r="M109" s="2"/>
      <c r="N109" s="2"/>
      <c r="O109" s="2"/>
      <c r="P109" s="2"/>
    </row>
    <row r="110">
      <c r="A110" s="3" t="s">
        <v>293</v>
      </c>
      <c r="B110" s="3" t="s">
        <v>122</v>
      </c>
      <c r="C110" s="3" t="s">
        <v>294</v>
      </c>
      <c r="D110" s="2" t="str">
        <f t="array" ref="D110">INDEX(covid, MATCH($A110,iso_code,0), MATCH(D$1, columns, 0))</f>
        <v>#N/A</v>
      </c>
      <c r="E110" s="2" t="str">
        <f t="array" ref="E110">INDEX(covid, MATCH($A110,iso_code,0), MATCH(E$1, columns, 0))</f>
        <v>#N/A</v>
      </c>
      <c r="F110" s="2" t="str">
        <f t="array" ref="F110">INDEX(covid, MATCH($A110,iso_code,0), MATCH(F$1, columns, 0))</f>
        <v>#N/A</v>
      </c>
      <c r="G110" s="2" t="str">
        <f t="array" ref="G110">INDEX(covid, MATCH($A110,iso_code,0), MATCH(G$1, columns, 0))</f>
        <v>#N/A</v>
      </c>
      <c r="H110" s="16"/>
      <c r="I110" s="2"/>
      <c r="J110" s="2"/>
      <c r="K110" s="2"/>
      <c r="L110" s="2"/>
      <c r="M110" s="2"/>
      <c r="N110" s="2"/>
      <c r="O110" s="2"/>
      <c r="P110" s="2"/>
    </row>
    <row r="111">
      <c r="A111" s="3" t="s">
        <v>295</v>
      </c>
      <c r="B111" s="3" t="s">
        <v>125</v>
      </c>
      <c r="C111" s="3" t="s">
        <v>296</v>
      </c>
      <c r="D111" s="2" t="str">
        <f t="array" ref="D111">INDEX(covid, MATCH($A111,iso_code,0), MATCH(D$1, columns, 0))</f>
        <v>#N/A</v>
      </c>
      <c r="E111" s="2" t="str">
        <f t="array" ref="E111">INDEX(covid, MATCH($A111,iso_code,0), MATCH(E$1, columns, 0))</f>
        <v>#N/A</v>
      </c>
      <c r="F111" s="2" t="str">
        <f t="array" ref="F111">INDEX(covid, MATCH($A111,iso_code,0), MATCH(F$1, columns, 0))</f>
        <v>#N/A</v>
      </c>
      <c r="G111" s="2" t="str">
        <f t="array" ref="G111">INDEX(covid, MATCH($A111,iso_code,0), MATCH(G$1, columns, 0))</f>
        <v>#N/A</v>
      </c>
      <c r="H111" s="16"/>
      <c r="I111" s="2"/>
      <c r="J111" s="2"/>
      <c r="K111" s="2"/>
      <c r="L111" s="2"/>
      <c r="M111" s="2"/>
      <c r="N111" s="2"/>
      <c r="O111" s="2"/>
      <c r="P111" s="2"/>
    </row>
    <row r="112">
      <c r="A112" s="3" t="s">
        <v>297</v>
      </c>
      <c r="B112" s="3" t="s">
        <v>125</v>
      </c>
      <c r="C112" s="3" t="s">
        <v>298</v>
      </c>
      <c r="D112" s="2" t="str">
        <f t="array" ref="D112">INDEX(covid, MATCH($A112,iso_code,0), MATCH(D$1, columns, 0))</f>
        <v>#N/A</v>
      </c>
      <c r="E112" s="2" t="str">
        <f t="array" ref="E112">INDEX(covid, MATCH($A112,iso_code,0), MATCH(E$1, columns, 0))</f>
        <v>#N/A</v>
      </c>
      <c r="F112" s="2" t="str">
        <f t="array" ref="F112">INDEX(covid, MATCH($A112,iso_code,0), MATCH(F$1, columns, 0))</f>
        <v>#N/A</v>
      </c>
      <c r="G112" s="2" t="str">
        <f t="array" ref="G112">INDEX(covid, MATCH($A112,iso_code,0), MATCH(G$1, columns, 0))</f>
        <v>#N/A</v>
      </c>
      <c r="H112" s="16"/>
      <c r="I112" s="2"/>
      <c r="J112" s="2"/>
      <c r="K112" s="2"/>
      <c r="L112" s="2"/>
      <c r="M112" s="2"/>
      <c r="N112" s="2"/>
      <c r="O112" s="2"/>
      <c r="P112" s="2"/>
    </row>
    <row r="113">
      <c r="A113" s="3" t="s">
        <v>299</v>
      </c>
      <c r="B113" s="3" t="s">
        <v>125</v>
      </c>
      <c r="C113" s="3" t="s">
        <v>300</v>
      </c>
      <c r="D113" s="2" t="str">
        <f t="array" ref="D113">INDEX(covid, MATCH($A113,iso_code,0), MATCH(D$1, columns, 0))</f>
        <v>#N/A</v>
      </c>
      <c r="E113" s="2" t="str">
        <f t="array" ref="E113">INDEX(covid, MATCH($A113,iso_code,0), MATCH(E$1, columns, 0))</f>
        <v>#N/A</v>
      </c>
      <c r="F113" s="2" t="str">
        <f t="array" ref="F113">INDEX(covid, MATCH($A113,iso_code,0), MATCH(F$1, columns, 0))</f>
        <v>#N/A</v>
      </c>
      <c r="G113" s="2" t="str">
        <f t="array" ref="G113">INDEX(covid, MATCH($A113,iso_code,0), MATCH(G$1, columns, 0))</f>
        <v>#N/A</v>
      </c>
      <c r="H113" s="16"/>
      <c r="I113" s="2"/>
      <c r="J113" s="2"/>
      <c r="K113" s="2"/>
      <c r="L113" s="2"/>
      <c r="M113" s="2"/>
      <c r="N113" s="2"/>
      <c r="O113" s="2"/>
      <c r="P113" s="2"/>
    </row>
    <row r="114">
      <c r="A114" s="3" t="s">
        <v>77</v>
      </c>
      <c r="B114" s="3" t="s">
        <v>23</v>
      </c>
      <c r="C114" s="3" t="s">
        <v>78</v>
      </c>
      <c r="D114" s="14">
        <f t="array" ref="D114">INDEX(covid, MATCH($A114,iso_code,0), MATCH(D$1, columns, 0))</f>
        <v>6131</v>
      </c>
      <c r="E114" s="2">
        <f t="array" ref="E114">INDEX(covid, MATCH($A114,iso_code,0), MATCH(E$1, columns, 0))</f>
        <v>69</v>
      </c>
      <c r="F114" s="14">
        <f t="array" ref="F114">INDEX(covid, MATCH($A114,iso_code,0), MATCH(F$1, columns, 0))</f>
        <v>38254</v>
      </c>
      <c r="G114" s="10" t="str">
        <f t="array" ref="G114">INDEX(covid, MATCH($A114,iso_code,0), MATCH(G$1, columns, 0))</f>
        <v/>
      </c>
      <c r="H114" s="16"/>
      <c r="I114" s="2"/>
      <c r="J114" s="2"/>
      <c r="K114" s="2"/>
      <c r="L114" s="2"/>
      <c r="M114" s="2"/>
      <c r="N114" s="2"/>
      <c r="O114" s="2"/>
      <c r="P114" s="2"/>
    </row>
    <row r="115">
      <c r="A115" s="3" t="s">
        <v>79</v>
      </c>
      <c r="B115" s="3" t="s">
        <v>23</v>
      </c>
      <c r="C115" s="3" t="s">
        <v>80</v>
      </c>
      <c r="D115" s="14">
        <f t="array" ref="D115">INDEX(covid, MATCH($A115,iso_code,0), MATCH(D$1, columns, 0))</f>
        <v>519597</v>
      </c>
      <c r="E115" s="14">
        <f t="array" ref="E115">INDEX(covid, MATCH($A115,iso_code,0), MATCH(E$1, columns, 0))</f>
        <v>7387</v>
      </c>
      <c r="F115" s="14">
        <f t="array" ref="F115">INDEX(covid, MATCH($A115,iso_code,0), MATCH(F$1, columns, 0))</f>
        <v>2689862</v>
      </c>
      <c r="G115" s="10">
        <f t="array" ref="G115">INDEX(covid, MATCH($A115,iso_code,0), MATCH(G$1, columns, 0))</f>
        <v>29524.265</v>
      </c>
      <c r="H115" s="16"/>
      <c r="I115" s="2"/>
      <c r="J115" s="2"/>
      <c r="K115" s="2"/>
      <c r="L115" s="2"/>
      <c r="M115" s="2"/>
      <c r="N115" s="2"/>
      <c r="O115" s="2"/>
      <c r="P115" s="2"/>
    </row>
    <row r="116">
      <c r="A116" s="3" t="s">
        <v>81</v>
      </c>
      <c r="B116" s="3" t="s">
        <v>23</v>
      </c>
      <c r="C116" s="3" t="s">
        <v>82</v>
      </c>
      <c r="D116" s="14">
        <f t="array" ref="D116">INDEX(covid, MATCH($A116,iso_code,0), MATCH(D$1, columns, 0))</f>
        <v>103766</v>
      </c>
      <c r="E116" s="2">
        <f t="array" ref="E116">INDEX(covid, MATCH($A116,iso_code,0), MATCH(E$1, columns, 0))</f>
        <v>915</v>
      </c>
      <c r="F116" s="14">
        <f t="array" ref="F116">INDEX(covid, MATCH($A116,iso_code,0), MATCH(F$1, columns, 0))</f>
        <v>634814</v>
      </c>
      <c r="G116" s="10">
        <f t="array" ref="G116">INDEX(covid, MATCH($A116,iso_code,0), MATCH(G$1, columns, 0))</f>
        <v>94277.965</v>
      </c>
      <c r="H116" s="16"/>
      <c r="I116" s="2"/>
      <c r="J116" s="2"/>
      <c r="K116" s="2"/>
      <c r="L116" s="2"/>
      <c r="M116" s="2"/>
      <c r="N116" s="2"/>
      <c r="O116" s="2"/>
      <c r="P116" s="2"/>
    </row>
    <row r="117">
      <c r="A117" s="3" t="s">
        <v>89</v>
      </c>
      <c r="B117" s="3" t="s">
        <v>23</v>
      </c>
      <c r="C117" s="3" t="s">
        <v>301</v>
      </c>
      <c r="D117" s="14">
        <f t="array" ref="D117">INDEX(covid, MATCH($A117,iso_code,0), MATCH(D$1, columns, 0))</f>
        <v>225049</v>
      </c>
      <c r="E117" s="14">
        <f t="array" ref="E117">INDEX(covid, MATCH($A117,iso_code,0), MATCH(E$1, columns, 0))</f>
        <v>7960</v>
      </c>
      <c r="F117" s="14">
        <f t="array" ref="F117">INDEX(covid, MATCH($A117,iso_code,0), MATCH(F$1, columns, 0))</f>
        <v>2082661</v>
      </c>
      <c r="G117" s="10">
        <f t="array" ref="G117">INDEX(covid, MATCH($A117,iso_code,0), MATCH(G$1, columns, 0))</f>
        <v>13111.214</v>
      </c>
      <c r="H117" s="16"/>
      <c r="I117" s="2"/>
      <c r="J117" s="2"/>
      <c r="K117" s="2"/>
      <c r="L117" s="2"/>
      <c r="M117" s="2"/>
      <c r="N117" s="2"/>
      <c r="O117" s="2"/>
      <c r="P117" s="2"/>
    </row>
    <row r="118">
      <c r="A118" s="3" t="s">
        <v>302</v>
      </c>
      <c r="B118" s="3" t="s">
        <v>125</v>
      </c>
      <c r="C118" s="3" t="s">
        <v>303</v>
      </c>
      <c r="D118" s="2" t="str">
        <f t="array" ref="D118">INDEX(covid, MATCH($A118,iso_code,0), MATCH(D$1, columns, 0))</f>
        <v>#N/A</v>
      </c>
      <c r="E118" s="2" t="str">
        <f t="array" ref="E118">INDEX(covid, MATCH($A118,iso_code,0), MATCH(E$1, columns, 0))</f>
        <v>#N/A</v>
      </c>
      <c r="F118" s="2" t="str">
        <f t="array" ref="F118">INDEX(covid, MATCH($A118,iso_code,0), MATCH(F$1, columns, 0))</f>
        <v>#N/A</v>
      </c>
      <c r="G118" s="2" t="str">
        <f t="array" ref="G118">INDEX(covid, MATCH($A118,iso_code,0), MATCH(G$1, columns, 0))</f>
        <v>#N/A</v>
      </c>
      <c r="H118" s="16"/>
      <c r="I118" s="2"/>
      <c r="J118" s="2"/>
      <c r="K118" s="2"/>
      <c r="L118" s="2"/>
      <c r="M118" s="2"/>
      <c r="N118" s="2"/>
      <c r="O118" s="2"/>
      <c r="P118" s="2"/>
    </row>
    <row r="119">
      <c r="A119" s="3" t="s">
        <v>304</v>
      </c>
      <c r="B119" s="3" t="s">
        <v>125</v>
      </c>
      <c r="C119" s="3" t="s">
        <v>305</v>
      </c>
      <c r="D119" s="2" t="str">
        <f t="array" ref="D119">INDEX(covid, MATCH($A119,iso_code,0), MATCH(D$1, columns, 0))</f>
        <v>#N/A</v>
      </c>
      <c r="E119" s="2" t="str">
        <f t="array" ref="E119">INDEX(covid, MATCH($A119,iso_code,0), MATCH(E$1, columns, 0))</f>
        <v>#N/A</v>
      </c>
      <c r="F119" s="2" t="str">
        <f t="array" ref="F119">INDEX(covid, MATCH($A119,iso_code,0), MATCH(F$1, columns, 0))</f>
        <v>#N/A</v>
      </c>
      <c r="G119" s="2" t="str">
        <f t="array" ref="G119">INDEX(covid, MATCH($A119,iso_code,0), MATCH(G$1, columns, 0))</f>
        <v>#N/A</v>
      </c>
      <c r="H119" s="16"/>
      <c r="I119" s="2"/>
      <c r="J119" s="2"/>
      <c r="K119" s="2"/>
      <c r="L119" s="2"/>
      <c r="M119" s="2"/>
      <c r="N119" s="2"/>
      <c r="O119" s="2"/>
      <c r="P119" s="2"/>
    </row>
    <row r="120">
      <c r="A120" s="3" t="s">
        <v>306</v>
      </c>
      <c r="B120" s="3" t="s">
        <v>122</v>
      </c>
      <c r="C120" s="3" t="s">
        <v>307</v>
      </c>
      <c r="D120" s="2" t="str">
        <f t="array" ref="D120">INDEX(covid, MATCH($A120,iso_code,0), MATCH(D$1, columns, 0))</f>
        <v>#N/A</v>
      </c>
      <c r="E120" s="2" t="str">
        <f t="array" ref="E120">INDEX(covid, MATCH($A120,iso_code,0), MATCH(E$1, columns, 0))</f>
        <v>#N/A</v>
      </c>
      <c r="F120" s="2" t="str">
        <f t="array" ref="F120">INDEX(covid, MATCH($A120,iso_code,0), MATCH(F$1, columns, 0))</f>
        <v>#N/A</v>
      </c>
      <c r="G120" s="2" t="str">
        <f t="array" ref="G120">INDEX(covid, MATCH($A120,iso_code,0), MATCH(G$1, columns, 0))</f>
        <v>#N/A</v>
      </c>
      <c r="H120" s="16"/>
      <c r="I120" s="2"/>
      <c r="J120" s="2"/>
      <c r="K120" s="2"/>
      <c r="L120" s="2"/>
      <c r="M120" s="2"/>
      <c r="N120" s="2"/>
      <c r="O120" s="2"/>
      <c r="P120" s="2"/>
    </row>
    <row r="121">
      <c r="A121" s="3" t="s">
        <v>308</v>
      </c>
      <c r="B121" s="3" t="s">
        <v>122</v>
      </c>
      <c r="C121" s="3" t="s">
        <v>309</v>
      </c>
      <c r="D121" s="2" t="str">
        <f t="array" ref="D121">INDEX(covid, MATCH($A121,iso_code,0), MATCH(D$1, columns, 0))</f>
        <v>#N/A</v>
      </c>
      <c r="E121" s="2" t="str">
        <f t="array" ref="E121">INDEX(covid, MATCH($A121,iso_code,0), MATCH(E$1, columns, 0))</f>
        <v>#N/A</v>
      </c>
      <c r="F121" s="2" t="str">
        <f t="array" ref="F121">INDEX(covid, MATCH($A121,iso_code,0), MATCH(F$1, columns, 0))</f>
        <v>#N/A</v>
      </c>
      <c r="G121" s="2" t="str">
        <f t="array" ref="G121">INDEX(covid, MATCH($A121,iso_code,0), MATCH(G$1, columns, 0))</f>
        <v>#N/A</v>
      </c>
      <c r="H121" s="16"/>
      <c r="I121" s="2"/>
      <c r="J121" s="2"/>
      <c r="K121" s="2"/>
      <c r="L121" s="2"/>
      <c r="M121" s="2"/>
      <c r="N121" s="2"/>
      <c r="O121" s="2"/>
      <c r="P121" s="2"/>
    </row>
    <row r="122">
      <c r="A122" s="3" t="s">
        <v>310</v>
      </c>
      <c r="B122" s="3" t="s">
        <v>125</v>
      </c>
      <c r="C122" s="3" t="s">
        <v>311</v>
      </c>
      <c r="D122" s="2" t="str">
        <f t="array" ref="D122">INDEX(covid, MATCH($A122,iso_code,0), MATCH(D$1, columns, 0))</f>
        <v>#N/A</v>
      </c>
      <c r="E122" s="2" t="str">
        <f t="array" ref="E122">INDEX(covid, MATCH($A122,iso_code,0), MATCH(E$1, columns, 0))</f>
        <v>#N/A</v>
      </c>
      <c r="F122" s="2" t="str">
        <f t="array" ref="F122">INDEX(covid, MATCH($A122,iso_code,0), MATCH(F$1, columns, 0))</f>
        <v>#N/A</v>
      </c>
      <c r="G122" s="2" t="str">
        <f t="array" ref="G122">INDEX(covid, MATCH($A122,iso_code,0), MATCH(G$1, columns, 0))</f>
        <v>#N/A</v>
      </c>
      <c r="H122" s="16"/>
      <c r="I122" s="2"/>
      <c r="J122" s="2"/>
      <c r="K122" s="2"/>
      <c r="L122" s="2"/>
      <c r="M122" s="2"/>
      <c r="N122" s="2"/>
      <c r="O122" s="2"/>
      <c r="P122" s="2"/>
    </row>
    <row r="123">
      <c r="A123" s="3" t="s">
        <v>91</v>
      </c>
      <c r="B123" s="3" t="s">
        <v>23</v>
      </c>
      <c r="C123" s="3" t="s">
        <v>92</v>
      </c>
      <c r="D123" s="14">
        <f t="array" ref="D123">INDEX(covid, MATCH($A123,iso_code,0), MATCH(D$1, columns, 0))</f>
        <v>52473</v>
      </c>
      <c r="E123" s="2">
        <f t="array" ref="E123">INDEX(covid, MATCH($A123,iso_code,0), MATCH(E$1, columns, 0))</f>
        <v>476</v>
      </c>
      <c r="F123" s="14">
        <f t="array" ref="F123">INDEX(covid, MATCH($A123,iso_code,0), MATCH(F$1, columns, 0))</f>
        <v>516100</v>
      </c>
      <c r="G123" s="10">
        <f t="array" ref="G123">INDEX(covid, MATCH($A123,iso_code,0), MATCH(G$1, columns, 0))</f>
        <v>36513.323</v>
      </c>
      <c r="H123" s="16"/>
      <c r="I123" s="2"/>
      <c r="J123" s="2"/>
      <c r="K123" s="2"/>
      <c r="L123" s="2"/>
      <c r="M123" s="2"/>
      <c r="N123" s="2"/>
      <c r="O123" s="2"/>
      <c r="P123" s="2"/>
    </row>
    <row r="124">
      <c r="A124" s="3" t="s">
        <v>312</v>
      </c>
      <c r="B124" s="3" t="s">
        <v>125</v>
      </c>
      <c r="C124" s="3" t="s">
        <v>313</v>
      </c>
      <c r="D124" s="2" t="str">
        <f t="array" ref="D124">INDEX(covid, MATCH($A124,iso_code,0), MATCH(D$1, columns, 0))</f>
        <v>#N/A</v>
      </c>
      <c r="E124" s="2" t="str">
        <f t="array" ref="E124">INDEX(covid, MATCH($A124,iso_code,0), MATCH(E$1, columns, 0))</f>
        <v>#N/A</v>
      </c>
      <c r="F124" s="2" t="str">
        <f t="array" ref="F124">INDEX(covid, MATCH($A124,iso_code,0), MATCH(F$1, columns, 0))</f>
        <v>#N/A</v>
      </c>
      <c r="G124" s="2" t="str">
        <f t="array" ref="G124">INDEX(covid, MATCH($A124,iso_code,0), MATCH(G$1, columns, 0))</f>
        <v>#N/A</v>
      </c>
      <c r="H124" s="16"/>
      <c r="I124" s="2"/>
      <c r="J124" s="2"/>
      <c r="K124" s="2"/>
      <c r="L124" s="2"/>
      <c r="M124" s="2"/>
      <c r="N124" s="2"/>
      <c r="O124" s="2"/>
      <c r="P124" s="2"/>
    </row>
    <row r="125">
      <c r="A125" s="3" t="s">
        <v>314</v>
      </c>
      <c r="B125" s="3" t="s">
        <v>125</v>
      </c>
      <c r="C125" s="3" t="s">
        <v>315</v>
      </c>
      <c r="D125" s="2" t="str">
        <f t="array" ref="D125">INDEX(covid, MATCH($A125,iso_code,0), MATCH(D$1, columns, 0))</f>
        <v>#N/A</v>
      </c>
      <c r="E125" s="2" t="str">
        <f t="array" ref="E125">INDEX(covid, MATCH($A125,iso_code,0), MATCH(E$1, columns, 0))</f>
        <v>#N/A</v>
      </c>
      <c r="F125" s="2" t="str">
        <f t="array" ref="F125">INDEX(covid, MATCH($A125,iso_code,0), MATCH(F$1, columns, 0))</f>
        <v>#N/A</v>
      </c>
      <c r="G125" s="2" t="str">
        <f t="array" ref="G125">INDEX(covid, MATCH($A125,iso_code,0), MATCH(G$1, columns, 0))</f>
        <v>#N/A</v>
      </c>
      <c r="H125" s="16"/>
      <c r="I125" s="2"/>
      <c r="J125" s="2"/>
      <c r="K125" s="2"/>
      <c r="L125" s="2"/>
      <c r="M125" s="2"/>
      <c r="N125" s="2"/>
      <c r="O125" s="2"/>
      <c r="P125" s="2"/>
    </row>
    <row r="126">
      <c r="A126" s="3" t="s">
        <v>316</v>
      </c>
      <c r="B126" s="3" t="s">
        <v>130</v>
      </c>
      <c r="C126" s="3" t="s">
        <v>317</v>
      </c>
      <c r="D126" s="2" t="str">
        <f t="array" ref="D126">INDEX(covid, MATCH($A126,iso_code,0), MATCH(D$1, columns, 0))</f>
        <v>#N/A</v>
      </c>
      <c r="E126" s="2" t="str">
        <f t="array" ref="E126">INDEX(covid, MATCH($A126,iso_code,0), MATCH(E$1, columns, 0))</f>
        <v>#N/A</v>
      </c>
      <c r="F126" s="2" t="str">
        <f t="array" ref="F126">INDEX(covid, MATCH($A126,iso_code,0), MATCH(F$1, columns, 0))</f>
        <v>#N/A</v>
      </c>
      <c r="G126" s="2" t="str">
        <f t="array" ref="G126">INDEX(covid, MATCH($A126,iso_code,0), MATCH(G$1, columns, 0))</f>
        <v>#N/A</v>
      </c>
      <c r="H126" s="16"/>
      <c r="I126" s="2"/>
      <c r="J126" s="2"/>
      <c r="K126" s="2"/>
      <c r="L126" s="2"/>
      <c r="M126" s="2"/>
      <c r="N126" s="2"/>
      <c r="O126" s="2"/>
      <c r="P126" s="2"/>
    </row>
    <row r="127">
      <c r="A127" s="3" t="s">
        <v>87</v>
      </c>
      <c r="B127" s="3" t="s">
        <v>23</v>
      </c>
      <c r="C127" s="3" t="s">
        <v>88</v>
      </c>
      <c r="D127" s="14">
        <f t="array" ref="D127">INDEX(covid, MATCH($A127,iso_code,0), MATCH(D$1, columns, 0))</f>
        <v>376155</v>
      </c>
      <c r="E127" s="14">
        <f t="array" ref="E127">INDEX(covid, MATCH($A127,iso_code,0), MATCH(E$1, columns, 0))</f>
        <v>9690</v>
      </c>
      <c r="F127" s="14">
        <f t="array" ref="F127">INDEX(covid, MATCH($A127,iso_code,0), MATCH(F$1, columns, 0))</f>
        <v>4024025</v>
      </c>
      <c r="G127" s="10">
        <f t="array" ref="G127">INDEX(covid, MATCH($A127,iso_code,0), MATCH(G$1, columns, 0))</f>
        <v>5189.972</v>
      </c>
      <c r="H127" s="16"/>
      <c r="I127" s="2"/>
      <c r="J127" s="2"/>
      <c r="K127" s="2"/>
      <c r="L127" s="2"/>
      <c r="M127" s="2"/>
      <c r="N127" s="2"/>
      <c r="O127" s="2"/>
      <c r="P127" s="2"/>
    </row>
    <row r="128">
      <c r="A128" s="3" t="s">
        <v>85</v>
      </c>
      <c r="B128" s="3" t="s">
        <v>23</v>
      </c>
      <c r="C128" s="3" t="s">
        <v>86</v>
      </c>
      <c r="D128" s="14">
        <f t="array" ref="D128">INDEX(covid, MATCH($A128,iso_code,0), MATCH(D$1, columns, 0))</f>
        <v>4985</v>
      </c>
      <c r="E128" s="2">
        <f t="array" ref="E128">INDEX(covid, MATCH($A128,iso_code,0), MATCH(E$1, columns, 0))</f>
        <v>38</v>
      </c>
      <c r="F128" s="14">
        <f t="array" ref="F128">INDEX(covid, MATCH($A128,iso_code,0), MATCH(F$1, columns, 0))</f>
        <v>39520</v>
      </c>
      <c r="G128" s="10" t="str">
        <f t="array" ref="G128">INDEX(covid, MATCH($A128,iso_code,0), MATCH(G$1, columns, 0))</f>
        <v/>
      </c>
      <c r="H128" s="16"/>
      <c r="I128" s="2"/>
      <c r="J128" s="2"/>
      <c r="K128" s="2"/>
      <c r="L128" s="2"/>
      <c r="M128" s="2"/>
      <c r="N128" s="2"/>
      <c r="O128" s="2"/>
      <c r="P128" s="2"/>
    </row>
    <row r="129">
      <c r="A129" s="3" t="s">
        <v>318</v>
      </c>
      <c r="B129" s="3" t="s">
        <v>122</v>
      </c>
      <c r="C129" s="3" t="s">
        <v>319</v>
      </c>
      <c r="D129" s="2" t="str">
        <f t="array" ref="D129">INDEX(covid, MATCH($A129,iso_code,0), MATCH(D$1, columns, 0))</f>
        <v>#N/A</v>
      </c>
      <c r="E129" s="2" t="str">
        <f t="array" ref="E129">INDEX(covid, MATCH($A129,iso_code,0), MATCH(E$1, columns, 0))</f>
        <v>#N/A</v>
      </c>
      <c r="F129" s="2" t="str">
        <f t="array" ref="F129">INDEX(covid, MATCH($A129,iso_code,0), MATCH(F$1, columns, 0))</f>
        <v>#N/A</v>
      </c>
      <c r="G129" s="2" t="str">
        <f t="array" ref="G129">INDEX(covid, MATCH($A129,iso_code,0), MATCH(G$1, columns, 0))</f>
        <v>#N/A</v>
      </c>
      <c r="H129" s="16"/>
      <c r="I129" s="2"/>
      <c r="J129" s="2"/>
      <c r="K129" s="2"/>
      <c r="L129" s="2"/>
      <c r="M129" s="2"/>
      <c r="N129" s="2"/>
      <c r="O129" s="2"/>
      <c r="P129" s="2"/>
    </row>
    <row r="130">
      <c r="A130" s="3" t="s">
        <v>93</v>
      </c>
      <c r="B130" s="3" t="s">
        <v>23</v>
      </c>
      <c r="C130" s="3" t="s">
        <v>94</v>
      </c>
      <c r="D130" s="14">
        <f t="array" ref="D130">INDEX(covid, MATCH($A130,iso_code,0), MATCH(D$1, columns, 0))</f>
        <v>170034</v>
      </c>
      <c r="E130" s="14">
        <f t="array" ref="E130">INDEX(covid, MATCH($A130,iso_code,0), MATCH(E$1, columns, 0))</f>
        <v>2411</v>
      </c>
      <c r="F130" s="14">
        <f t="array" ref="F130">INDEX(covid, MATCH($A130,iso_code,0), MATCH(F$1, columns, 0))</f>
        <v>628051</v>
      </c>
      <c r="G130" s="10">
        <f t="array" ref="G130">INDEX(covid, MATCH($A130,iso_code,0), MATCH(G$1, columns, 0))</f>
        <v>16409.288</v>
      </c>
      <c r="H130" s="16"/>
      <c r="I130" s="2"/>
      <c r="J130" s="2"/>
      <c r="K130" s="2"/>
      <c r="L130" s="2"/>
      <c r="M130" s="2"/>
      <c r="N130" s="2"/>
      <c r="O130" s="2"/>
      <c r="P130" s="2"/>
    </row>
    <row r="131">
      <c r="A131" s="3" t="s">
        <v>320</v>
      </c>
      <c r="B131" s="3" t="s">
        <v>130</v>
      </c>
      <c r="C131" s="3" t="s">
        <v>321</v>
      </c>
      <c r="D131" s="2" t="str">
        <f t="array" ref="D131">INDEX(covid, MATCH($A131,iso_code,0), MATCH(D$1, columns, 0))</f>
        <v>#N/A</v>
      </c>
      <c r="E131" s="2" t="str">
        <f t="array" ref="E131">INDEX(covid, MATCH($A131,iso_code,0), MATCH(E$1, columns, 0))</f>
        <v>#N/A</v>
      </c>
      <c r="F131" s="2" t="str">
        <f t="array" ref="F131">INDEX(covid, MATCH($A131,iso_code,0), MATCH(F$1, columns, 0))</f>
        <v>#N/A</v>
      </c>
      <c r="G131" s="2" t="str">
        <f t="array" ref="G131">INDEX(covid, MATCH($A131,iso_code,0), MATCH(G$1, columns, 0))</f>
        <v>#N/A</v>
      </c>
      <c r="H131" s="16"/>
      <c r="I131" s="2"/>
      <c r="J131" s="2"/>
      <c r="K131" s="2"/>
      <c r="L131" s="2"/>
      <c r="M131" s="2"/>
      <c r="N131" s="2"/>
      <c r="O131" s="2"/>
      <c r="P131" s="2"/>
    </row>
    <row r="132">
      <c r="A132" s="3" t="s">
        <v>322</v>
      </c>
      <c r="B132" s="3" t="s">
        <v>125</v>
      </c>
      <c r="C132" s="3" t="s">
        <v>323</v>
      </c>
      <c r="D132" s="2" t="str">
        <f t="array" ref="D132">INDEX(covid, MATCH($A132,iso_code,0), MATCH(D$1, columns, 0))</f>
        <v>#N/A</v>
      </c>
      <c r="E132" s="2" t="str">
        <f t="array" ref="E132">INDEX(covid, MATCH($A132,iso_code,0), MATCH(E$1, columns, 0))</f>
        <v>#N/A</v>
      </c>
      <c r="F132" s="2" t="str">
        <f t="array" ref="F132">INDEX(covid, MATCH($A132,iso_code,0), MATCH(F$1, columns, 0))</f>
        <v>#N/A</v>
      </c>
      <c r="G132" s="2" t="str">
        <f t="array" ref="G132">INDEX(covid, MATCH($A132,iso_code,0), MATCH(G$1, columns, 0))</f>
        <v>#N/A</v>
      </c>
      <c r="H132" s="16"/>
      <c r="I132" s="2"/>
      <c r="J132" s="2"/>
      <c r="K132" s="2"/>
      <c r="L132" s="2"/>
      <c r="M132" s="2"/>
      <c r="N132" s="2"/>
      <c r="O132" s="2"/>
      <c r="P132" s="2"/>
    </row>
    <row r="133">
      <c r="A133" s="3" t="s">
        <v>324</v>
      </c>
      <c r="B133" s="3" t="s">
        <v>125</v>
      </c>
      <c r="C133" s="3" t="s">
        <v>325</v>
      </c>
      <c r="D133" s="2" t="str">
        <f t="array" ref="D133">INDEX(covid, MATCH($A133,iso_code,0), MATCH(D$1, columns, 0))</f>
        <v>#N/A</v>
      </c>
      <c r="E133" s="2" t="str">
        <f t="array" ref="E133">INDEX(covid, MATCH($A133,iso_code,0), MATCH(E$1, columns, 0))</f>
        <v>#N/A</v>
      </c>
      <c r="F133" s="2" t="str">
        <f t="array" ref="F133">INDEX(covid, MATCH($A133,iso_code,0), MATCH(F$1, columns, 0))</f>
        <v>#N/A</v>
      </c>
      <c r="G133" s="2" t="str">
        <f t="array" ref="G133">INDEX(covid, MATCH($A133,iso_code,0), MATCH(G$1, columns, 0))</f>
        <v>#N/A</v>
      </c>
      <c r="H133" s="16"/>
      <c r="I133" s="2"/>
      <c r="J133" s="2"/>
      <c r="K133" s="2"/>
      <c r="L133" s="2"/>
      <c r="M133" s="2"/>
      <c r="N133" s="2"/>
      <c r="O133" s="2"/>
      <c r="P133" s="2"/>
    </row>
    <row r="134">
      <c r="A134" s="3" t="s">
        <v>326</v>
      </c>
      <c r="B134" s="3" t="s">
        <v>122</v>
      </c>
      <c r="C134" s="3" t="s">
        <v>327</v>
      </c>
      <c r="D134" s="2" t="str">
        <f t="array" ref="D134">INDEX(covid, MATCH($A134,iso_code,0), MATCH(D$1, columns, 0))</f>
        <v>#N/A</v>
      </c>
      <c r="E134" s="2" t="str">
        <f t="array" ref="E134">INDEX(covid, MATCH($A134,iso_code,0), MATCH(E$1, columns, 0))</f>
        <v>#N/A</v>
      </c>
      <c r="F134" s="2" t="str">
        <f t="array" ref="F134">INDEX(covid, MATCH($A134,iso_code,0), MATCH(F$1, columns, 0))</f>
        <v>#N/A</v>
      </c>
      <c r="G134" s="2" t="str">
        <f t="array" ref="G134">INDEX(covid, MATCH($A134,iso_code,0), MATCH(G$1, columns, 0))</f>
        <v>#N/A</v>
      </c>
      <c r="H134" s="16"/>
      <c r="I134" s="2"/>
      <c r="J134" s="2"/>
      <c r="K134" s="2"/>
      <c r="L134" s="2"/>
      <c r="M134" s="2"/>
      <c r="N134" s="2"/>
      <c r="O134" s="2"/>
      <c r="P134" s="2"/>
    </row>
    <row r="135">
      <c r="A135" s="3" t="s">
        <v>328</v>
      </c>
      <c r="B135" s="3" t="s">
        <v>125</v>
      </c>
      <c r="C135" s="3" t="s">
        <v>329</v>
      </c>
      <c r="D135" s="2" t="str">
        <f t="array" ref="D135">INDEX(covid, MATCH($A135,iso_code,0), MATCH(D$1, columns, 0))</f>
        <v>#N/A</v>
      </c>
      <c r="E135" s="2" t="str">
        <f t="array" ref="E135">INDEX(covid, MATCH($A135,iso_code,0), MATCH(E$1, columns, 0))</f>
        <v>#N/A</v>
      </c>
      <c r="F135" s="2" t="str">
        <f t="array" ref="F135">INDEX(covid, MATCH($A135,iso_code,0), MATCH(F$1, columns, 0))</f>
        <v>#N/A</v>
      </c>
      <c r="G135" s="2" t="str">
        <f t="array" ref="G135">INDEX(covid, MATCH($A135,iso_code,0), MATCH(G$1, columns, 0))</f>
        <v>#N/A</v>
      </c>
      <c r="H135" s="16"/>
      <c r="I135" s="2"/>
      <c r="J135" s="2"/>
      <c r="K135" s="2"/>
      <c r="L135" s="2"/>
      <c r="M135" s="2"/>
      <c r="N135" s="2"/>
      <c r="O135" s="2"/>
      <c r="P135" s="2"/>
    </row>
    <row r="136">
      <c r="A136" s="3" t="s">
        <v>330</v>
      </c>
      <c r="B136" s="3" t="s">
        <v>122</v>
      </c>
      <c r="C136" s="3" t="s">
        <v>331</v>
      </c>
      <c r="D136" s="2" t="str">
        <f t="array" ref="D136">INDEX(covid, MATCH($A136,iso_code,0), MATCH(D$1, columns, 0))</f>
        <v>#N/A</v>
      </c>
      <c r="E136" s="2" t="str">
        <f t="array" ref="E136">INDEX(covid, MATCH($A136,iso_code,0), MATCH(E$1, columns, 0))</f>
        <v>#N/A</v>
      </c>
      <c r="F136" s="2" t="str">
        <f t="array" ref="F136">INDEX(covid, MATCH($A136,iso_code,0), MATCH(F$1, columns, 0))</f>
        <v>#N/A</v>
      </c>
      <c r="G136" s="2" t="str">
        <f t="array" ref="G136">INDEX(covid, MATCH($A136,iso_code,0), MATCH(G$1, columns, 0))</f>
        <v>#N/A</v>
      </c>
      <c r="H136" s="16"/>
      <c r="I136" s="2"/>
      <c r="J136" s="2"/>
      <c r="K136" s="2"/>
      <c r="L136" s="2"/>
      <c r="M136" s="2"/>
      <c r="N136" s="2"/>
      <c r="O136" s="2"/>
      <c r="P136" s="2"/>
    </row>
    <row r="137">
      <c r="A137" s="3" t="s">
        <v>95</v>
      </c>
      <c r="B137" s="3" t="s">
        <v>23</v>
      </c>
      <c r="C137" s="3" t="s">
        <v>96</v>
      </c>
      <c r="D137" s="14">
        <f t="array" ref="D137">INDEX(covid, MATCH($A137,iso_code,0), MATCH(D$1, columns, 0))</f>
        <v>3137942</v>
      </c>
      <c r="E137" s="14">
        <f t="array" ref="E137">INDEX(covid, MATCH($A137,iso_code,0), MATCH(E$1, columns, 0))</f>
        <v>20999</v>
      </c>
      <c r="F137" s="14">
        <f t="array" ref="F137">INDEX(covid, MATCH($A137,iso_code,0), MATCH(F$1, columns, 0))</f>
        <v>17173094</v>
      </c>
      <c r="G137" s="10">
        <f t="array" ref="G137">INDEX(covid, MATCH($A137,iso_code,0), MATCH(G$1, columns, 0))</f>
        <v>48472.545</v>
      </c>
      <c r="H137" s="16"/>
      <c r="I137" s="2"/>
      <c r="J137" s="2"/>
      <c r="K137" s="2"/>
      <c r="L137" s="2"/>
      <c r="M137" s="2"/>
      <c r="N137" s="2"/>
      <c r="O137" s="2"/>
      <c r="P137" s="2"/>
    </row>
    <row r="138">
      <c r="A138" s="3" t="s">
        <v>332</v>
      </c>
      <c r="B138" s="3" t="s">
        <v>142</v>
      </c>
      <c r="C138" s="3" t="s">
        <v>333</v>
      </c>
      <c r="D138" s="2" t="str">
        <f t="array" ref="D138">INDEX(covid, MATCH($A138,iso_code,0), MATCH(D$1, columns, 0))</f>
        <v>#N/A</v>
      </c>
      <c r="E138" s="2" t="str">
        <f t="array" ref="E138">INDEX(covid, MATCH($A138,iso_code,0), MATCH(E$1, columns, 0))</f>
        <v>#N/A</v>
      </c>
      <c r="F138" s="2" t="str">
        <f t="array" ref="F138">INDEX(covid, MATCH($A138,iso_code,0), MATCH(F$1, columns, 0))</f>
        <v>#N/A</v>
      </c>
      <c r="G138" s="2" t="str">
        <f t="array" ref="G138">INDEX(covid, MATCH($A138,iso_code,0), MATCH(G$1, columns, 0))</f>
        <v>#N/A</v>
      </c>
      <c r="H138" s="16"/>
      <c r="I138" s="2"/>
      <c r="J138" s="2"/>
      <c r="K138" s="2"/>
      <c r="L138" s="2"/>
      <c r="M138" s="2"/>
      <c r="N138" s="2"/>
      <c r="O138" s="2"/>
      <c r="P138" s="2"/>
    </row>
    <row r="139">
      <c r="A139" s="3" t="s">
        <v>334</v>
      </c>
      <c r="B139" s="3" t="s">
        <v>142</v>
      </c>
      <c r="C139" s="3" t="s">
        <v>335</v>
      </c>
      <c r="D139" s="2" t="str">
        <f t="array" ref="D139">INDEX(covid, MATCH($A139,iso_code,0), MATCH(D$1, columns, 0))</f>
        <v>#N/A</v>
      </c>
      <c r="E139" s="2" t="str">
        <f t="array" ref="E139">INDEX(covid, MATCH($A139,iso_code,0), MATCH(E$1, columns, 0))</f>
        <v>#N/A</v>
      </c>
      <c r="F139" s="2" t="str">
        <f t="array" ref="F139">INDEX(covid, MATCH($A139,iso_code,0), MATCH(F$1, columns, 0))</f>
        <v>#N/A</v>
      </c>
      <c r="G139" s="2" t="str">
        <f t="array" ref="G139">INDEX(covid, MATCH($A139,iso_code,0), MATCH(G$1, columns, 0))</f>
        <v>#N/A</v>
      </c>
      <c r="H139" s="16"/>
      <c r="I139" s="2"/>
      <c r="J139" s="2"/>
      <c r="K139" s="2"/>
      <c r="L139" s="2"/>
      <c r="M139" s="2"/>
      <c r="N139" s="2"/>
      <c r="O139" s="2"/>
      <c r="P139" s="2"/>
    </row>
    <row r="140">
      <c r="A140" s="3" t="s">
        <v>336</v>
      </c>
      <c r="B140" s="3" t="s">
        <v>130</v>
      </c>
      <c r="C140" s="3" t="s">
        <v>337</v>
      </c>
      <c r="D140" s="2" t="str">
        <f t="array" ref="D140">INDEX(covid, MATCH($A140,iso_code,0), MATCH(D$1, columns, 0))</f>
        <v>#N/A</v>
      </c>
      <c r="E140" s="2" t="str">
        <f t="array" ref="E140">INDEX(covid, MATCH($A140,iso_code,0), MATCH(E$1, columns, 0))</f>
        <v>#N/A</v>
      </c>
      <c r="F140" s="2" t="str">
        <f t="array" ref="F140">INDEX(covid, MATCH($A140,iso_code,0), MATCH(F$1, columns, 0))</f>
        <v>#N/A</v>
      </c>
      <c r="G140" s="2" t="str">
        <f t="array" ref="G140">INDEX(covid, MATCH($A140,iso_code,0), MATCH(G$1, columns, 0))</f>
        <v>#N/A</v>
      </c>
      <c r="H140" s="16"/>
      <c r="I140" s="2"/>
      <c r="J140" s="2"/>
      <c r="K140" s="2"/>
      <c r="L140" s="2"/>
      <c r="M140" s="2"/>
      <c r="N140" s="2"/>
      <c r="O140" s="2"/>
      <c r="P140" s="2"/>
    </row>
    <row r="141">
      <c r="A141" s="3" t="s">
        <v>338</v>
      </c>
      <c r="B141" s="3" t="s">
        <v>125</v>
      </c>
      <c r="C141" s="3" t="s">
        <v>339</v>
      </c>
      <c r="D141" s="2" t="str">
        <f t="array" ref="D141">INDEX(covid, MATCH($A141,iso_code,0), MATCH(D$1, columns, 0))</f>
        <v>#N/A</v>
      </c>
      <c r="E141" s="2" t="str">
        <f t="array" ref="E141">INDEX(covid, MATCH($A141,iso_code,0), MATCH(E$1, columns, 0))</f>
        <v>#N/A</v>
      </c>
      <c r="F141" s="2" t="str">
        <f t="array" ref="F141">INDEX(covid, MATCH($A141,iso_code,0), MATCH(F$1, columns, 0))</f>
        <v>#N/A</v>
      </c>
      <c r="G141" s="2" t="str">
        <f t="array" ref="G141">INDEX(covid, MATCH($A141,iso_code,0), MATCH(G$1, columns, 0))</f>
        <v>#N/A</v>
      </c>
      <c r="H141" s="16"/>
      <c r="I141" s="2"/>
      <c r="J141" s="2"/>
      <c r="K141" s="2"/>
      <c r="L141" s="2"/>
      <c r="M141" s="2"/>
      <c r="N141" s="2"/>
      <c r="O141" s="2"/>
      <c r="P141" s="2"/>
    </row>
    <row r="142">
      <c r="A142" s="3" t="s">
        <v>340</v>
      </c>
      <c r="B142" s="3" t="s">
        <v>125</v>
      </c>
      <c r="C142" s="3" t="s">
        <v>341</v>
      </c>
      <c r="D142" s="2" t="str">
        <f t="array" ref="D142">INDEX(covid, MATCH($A142,iso_code,0), MATCH(D$1, columns, 0))</f>
        <v>#N/A</v>
      </c>
      <c r="E142" s="2" t="str">
        <f t="array" ref="E142">INDEX(covid, MATCH($A142,iso_code,0), MATCH(E$1, columns, 0))</f>
        <v>#N/A</v>
      </c>
      <c r="F142" s="2" t="str">
        <f t="array" ref="F142">INDEX(covid, MATCH($A142,iso_code,0), MATCH(F$1, columns, 0))</f>
        <v>#N/A</v>
      </c>
      <c r="G142" s="2" t="str">
        <f t="array" ref="G142">INDEX(covid, MATCH($A142,iso_code,0), MATCH(G$1, columns, 0))</f>
        <v>#N/A</v>
      </c>
      <c r="H142" s="16"/>
      <c r="I142" s="2"/>
      <c r="J142" s="2"/>
      <c r="K142" s="2"/>
      <c r="L142" s="2"/>
      <c r="M142" s="2"/>
      <c r="N142" s="2"/>
      <c r="O142" s="2"/>
      <c r="P142" s="2"/>
    </row>
    <row r="143">
      <c r="A143" s="3" t="s">
        <v>342</v>
      </c>
      <c r="B143" s="3" t="s">
        <v>142</v>
      </c>
      <c r="C143" s="3" t="s">
        <v>343</v>
      </c>
      <c r="D143" s="2" t="str">
        <f t="array" ref="D143">INDEX(covid, MATCH($A143,iso_code,0), MATCH(D$1, columns, 0))</f>
        <v>#N/A</v>
      </c>
      <c r="E143" s="2" t="str">
        <f t="array" ref="E143">INDEX(covid, MATCH($A143,iso_code,0), MATCH(E$1, columns, 0))</f>
        <v>#N/A</v>
      </c>
      <c r="F143" s="2" t="str">
        <f t="array" ref="F143">INDEX(covid, MATCH($A143,iso_code,0), MATCH(F$1, columns, 0))</f>
        <v>#N/A</v>
      </c>
      <c r="G143" s="2" t="str">
        <f t="array" ref="G143">INDEX(covid, MATCH($A143,iso_code,0), MATCH(G$1, columns, 0))</f>
        <v>#N/A</v>
      </c>
      <c r="H143" s="16"/>
      <c r="I143" s="2"/>
      <c r="J143" s="2"/>
      <c r="K143" s="2"/>
      <c r="L143" s="2"/>
      <c r="M143" s="2"/>
      <c r="N143" s="2"/>
      <c r="O143" s="2"/>
      <c r="P143" s="2"/>
    </row>
    <row r="144">
      <c r="A144" s="3" t="s">
        <v>97</v>
      </c>
      <c r="B144" s="3" t="s">
        <v>23</v>
      </c>
      <c r="C144" s="3" t="s">
        <v>98</v>
      </c>
      <c r="D144" s="14">
        <f t="array" ref="D144">INDEX(covid, MATCH($A144,iso_code,0), MATCH(D$1, columns, 0))</f>
        <v>394259</v>
      </c>
      <c r="E144" s="14">
        <f t="array" ref="E144">INDEX(covid, MATCH($A144,iso_code,0), MATCH(E$1, columns, 0))</f>
        <v>1305</v>
      </c>
      <c r="F144" s="14">
        <f t="array" ref="F144">INDEX(covid, MATCH($A144,iso_code,0), MATCH(F$1, columns, 0))</f>
        <v>5465629</v>
      </c>
      <c r="G144" s="10">
        <f t="array" ref="G144">INDEX(covid, MATCH($A144,iso_code,0), MATCH(G$1, columns, 0))</f>
        <v>64800.057</v>
      </c>
      <c r="H144" s="16"/>
      <c r="I144" s="2"/>
      <c r="J144" s="2"/>
      <c r="K144" s="2"/>
      <c r="L144" s="2"/>
      <c r="M144" s="2"/>
      <c r="N144" s="2"/>
      <c r="O144" s="2"/>
      <c r="P144" s="2"/>
    </row>
    <row r="145">
      <c r="A145" s="3" t="s">
        <v>344</v>
      </c>
      <c r="B145" s="3" t="s">
        <v>122</v>
      </c>
      <c r="C145" s="3" t="s">
        <v>345</v>
      </c>
      <c r="D145" s="2" t="str">
        <f t="array" ref="D145">INDEX(covid, MATCH($A145,iso_code,0), MATCH(D$1, columns, 0))</f>
        <v>#N/A</v>
      </c>
      <c r="E145" s="2" t="str">
        <f t="array" ref="E145">INDEX(covid, MATCH($A145,iso_code,0), MATCH(E$1, columns, 0))</f>
        <v>#N/A</v>
      </c>
      <c r="F145" s="2" t="str">
        <f t="array" ref="F145">INDEX(covid, MATCH($A145,iso_code,0), MATCH(F$1, columns, 0))</f>
        <v>#N/A</v>
      </c>
      <c r="G145" s="2" t="str">
        <f t="array" ref="G145">INDEX(covid, MATCH($A145,iso_code,0), MATCH(G$1, columns, 0))</f>
        <v>#N/A</v>
      </c>
      <c r="H145" s="16"/>
      <c r="I145" s="2"/>
      <c r="J145" s="2"/>
      <c r="K145" s="2"/>
      <c r="L145" s="2"/>
      <c r="M145" s="2"/>
      <c r="N145" s="2"/>
      <c r="O145" s="2"/>
      <c r="P145" s="2"/>
    </row>
    <row r="146">
      <c r="A146" s="3" t="s">
        <v>346</v>
      </c>
      <c r="B146" s="3" t="s">
        <v>122</v>
      </c>
      <c r="C146" s="3" t="s">
        <v>347</v>
      </c>
      <c r="D146" s="2" t="str">
        <f t="array" ref="D146">INDEX(covid, MATCH($A146,iso_code,0), MATCH(D$1, columns, 0))</f>
        <v>#N/A</v>
      </c>
      <c r="E146" s="2" t="str">
        <f t="array" ref="E146">INDEX(covid, MATCH($A146,iso_code,0), MATCH(E$1, columns, 0))</f>
        <v>#N/A</v>
      </c>
      <c r="F146" s="2" t="str">
        <f t="array" ref="F146">INDEX(covid, MATCH($A146,iso_code,0), MATCH(F$1, columns, 0))</f>
        <v>#N/A</v>
      </c>
      <c r="G146" s="2" t="str">
        <f t="array" ref="G146">INDEX(covid, MATCH($A146,iso_code,0), MATCH(G$1, columns, 0))</f>
        <v>#N/A</v>
      </c>
      <c r="H146" s="16"/>
      <c r="I146" s="2"/>
      <c r="J146" s="2"/>
      <c r="K146" s="2"/>
      <c r="L146" s="2"/>
      <c r="M146" s="2"/>
      <c r="N146" s="2"/>
      <c r="O146" s="2"/>
      <c r="P146" s="2"/>
    </row>
    <row r="147">
      <c r="A147" s="3" t="s">
        <v>348</v>
      </c>
      <c r="B147" s="3" t="s">
        <v>122</v>
      </c>
      <c r="C147" s="3" t="s">
        <v>349</v>
      </c>
      <c r="D147" s="2" t="str">
        <f t="array" ref="D147">INDEX(covid, MATCH($A147,iso_code,0), MATCH(D$1, columns, 0))</f>
        <v>#N/A</v>
      </c>
      <c r="E147" s="2" t="str">
        <f t="array" ref="E147">INDEX(covid, MATCH($A147,iso_code,0), MATCH(E$1, columns, 0))</f>
        <v>#N/A</v>
      </c>
      <c r="F147" s="2" t="str">
        <f t="array" ref="F147">INDEX(covid, MATCH($A147,iso_code,0), MATCH(F$1, columns, 0))</f>
        <v>#N/A</v>
      </c>
      <c r="G147" s="2" t="str">
        <f t="array" ref="G147">INDEX(covid, MATCH($A147,iso_code,0), MATCH(G$1, columns, 0))</f>
        <v>#N/A</v>
      </c>
      <c r="H147" s="16"/>
      <c r="I147" s="2"/>
      <c r="J147" s="2"/>
      <c r="K147" s="2"/>
      <c r="L147" s="2"/>
      <c r="M147" s="2"/>
      <c r="N147" s="2"/>
      <c r="O147" s="2"/>
      <c r="P147" s="2"/>
    </row>
    <row r="148">
      <c r="A148" s="3" t="s">
        <v>350</v>
      </c>
      <c r="B148" s="3" t="s">
        <v>130</v>
      </c>
      <c r="C148" s="3" t="s">
        <v>351</v>
      </c>
      <c r="D148" s="2" t="str">
        <f t="array" ref="D148">INDEX(covid, MATCH($A148,iso_code,0), MATCH(D$1, columns, 0))</f>
        <v>#N/A</v>
      </c>
      <c r="E148" s="2" t="str">
        <f t="array" ref="E148">INDEX(covid, MATCH($A148,iso_code,0), MATCH(E$1, columns, 0))</f>
        <v>#N/A</v>
      </c>
      <c r="F148" s="2" t="str">
        <f t="array" ref="F148">INDEX(covid, MATCH($A148,iso_code,0), MATCH(F$1, columns, 0))</f>
        <v>#N/A</v>
      </c>
      <c r="G148" s="2" t="str">
        <f t="array" ref="G148">INDEX(covid, MATCH($A148,iso_code,0), MATCH(G$1, columns, 0))</f>
        <v>#N/A</v>
      </c>
      <c r="H148" s="16"/>
      <c r="I148" s="2"/>
      <c r="J148" s="2"/>
      <c r="K148" s="2"/>
      <c r="L148" s="2"/>
      <c r="M148" s="2"/>
      <c r="N148" s="2"/>
      <c r="O148" s="2"/>
      <c r="P148" s="2"/>
    </row>
    <row r="149">
      <c r="A149" s="3" t="s">
        <v>352</v>
      </c>
      <c r="B149" s="3" t="s">
        <v>142</v>
      </c>
      <c r="C149" s="3" t="s">
        <v>353</v>
      </c>
      <c r="D149" s="2" t="str">
        <f t="array" ref="D149">INDEX(covid, MATCH($A149,iso_code,0), MATCH(D$1, columns, 0))</f>
        <v>#N/A</v>
      </c>
      <c r="E149" s="2" t="str">
        <f t="array" ref="E149">INDEX(covid, MATCH($A149,iso_code,0), MATCH(E$1, columns, 0))</f>
        <v>#N/A</v>
      </c>
      <c r="F149" s="2" t="str">
        <f t="array" ref="F149">INDEX(covid, MATCH($A149,iso_code,0), MATCH(F$1, columns, 0))</f>
        <v>#N/A</v>
      </c>
      <c r="G149" s="2" t="str">
        <f t="array" ref="G149">INDEX(covid, MATCH($A149,iso_code,0), MATCH(G$1, columns, 0))</f>
        <v>#N/A</v>
      </c>
      <c r="H149" s="16"/>
      <c r="I149" s="2"/>
      <c r="J149" s="2"/>
      <c r="K149" s="2"/>
      <c r="L149" s="2"/>
      <c r="M149" s="2"/>
      <c r="N149" s="2"/>
      <c r="O149" s="2"/>
      <c r="P149" s="2"/>
    </row>
    <row r="150">
      <c r="A150" s="3" t="s">
        <v>354</v>
      </c>
      <c r="B150" s="3" t="s">
        <v>135</v>
      </c>
      <c r="C150" s="3" t="s">
        <v>355</v>
      </c>
      <c r="D150" s="2" t="str">
        <f t="array" ref="D150">INDEX(covid, MATCH($A150,iso_code,0), MATCH(D$1, columns, 0))</f>
        <v>#N/A</v>
      </c>
      <c r="E150" s="2" t="str">
        <f t="array" ref="E150">INDEX(covid, MATCH($A150,iso_code,0), MATCH(E$1, columns, 0))</f>
        <v>#N/A</v>
      </c>
      <c r="F150" s="2" t="str">
        <f t="array" ref="F150">INDEX(covid, MATCH($A150,iso_code,0), MATCH(F$1, columns, 0))</f>
        <v>#N/A</v>
      </c>
      <c r="G150" s="2" t="str">
        <f t="array" ref="G150">INDEX(covid, MATCH($A150,iso_code,0), MATCH(G$1, columns, 0))</f>
        <v>#N/A</v>
      </c>
      <c r="H150" s="16"/>
      <c r="I150" s="2"/>
      <c r="J150" s="2"/>
      <c r="K150" s="2"/>
      <c r="L150" s="2"/>
      <c r="M150" s="2"/>
      <c r="N150" s="2"/>
      <c r="O150" s="2"/>
      <c r="P150" s="2"/>
    </row>
    <row r="151">
      <c r="A151" s="3" t="s">
        <v>356</v>
      </c>
      <c r="B151" s="3" t="s">
        <v>135</v>
      </c>
      <c r="C151" s="3" t="s">
        <v>357</v>
      </c>
      <c r="D151" s="2" t="str">
        <f t="array" ref="D151">INDEX(covid, MATCH($A151,iso_code,0), MATCH(D$1, columns, 0))</f>
        <v>#N/A</v>
      </c>
      <c r="E151" s="2" t="str">
        <f t="array" ref="E151">INDEX(covid, MATCH($A151,iso_code,0), MATCH(E$1, columns, 0))</f>
        <v>#N/A</v>
      </c>
      <c r="F151" s="2" t="str">
        <f t="array" ref="F151">INDEX(covid, MATCH($A151,iso_code,0), MATCH(F$1, columns, 0))</f>
        <v>#N/A</v>
      </c>
      <c r="G151" s="2" t="str">
        <f t="array" ref="G151">INDEX(covid, MATCH($A151,iso_code,0), MATCH(G$1, columns, 0))</f>
        <v>#N/A</v>
      </c>
      <c r="H151" s="16"/>
      <c r="I151" s="2"/>
      <c r="J151" s="2"/>
      <c r="K151" s="2"/>
      <c r="L151" s="2"/>
      <c r="M151" s="2"/>
      <c r="N151" s="2"/>
      <c r="O151" s="2"/>
      <c r="P151" s="2"/>
    </row>
    <row r="152">
      <c r="A152" s="3" t="s">
        <v>358</v>
      </c>
      <c r="B152" s="3" t="s">
        <v>122</v>
      </c>
      <c r="C152" s="3" t="s">
        <v>359</v>
      </c>
      <c r="D152" s="2" t="str">
        <f t="array" ref="D152">INDEX(covid, MATCH($A152,iso_code,0), MATCH(D$1, columns, 0))</f>
        <v>#N/A</v>
      </c>
      <c r="E152" s="2" t="str">
        <f t="array" ref="E152">INDEX(covid, MATCH($A152,iso_code,0), MATCH(E$1, columns, 0))</f>
        <v>#N/A</v>
      </c>
      <c r="F152" s="2" t="str">
        <f t="array" ref="F152">INDEX(covid, MATCH($A152,iso_code,0), MATCH(F$1, columns, 0))</f>
        <v>#N/A</v>
      </c>
      <c r="G152" s="2" t="str">
        <f t="array" ref="G152">INDEX(covid, MATCH($A152,iso_code,0), MATCH(G$1, columns, 0))</f>
        <v>#N/A</v>
      </c>
      <c r="H152" s="16"/>
      <c r="I152" s="2"/>
      <c r="J152" s="2"/>
      <c r="K152" s="2"/>
      <c r="L152" s="2"/>
      <c r="M152" s="2"/>
      <c r="N152" s="2"/>
      <c r="O152" s="2"/>
      <c r="P152" s="2"/>
    </row>
    <row r="153">
      <c r="A153" s="3" t="s">
        <v>99</v>
      </c>
      <c r="B153" s="3" t="s">
        <v>23</v>
      </c>
      <c r="C153" s="3" t="s">
        <v>100</v>
      </c>
      <c r="D153" s="14">
        <f t="array" ref="D153">INDEX(covid, MATCH($A153,iso_code,0), MATCH(D$1, columns, 0))</f>
        <v>4108215</v>
      </c>
      <c r="E153" s="14">
        <f t="array" ref="E153">INDEX(covid, MATCH($A153,iso_code,0), MATCH(E$1, columns, 0))</f>
        <v>97054</v>
      </c>
      <c r="F153" s="14">
        <f t="array" ref="F153">INDEX(covid, MATCH($A153,iso_code,0), MATCH(F$1, columns, 0))</f>
        <v>37797000</v>
      </c>
      <c r="G153" s="10">
        <f t="array" ref="G153">INDEX(covid, MATCH($A153,iso_code,0), MATCH(G$1, columns, 0))</f>
        <v>27216.445</v>
      </c>
      <c r="H153" s="16"/>
      <c r="I153" s="2"/>
      <c r="J153" s="2"/>
      <c r="K153" s="2"/>
      <c r="L153" s="2"/>
      <c r="M153" s="2"/>
      <c r="N153" s="2"/>
      <c r="O153" s="2"/>
      <c r="P153" s="2"/>
    </row>
    <row r="154">
      <c r="A154" s="3" t="s">
        <v>101</v>
      </c>
      <c r="B154" s="3" t="s">
        <v>23</v>
      </c>
      <c r="C154" s="3" t="s">
        <v>102</v>
      </c>
      <c r="D154" s="14">
        <f t="array" ref="D154">INDEX(covid, MATCH($A154,iso_code,0), MATCH(D$1, columns, 0))</f>
        <v>1389646</v>
      </c>
      <c r="E154" s="14">
        <f t="array" ref="E154">INDEX(covid, MATCH($A154,iso_code,0), MATCH(E$1, columns, 0))</f>
        <v>18955</v>
      </c>
      <c r="F154" s="14">
        <f t="array" ref="F154">INDEX(covid, MATCH($A154,iso_code,0), MATCH(F$1, columns, 0))</f>
        <v>10167923</v>
      </c>
      <c r="G154" s="10">
        <f t="array" ref="G154">INDEX(covid, MATCH($A154,iso_code,0), MATCH(G$1, columns, 0))</f>
        <v>27936.896</v>
      </c>
      <c r="H154" s="16"/>
      <c r="I154" s="2"/>
      <c r="J154" s="2"/>
      <c r="K154" s="2"/>
      <c r="L154" s="2"/>
      <c r="M154" s="2"/>
      <c r="N154" s="2"/>
      <c r="O154" s="2"/>
      <c r="P154" s="2"/>
    </row>
    <row r="155">
      <c r="A155" s="3" t="s">
        <v>360</v>
      </c>
      <c r="B155" s="3" t="s">
        <v>130</v>
      </c>
      <c r="C155" s="3" t="s">
        <v>361</v>
      </c>
      <c r="D155" s="2" t="str">
        <f t="array" ref="D155">INDEX(covid, MATCH($A155,iso_code,0), MATCH(D$1, columns, 0))</f>
        <v>#N/A</v>
      </c>
      <c r="E155" s="2" t="str">
        <f t="array" ref="E155">INDEX(covid, MATCH($A155,iso_code,0), MATCH(E$1, columns, 0))</f>
        <v>#N/A</v>
      </c>
      <c r="F155" s="2" t="str">
        <f t="array" ref="F155">INDEX(covid, MATCH($A155,iso_code,0), MATCH(F$1, columns, 0))</f>
        <v>#N/A</v>
      </c>
      <c r="G155" s="2" t="str">
        <f t="array" ref="G155">INDEX(covid, MATCH($A155,iso_code,0), MATCH(G$1, columns, 0))</f>
        <v>#N/A</v>
      </c>
      <c r="H155" s="16"/>
      <c r="I155" s="2"/>
      <c r="J155" s="2"/>
      <c r="K155" s="2"/>
      <c r="L155" s="2"/>
      <c r="M155" s="2"/>
      <c r="N155" s="2"/>
      <c r="O155" s="2"/>
      <c r="P155" s="2"/>
    </row>
    <row r="156">
      <c r="A156" s="3" t="s">
        <v>362</v>
      </c>
      <c r="B156" s="3" t="s">
        <v>122</v>
      </c>
      <c r="C156" s="3" t="s">
        <v>363</v>
      </c>
      <c r="D156" s="2" t="str">
        <f t="array" ref="D156">INDEX(covid, MATCH($A156,iso_code,0), MATCH(D$1, columns, 0))</f>
        <v>#N/A</v>
      </c>
      <c r="E156" s="2" t="str">
        <f t="array" ref="E156">INDEX(covid, MATCH($A156,iso_code,0), MATCH(E$1, columns, 0))</f>
        <v>#N/A</v>
      </c>
      <c r="F156" s="2" t="str">
        <f t="array" ref="F156">INDEX(covid, MATCH($A156,iso_code,0), MATCH(F$1, columns, 0))</f>
        <v>#N/A</v>
      </c>
      <c r="G156" s="2" t="str">
        <f t="array" ref="G156">INDEX(covid, MATCH($A156,iso_code,0), MATCH(G$1, columns, 0))</f>
        <v>#N/A</v>
      </c>
      <c r="H156" s="16"/>
      <c r="I156" s="2"/>
      <c r="J156" s="2"/>
      <c r="K156" s="2"/>
      <c r="L156" s="2"/>
      <c r="M156" s="2"/>
      <c r="N156" s="2"/>
      <c r="O156" s="2"/>
      <c r="P156" s="2"/>
    </row>
    <row r="157">
      <c r="A157" s="3" t="s">
        <v>103</v>
      </c>
      <c r="B157" s="3" t="s">
        <v>23</v>
      </c>
      <c r="C157" s="3" t="s">
        <v>104</v>
      </c>
      <c r="D157" s="14">
        <f t="array" ref="D157">INDEX(covid, MATCH($A157,iso_code,0), MATCH(D$1, columns, 0))</f>
        <v>1808891</v>
      </c>
      <c r="E157" s="14">
        <f t="array" ref="E157">INDEX(covid, MATCH($A157,iso_code,0), MATCH(E$1, columns, 0))</f>
        <v>58752</v>
      </c>
      <c r="F157" s="14">
        <f t="array" ref="F157">INDEX(covid, MATCH($A157,iso_code,0), MATCH(F$1, columns, 0))</f>
        <v>19127772</v>
      </c>
      <c r="G157" s="10">
        <f t="array" ref="G157">INDEX(covid, MATCH($A157,iso_code,0), MATCH(G$1, columns, 0))</f>
        <v>23313.199</v>
      </c>
      <c r="H157" s="16"/>
      <c r="I157" s="2"/>
      <c r="J157" s="2"/>
      <c r="K157" s="2"/>
      <c r="L157" s="2"/>
      <c r="M157" s="2"/>
      <c r="N157" s="2"/>
      <c r="O157" s="2"/>
      <c r="P157" s="2"/>
    </row>
    <row r="158">
      <c r="A158" s="3" t="s">
        <v>105</v>
      </c>
      <c r="B158" s="3" t="s">
        <v>23</v>
      </c>
      <c r="C158" s="3" t="s">
        <v>106</v>
      </c>
      <c r="D158" s="14">
        <f t="array" ref="D158">INDEX(covid, MATCH($A158,iso_code,0), MATCH(D$1, columns, 0))</f>
        <v>10320405</v>
      </c>
      <c r="E158" s="14">
        <f t="array" ref="E158">INDEX(covid, MATCH($A158,iso_code,0), MATCH(E$1, columns, 0))</f>
        <v>302671</v>
      </c>
      <c r="F158" s="14">
        <f t="array" ref="F158">INDEX(covid, MATCH($A158,iso_code,0), MATCH(F$1, columns, 0))</f>
        <v>145912022</v>
      </c>
      <c r="G158" s="10">
        <f t="array" ref="G158">INDEX(covid, MATCH($A158,iso_code,0), MATCH(G$1, columns, 0))</f>
        <v>24765.954</v>
      </c>
      <c r="H158" s="16"/>
      <c r="I158" s="2"/>
      <c r="J158" s="2"/>
      <c r="K158" s="2"/>
      <c r="L158" s="2"/>
      <c r="M158" s="2"/>
      <c r="N158" s="2"/>
      <c r="O158" s="2"/>
      <c r="P158" s="2"/>
    </row>
    <row r="159">
      <c r="A159" s="3" t="s">
        <v>364</v>
      </c>
      <c r="B159" s="3" t="s">
        <v>125</v>
      </c>
      <c r="C159" s="3" t="s">
        <v>365</v>
      </c>
      <c r="D159" s="2" t="str">
        <f t="array" ref="D159">INDEX(covid, MATCH($A159,iso_code,0), MATCH(D$1, columns, 0))</f>
        <v>#N/A</v>
      </c>
      <c r="E159" s="2" t="str">
        <f t="array" ref="E159">INDEX(covid, MATCH($A159,iso_code,0), MATCH(E$1, columns, 0))</f>
        <v>#N/A</v>
      </c>
      <c r="F159" s="2" t="str">
        <f t="array" ref="F159">INDEX(covid, MATCH($A159,iso_code,0), MATCH(F$1, columns, 0))</f>
        <v>#N/A</v>
      </c>
      <c r="G159" s="2" t="str">
        <f t="array" ref="G159">INDEX(covid, MATCH($A159,iso_code,0), MATCH(G$1, columns, 0))</f>
        <v>#N/A</v>
      </c>
      <c r="H159" s="16"/>
      <c r="I159" s="2"/>
      <c r="J159" s="2"/>
      <c r="K159" s="2"/>
      <c r="L159" s="2"/>
      <c r="M159" s="2"/>
      <c r="N159" s="2"/>
      <c r="O159" s="2"/>
      <c r="P159" s="2"/>
    </row>
    <row r="160">
      <c r="A160" s="3" t="s">
        <v>366</v>
      </c>
      <c r="B160" s="3" t="s">
        <v>130</v>
      </c>
      <c r="C160" s="3" t="s">
        <v>367</v>
      </c>
      <c r="D160" s="2" t="str">
        <f t="array" ref="D160">INDEX(covid, MATCH($A160,iso_code,0), MATCH(D$1, columns, 0))</f>
        <v>#N/A</v>
      </c>
      <c r="E160" s="2" t="str">
        <f t="array" ref="E160">INDEX(covid, MATCH($A160,iso_code,0), MATCH(E$1, columns, 0))</f>
        <v>#N/A</v>
      </c>
      <c r="F160" s="2" t="str">
        <f t="array" ref="F160">INDEX(covid, MATCH($A160,iso_code,0), MATCH(F$1, columns, 0))</f>
        <v>#N/A</v>
      </c>
      <c r="G160" s="2" t="str">
        <f t="array" ref="G160">INDEX(covid, MATCH($A160,iso_code,0), MATCH(G$1, columns, 0))</f>
        <v>#N/A</v>
      </c>
      <c r="H160" s="16"/>
      <c r="I160" s="2"/>
      <c r="J160" s="2"/>
      <c r="K160" s="2"/>
      <c r="L160" s="2"/>
      <c r="M160" s="2"/>
      <c r="N160" s="2"/>
      <c r="O160" s="2"/>
      <c r="P160" s="2"/>
    </row>
    <row r="161">
      <c r="A161" s="3" t="s">
        <v>368</v>
      </c>
      <c r="B161" s="3" t="s">
        <v>130</v>
      </c>
      <c r="C161" s="3" t="s">
        <v>369</v>
      </c>
      <c r="D161" s="2" t="str">
        <f t="array" ref="D161">INDEX(covid, MATCH($A161,iso_code,0), MATCH(D$1, columns, 0))</f>
        <v>#N/A</v>
      </c>
      <c r="E161" s="2" t="str">
        <f t="array" ref="E161">INDEX(covid, MATCH($A161,iso_code,0), MATCH(E$1, columns, 0))</f>
        <v>#N/A</v>
      </c>
      <c r="F161" s="2" t="str">
        <f t="array" ref="F161">INDEX(covid, MATCH($A161,iso_code,0), MATCH(F$1, columns, 0))</f>
        <v>#N/A</v>
      </c>
      <c r="G161" s="2" t="str">
        <f t="array" ref="G161">INDEX(covid, MATCH($A161,iso_code,0), MATCH(G$1, columns, 0))</f>
        <v>#N/A</v>
      </c>
      <c r="H161" s="16"/>
      <c r="I161" s="2"/>
      <c r="J161" s="2"/>
      <c r="K161" s="2"/>
      <c r="L161" s="2"/>
      <c r="M161" s="2"/>
      <c r="N161" s="2"/>
      <c r="O161" s="2"/>
      <c r="P161" s="2"/>
    </row>
    <row r="162">
      <c r="A162" s="3" t="s">
        <v>370</v>
      </c>
      <c r="B162" s="3" t="s">
        <v>130</v>
      </c>
      <c r="C162" s="3" t="s">
        <v>371</v>
      </c>
      <c r="D162" s="2" t="str">
        <f t="array" ref="D162">INDEX(covid, MATCH($A162,iso_code,0), MATCH(D$1, columns, 0))</f>
        <v>#N/A</v>
      </c>
      <c r="E162" s="2" t="str">
        <f t="array" ref="E162">INDEX(covid, MATCH($A162,iso_code,0), MATCH(E$1, columns, 0))</f>
        <v>#N/A</v>
      </c>
      <c r="F162" s="2" t="str">
        <f t="array" ref="F162">INDEX(covid, MATCH($A162,iso_code,0), MATCH(F$1, columns, 0))</f>
        <v>#N/A</v>
      </c>
      <c r="G162" s="2" t="str">
        <f t="array" ref="G162">INDEX(covid, MATCH($A162,iso_code,0), MATCH(G$1, columns, 0))</f>
        <v>#N/A</v>
      </c>
      <c r="H162" s="16"/>
      <c r="I162" s="2"/>
      <c r="J162" s="2"/>
      <c r="K162" s="2"/>
      <c r="L162" s="2"/>
      <c r="M162" s="2"/>
      <c r="N162" s="2"/>
      <c r="O162" s="2"/>
      <c r="P162" s="2"/>
    </row>
    <row r="163">
      <c r="A163" s="3" t="s">
        <v>107</v>
      </c>
      <c r="B163" s="3" t="s">
        <v>23</v>
      </c>
      <c r="C163" s="3" t="s">
        <v>108</v>
      </c>
      <c r="D163" s="14">
        <f t="array" ref="D163">INDEX(covid, MATCH($A163,iso_code,0), MATCH(D$1, columns, 0))</f>
        <v>8202</v>
      </c>
      <c r="E163" s="2">
        <f t="array" ref="E163">INDEX(covid, MATCH($A163,iso_code,0), MATCH(E$1, columns, 0))</f>
        <v>100</v>
      </c>
      <c r="F163" s="14">
        <f t="array" ref="F163">INDEX(covid, MATCH($A163,iso_code,0), MATCH(F$1, columns, 0))</f>
        <v>34010</v>
      </c>
      <c r="G163" s="10">
        <f t="array" ref="G163">INDEX(covid, MATCH($A163,iso_code,0), MATCH(G$1, columns, 0))</f>
        <v>56861.47</v>
      </c>
      <c r="H163" s="16"/>
      <c r="I163" s="2"/>
      <c r="J163" s="2"/>
      <c r="K163" s="2"/>
      <c r="L163" s="2"/>
      <c r="M163" s="2"/>
      <c r="N163" s="2"/>
      <c r="O163" s="2"/>
      <c r="P163" s="2"/>
    </row>
    <row r="164">
      <c r="A164" s="3" t="s">
        <v>372</v>
      </c>
      <c r="B164" s="3" t="s">
        <v>125</v>
      </c>
      <c r="C164" s="3" t="s">
        <v>373</v>
      </c>
      <c r="D164" s="2" t="str">
        <f t="array" ref="D164">INDEX(covid, MATCH($A164,iso_code,0), MATCH(D$1, columns, 0))</f>
        <v>#N/A</v>
      </c>
      <c r="E164" s="2" t="str">
        <f t="array" ref="E164">INDEX(covid, MATCH($A164,iso_code,0), MATCH(E$1, columns, 0))</f>
        <v>#N/A</v>
      </c>
      <c r="F164" s="2" t="str">
        <f t="array" ref="F164">INDEX(covid, MATCH($A164,iso_code,0), MATCH(F$1, columns, 0))</f>
        <v>#N/A</v>
      </c>
      <c r="G164" s="2" t="str">
        <f t="array" ref="G164">INDEX(covid, MATCH($A164,iso_code,0), MATCH(G$1, columns, 0))</f>
        <v>#N/A</v>
      </c>
      <c r="H164" s="16"/>
      <c r="I164" s="2"/>
      <c r="J164" s="2"/>
      <c r="K164" s="2"/>
      <c r="L164" s="2"/>
      <c r="M164" s="2"/>
      <c r="N164" s="2"/>
      <c r="O164" s="2"/>
      <c r="P164" s="2"/>
    </row>
    <row r="165">
      <c r="A165" s="3" t="s">
        <v>374</v>
      </c>
      <c r="B165" s="3" t="s">
        <v>122</v>
      </c>
      <c r="C165" s="3" t="s">
        <v>375</v>
      </c>
      <c r="D165" s="2" t="str">
        <f t="array" ref="D165">INDEX(covid, MATCH($A165,iso_code,0), MATCH(D$1, columns, 0))</f>
        <v>#N/A</v>
      </c>
      <c r="E165" s="2" t="str">
        <f t="array" ref="E165">INDEX(covid, MATCH($A165,iso_code,0), MATCH(E$1, columns, 0))</f>
        <v>#N/A</v>
      </c>
      <c r="F165" s="2" t="str">
        <f t="array" ref="F165">INDEX(covid, MATCH($A165,iso_code,0), MATCH(F$1, columns, 0))</f>
        <v>#N/A</v>
      </c>
      <c r="G165" s="2" t="str">
        <f t="array" ref="G165">INDEX(covid, MATCH($A165,iso_code,0), MATCH(G$1, columns, 0))</f>
        <v>#N/A</v>
      </c>
      <c r="H165" s="16"/>
      <c r="I165" s="2"/>
      <c r="J165" s="2"/>
      <c r="K165" s="2"/>
      <c r="L165" s="2"/>
      <c r="M165" s="2"/>
      <c r="N165" s="2"/>
      <c r="O165" s="2"/>
      <c r="P165" s="2"/>
    </row>
    <row r="166">
      <c r="A166" s="3" t="s">
        <v>376</v>
      </c>
      <c r="B166" s="3" t="s">
        <v>125</v>
      </c>
      <c r="C166" s="3" t="s">
        <v>377</v>
      </c>
      <c r="D166" s="2" t="str">
        <f t="array" ref="D166">INDEX(covid, MATCH($A166,iso_code,0), MATCH(D$1, columns, 0))</f>
        <v>#N/A</v>
      </c>
      <c r="E166" s="2" t="str">
        <f t="array" ref="E166">INDEX(covid, MATCH($A166,iso_code,0), MATCH(E$1, columns, 0))</f>
        <v>#N/A</v>
      </c>
      <c r="F166" s="2" t="str">
        <f t="array" ref="F166">INDEX(covid, MATCH($A166,iso_code,0), MATCH(F$1, columns, 0))</f>
        <v>#N/A</v>
      </c>
      <c r="G166" s="2" t="str">
        <f t="array" ref="G166">INDEX(covid, MATCH($A166,iso_code,0), MATCH(G$1, columns, 0))</f>
        <v>#N/A</v>
      </c>
      <c r="H166" s="16"/>
      <c r="I166" s="2"/>
      <c r="J166" s="2"/>
      <c r="K166" s="2"/>
      <c r="L166" s="2"/>
      <c r="M166" s="2"/>
      <c r="N166" s="2"/>
      <c r="O166" s="2"/>
      <c r="P166" s="2"/>
    </row>
    <row r="167">
      <c r="A167" s="3" t="s">
        <v>109</v>
      </c>
      <c r="B167" s="3" t="s">
        <v>23</v>
      </c>
      <c r="C167" s="3" t="s">
        <v>110</v>
      </c>
      <c r="D167" s="14">
        <f t="array" ref="D167">INDEX(covid, MATCH($A167,iso_code,0), MATCH(D$1, columns, 0))</f>
        <v>1299339</v>
      </c>
      <c r="E167" s="14">
        <f t="array" ref="E167">INDEX(covid, MATCH($A167,iso_code,0), MATCH(E$1, columns, 0))</f>
        <v>12714</v>
      </c>
      <c r="F167" s="14">
        <f t="array" ref="F167">INDEX(covid, MATCH($A167,iso_code,0), MATCH(F$1, columns, 0))</f>
        <v>6871547</v>
      </c>
      <c r="G167" s="10">
        <f t="array" ref="G167">INDEX(covid, MATCH($A167,iso_code,0), MATCH(G$1, columns, 0))</f>
        <v>14048.881</v>
      </c>
      <c r="H167" s="16"/>
      <c r="I167" s="2"/>
      <c r="J167" s="2"/>
      <c r="K167" s="2"/>
      <c r="L167" s="2"/>
      <c r="M167" s="2"/>
      <c r="N167" s="2"/>
      <c r="O167" s="2"/>
      <c r="P167" s="2"/>
    </row>
    <row r="168">
      <c r="A168" s="3" t="s">
        <v>378</v>
      </c>
      <c r="B168" s="3" t="s">
        <v>125</v>
      </c>
      <c r="C168" s="3" t="s">
        <v>379</v>
      </c>
      <c r="D168" s="2" t="str">
        <f t="array" ref="D168">INDEX(covid, MATCH($A168,iso_code,0), MATCH(D$1, columns, 0))</f>
        <v>#N/A</v>
      </c>
      <c r="E168" s="2" t="str">
        <f t="array" ref="E168">INDEX(covid, MATCH($A168,iso_code,0), MATCH(E$1, columns, 0))</f>
        <v>#N/A</v>
      </c>
      <c r="F168" s="2" t="str">
        <f t="array" ref="F168">INDEX(covid, MATCH($A168,iso_code,0), MATCH(F$1, columns, 0))</f>
        <v>#N/A</v>
      </c>
      <c r="G168" s="2" t="str">
        <f t="array" ref="G168">INDEX(covid, MATCH($A168,iso_code,0), MATCH(G$1, columns, 0))</f>
        <v>#N/A</v>
      </c>
      <c r="H168" s="16"/>
      <c r="I168" s="2"/>
      <c r="J168" s="2"/>
      <c r="K168" s="2"/>
      <c r="L168" s="2"/>
      <c r="M168" s="2"/>
      <c r="N168" s="2"/>
      <c r="O168" s="2"/>
      <c r="P168" s="2"/>
    </row>
    <row r="169">
      <c r="A169" s="3" t="s">
        <v>380</v>
      </c>
      <c r="B169" s="3" t="s">
        <v>125</v>
      </c>
      <c r="C169" s="3" t="s">
        <v>381</v>
      </c>
      <c r="D169" s="2" t="str">
        <f t="array" ref="D169">INDEX(covid, MATCH($A169,iso_code,0), MATCH(D$1, columns, 0))</f>
        <v>#N/A</v>
      </c>
      <c r="E169" s="2" t="str">
        <f t="array" ref="E169">INDEX(covid, MATCH($A169,iso_code,0), MATCH(E$1, columns, 0))</f>
        <v>#N/A</v>
      </c>
      <c r="F169" s="2" t="str">
        <f t="array" ref="F169">INDEX(covid, MATCH($A169,iso_code,0), MATCH(F$1, columns, 0))</f>
        <v>#N/A</v>
      </c>
      <c r="G169" s="2" t="str">
        <f t="array" ref="G169">INDEX(covid, MATCH($A169,iso_code,0), MATCH(G$1, columns, 0))</f>
        <v>#N/A</v>
      </c>
      <c r="H169" s="16"/>
      <c r="I169" s="2"/>
      <c r="J169" s="2"/>
      <c r="K169" s="2"/>
      <c r="L169" s="2"/>
      <c r="M169" s="2"/>
      <c r="N169" s="2"/>
      <c r="O169" s="2"/>
      <c r="P169" s="2"/>
    </row>
    <row r="170">
      <c r="A170" s="3" t="s">
        <v>382</v>
      </c>
      <c r="B170" s="3" t="s">
        <v>122</v>
      </c>
      <c r="C170" s="3" t="s">
        <v>383</v>
      </c>
      <c r="D170" s="2" t="str">
        <f t="array" ref="D170">INDEX(covid, MATCH($A170,iso_code,0), MATCH(D$1, columns, 0))</f>
        <v>#N/A</v>
      </c>
      <c r="E170" s="2" t="str">
        <f t="array" ref="E170">INDEX(covid, MATCH($A170,iso_code,0), MATCH(E$1, columns, 0))</f>
        <v>#N/A</v>
      </c>
      <c r="F170" s="2" t="str">
        <f t="array" ref="F170">INDEX(covid, MATCH($A170,iso_code,0), MATCH(F$1, columns, 0))</f>
        <v>#N/A</v>
      </c>
      <c r="G170" s="2" t="str">
        <f t="array" ref="G170">INDEX(covid, MATCH($A170,iso_code,0), MATCH(G$1, columns, 0))</f>
        <v>#N/A</v>
      </c>
      <c r="H170" s="16"/>
      <c r="I170" s="2"/>
      <c r="J170" s="2"/>
      <c r="K170" s="2"/>
      <c r="L170" s="2"/>
      <c r="M170" s="2"/>
      <c r="N170" s="2"/>
      <c r="O170" s="2"/>
      <c r="P170" s="2"/>
    </row>
    <row r="171">
      <c r="A171" s="3" t="s">
        <v>384</v>
      </c>
      <c r="B171" s="3" t="s">
        <v>130</v>
      </c>
      <c r="C171" s="3" t="s">
        <v>385</v>
      </c>
      <c r="D171" s="2" t="str">
        <f t="array" ref="D171">INDEX(covid, MATCH($A171,iso_code,0), MATCH(D$1, columns, 0))</f>
        <v>#N/A</v>
      </c>
      <c r="E171" s="2" t="str">
        <f t="array" ref="E171">INDEX(covid, MATCH($A171,iso_code,0), MATCH(E$1, columns, 0))</f>
        <v>#N/A</v>
      </c>
      <c r="F171" s="2" t="str">
        <f t="array" ref="F171">INDEX(covid, MATCH($A171,iso_code,0), MATCH(F$1, columns, 0))</f>
        <v>#N/A</v>
      </c>
      <c r="G171" s="2" t="str">
        <f t="array" ref="G171">INDEX(covid, MATCH($A171,iso_code,0), MATCH(G$1, columns, 0))</f>
        <v>#N/A</v>
      </c>
      <c r="H171" s="16"/>
      <c r="I171" s="2"/>
      <c r="J171" s="2"/>
      <c r="K171" s="2"/>
      <c r="L171" s="2"/>
      <c r="M171" s="2"/>
      <c r="N171" s="2"/>
      <c r="O171" s="2"/>
      <c r="P171" s="2"/>
    </row>
    <row r="172">
      <c r="A172" s="3" t="s">
        <v>111</v>
      </c>
      <c r="B172" s="3" t="s">
        <v>23</v>
      </c>
      <c r="C172" s="3" t="s">
        <v>112</v>
      </c>
      <c r="D172" s="14">
        <f t="array" ref="D172">INDEX(covid, MATCH($A172,iso_code,0), MATCH(D$1, columns, 0))</f>
        <v>1371082</v>
      </c>
      <c r="E172" s="14">
        <f t="array" ref="E172">INDEX(covid, MATCH($A172,iso_code,0), MATCH(E$1, columns, 0))</f>
        <v>16635</v>
      </c>
      <c r="F172" s="14">
        <f t="array" ref="F172">INDEX(covid, MATCH($A172,iso_code,0), MATCH(F$1, columns, 0))</f>
        <v>5449270</v>
      </c>
      <c r="G172" s="10">
        <f t="array" ref="G172">INDEX(covid, MATCH($A172,iso_code,0), MATCH(G$1, columns, 0))</f>
        <v>30155.152</v>
      </c>
      <c r="H172" s="16"/>
      <c r="I172" s="2"/>
      <c r="J172" s="2"/>
      <c r="K172" s="2"/>
      <c r="L172" s="2"/>
      <c r="M172" s="2"/>
      <c r="N172" s="2"/>
      <c r="O172" s="2"/>
      <c r="P172" s="2"/>
    </row>
    <row r="173">
      <c r="A173" s="3" t="s">
        <v>113</v>
      </c>
      <c r="B173" s="3" t="s">
        <v>23</v>
      </c>
      <c r="C173" s="3" t="s">
        <v>114</v>
      </c>
      <c r="D173" s="14">
        <f t="array" ref="D173">INDEX(covid, MATCH($A173,iso_code,0), MATCH(D$1, columns, 0))</f>
        <v>464048</v>
      </c>
      <c r="E173" s="14">
        <f t="array" ref="E173">INDEX(covid, MATCH($A173,iso_code,0), MATCH(E$1, columns, 0))</f>
        <v>5589</v>
      </c>
      <c r="F173" s="14">
        <f t="array" ref="F173">INDEX(covid, MATCH($A173,iso_code,0), MATCH(F$1, columns, 0))</f>
        <v>2078723</v>
      </c>
      <c r="G173" s="10">
        <f t="array" ref="G173">INDEX(covid, MATCH($A173,iso_code,0), MATCH(G$1, columns, 0))</f>
        <v>31400.84</v>
      </c>
      <c r="H173" s="16"/>
      <c r="I173" s="2"/>
      <c r="J173" s="2"/>
      <c r="K173" s="2"/>
      <c r="L173" s="2"/>
      <c r="M173" s="2"/>
      <c r="N173" s="2"/>
      <c r="O173" s="2"/>
      <c r="P173" s="2"/>
    </row>
    <row r="174">
      <c r="A174" s="3" t="s">
        <v>386</v>
      </c>
      <c r="B174" s="3" t="s">
        <v>125</v>
      </c>
      <c r="C174" s="3" t="s">
        <v>387</v>
      </c>
      <c r="D174" s="2" t="str">
        <f t="array" ref="D174">INDEX(covid, MATCH($A174,iso_code,0), MATCH(D$1, columns, 0))</f>
        <v>#N/A</v>
      </c>
      <c r="E174" s="2" t="str">
        <f t="array" ref="E174">INDEX(covid, MATCH($A174,iso_code,0), MATCH(E$1, columns, 0))</f>
        <v>#N/A</v>
      </c>
      <c r="F174" s="2" t="str">
        <f t="array" ref="F174">INDEX(covid, MATCH($A174,iso_code,0), MATCH(F$1, columns, 0))</f>
        <v>#N/A</v>
      </c>
      <c r="G174" s="2" t="str">
        <f t="array" ref="G174">INDEX(covid, MATCH($A174,iso_code,0), MATCH(G$1, columns, 0))</f>
        <v>#N/A</v>
      </c>
      <c r="H174" s="16"/>
      <c r="I174" s="2"/>
      <c r="J174" s="2"/>
      <c r="K174" s="2"/>
      <c r="L174" s="2"/>
      <c r="M174" s="2"/>
      <c r="N174" s="2"/>
      <c r="O174" s="2"/>
      <c r="P174" s="2"/>
    </row>
    <row r="175">
      <c r="A175" s="3" t="s">
        <v>388</v>
      </c>
      <c r="B175" s="3" t="s">
        <v>125</v>
      </c>
      <c r="C175" s="3" t="s">
        <v>389</v>
      </c>
      <c r="D175" s="2" t="str">
        <f t="array" ref="D175">INDEX(covid, MATCH($A175,iso_code,0), MATCH(D$1, columns, 0))</f>
        <v>#N/A</v>
      </c>
      <c r="E175" s="2" t="str">
        <f t="array" ref="E175">INDEX(covid, MATCH($A175,iso_code,0), MATCH(E$1, columns, 0))</f>
        <v>#N/A</v>
      </c>
      <c r="F175" s="2" t="str">
        <f t="array" ref="F175">INDEX(covid, MATCH($A175,iso_code,0), MATCH(F$1, columns, 0))</f>
        <v>#N/A</v>
      </c>
      <c r="G175" s="2" t="str">
        <f t="array" ref="G175">INDEX(covid, MATCH($A175,iso_code,0), MATCH(G$1, columns, 0))</f>
        <v>#N/A</v>
      </c>
      <c r="H175" s="16"/>
      <c r="I175" s="2"/>
      <c r="J175" s="2"/>
      <c r="K175" s="2"/>
      <c r="L175" s="2"/>
      <c r="M175" s="2"/>
      <c r="N175" s="2"/>
      <c r="O175" s="2"/>
      <c r="P175" s="2"/>
    </row>
    <row r="176">
      <c r="A176" s="3" t="s">
        <v>390</v>
      </c>
      <c r="B176" s="3" t="s">
        <v>122</v>
      </c>
      <c r="C176" s="3" t="s">
        <v>391</v>
      </c>
      <c r="D176" s="2" t="str">
        <f t="array" ref="D176">INDEX(covid, MATCH($A176,iso_code,0), MATCH(D$1, columns, 0))</f>
        <v>#N/A</v>
      </c>
      <c r="E176" s="2" t="str">
        <f t="array" ref="E176">INDEX(covid, MATCH($A176,iso_code,0), MATCH(E$1, columns, 0))</f>
        <v>#N/A</v>
      </c>
      <c r="F176" s="2" t="str">
        <f t="array" ref="F176">INDEX(covid, MATCH($A176,iso_code,0), MATCH(F$1, columns, 0))</f>
        <v>#N/A</v>
      </c>
      <c r="G176" s="2" t="str">
        <f t="array" ref="G176">INDEX(covid, MATCH($A176,iso_code,0), MATCH(G$1, columns, 0))</f>
        <v>#N/A</v>
      </c>
      <c r="H176" s="16"/>
      <c r="I176" s="2"/>
      <c r="J176" s="2"/>
      <c r="K176" s="2"/>
      <c r="L176" s="2"/>
      <c r="M176" s="2"/>
      <c r="N176" s="2"/>
      <c r="O176" s="2"/>
      <c r="P176" s="2"/>
    </row>
    <row r="177">
      <c r="A177" s="3" t="s">
        <v>392</v>
      </c>
      <c r="B177" s="3" t="s">
        <v>125</v>
      </c>
      <c r="C177" s="3" t="s">
        <v>393</v>
      </c>
      <c r="D177" s="2" t="str">
        <f t="array" ref="D177">INDEX(covid, MATCH($A177,iso_code,0), MATCH(D$1, columns, 0))</f>
        <v>#N/A</v>
      </c>
      <c r="E177" s="2" t="str">
        <f t="array" ref="E177">INDEX(covid, MATCH($A177,iso_code,0), MATCH(E$1, columns, 0))</f>
        <v>#N/A</v>
      </c>
      <c r="F177" s="2" t="str">
        <f t="array" ref="F177">INDEX(covid, MATCH($A177,iso_code,0), MATCH(F$1, columns, 0))</f>
        <v>#N/A</v>
      </c>
      <c r="G177" s="2" t="str">
        <f t="array" ref="G177">INDEX(covid, MATCH($A177,iso_code,0), MATCH(G$1, columns, 0))</f>
        <v>#N/A</v>
      </c>
      <c r="H177" s="16"/>
      <c r="I177" s="2"/>
      <c r="J177" s="2"/>
      <c r="K177" s="2"/>
      <c r="L177" s="2"/>
      <c r="M177" s="2"/>
      <c r="N177" s="2"/>
      <c r="O177" s="2"/>
      <c r="P177" s="2"/>
    </row>
    <row r="178">
      <c r="A178" s="3" t="s">
        <v>45</v>
      </c>
      <c r="B178" s="3" t="s">
        <v>23</v>
      </c>
      <c r="C178" s="3" t="s">
        <v>46</v>
      </c>
      <c r="D178" s="14">
        <f t="array" ref="D178">INDEX(covid, MATCH($A178,iso_code,0), MATCH(D$1, columns, 0))</f>
        <v>6294745</v>
      </c>
      <c r="E178" s="14">
        <f t="array" ref="E178">INDEX(covid, MATCH($A178,iso_code,0), MATCH(E$1, columns, 0))</f>
        <v>89405</v>
      </c>
      <c r="F178" s="14">
        <f t="array" ref="F178">INDEX(covid, MATCH($A178,iso_code,0), MATCH(F$1, columns, 0))</f>
        <v>46745211</v>
      </c>
      <c r="G178" s="10">
        <f t="array" ref="G178">INDEX(covid, MATCH($A178,iso_code,0), MATCH(G$1, columns, 0))</f>
        <v>34272.36</v>
      </c>
      <c r="H178" s="16"/>
      <c r="I178" s="2"/>
      <c r="J178" s="2"/>
      <c r="K178" s="2"/>
      <c r="L178" s="2"/>
      <c r="M178" s="2"/>
      <c r="N178" s="2"/>
      <c r="O178" s="2"/>
      <c r="P178" s="2"/>
    </row>
    <row r="179">
      <c r="A179" s="3" t="s">
        <v>394</v>
      </c>
      <c r="B179" s="3" t="s">
        <v>122</v>
      </c>
      <c r="C179" s="3" t="s">
        <v>395</v>
      </c>
      <c r="D179" s="2" t="str">
        <f t="array" ref="D179">INDEX(covid, MATCH($A179,iso_code,0), MATCH(D$1, columns, 0))</f>
        <v>#N/A</v>
      </c>
      <c r="E179" s="2" t="str">
        <f t="array" ref="E179">INDEX(covid, MATCH($A179,iso_code,0), MATCH(E$1, columns, 0))</f>
        <v>#N/A</v>
      </c>
      <c r="F179" s="2" t="str">
        <f t="array" ref="F179">INDEX(covid, MATCH($A179,iso_code,0), MATCH(F$1, columns, 0))</f>
        <v>#N/A</v>
      </c>
      <c r="G179" s="2" t="str">
        <f t="array" ref="G179">INDEX(covid, MATCH($A179,iso_code,0), MATCH(G$1, columns, 0))</f>
        <v>#N/A</v>
      </c>
      <c r="H179" s="16"/>
      <c r="I179" s="2"/>
      <c r="J179" s="2"/>
      <c r="K179" s="2"/>
      <c r="L179" s="2"/>
      <c r="M179" s="2"/>
      <c r="N179" s="2"/>
      <c r="O179" s="2"/>
      <c r="P179" s="2"/>
    </row>
    <row r="180">
      <c r="A180" s="3" t="s">
        <v>396</v>
      </c>
      <c r="B180" s="3" t="s">
        <v>125</v>
      </c>
      <c r="C180" s="3" t="s">
        <v>397</v>
      </c>
      <c r="D180" s="2" t="str">
        <f t="array" ref="D180">INDEX(covid, MATCH($A180,iso_code,0), MATCH(D$1, columns, 0))</f>
        <v>#N/A</v>
      </c>
      <c r="E180" s="2" t="str">
        <f t="array" ref="E180">INDEX(covid, MATCH($A180,iso_code,0), MATCH(E$1, columns, 0))</f>
        <v>#N/A</v>
      </c>
      <c r="F180" s="2" t="str">
        <f t="array" ref="F180">INDEX(covid, MATCH($A180,iso_code,0), MATCH(F$1, columns, 0))</f>
        <v>#N/A</v>
      </c>
      <c r="G180" s="2" t="str">
        <f t="array" ref="G180">INDEX(covid, MATCH($A180,iso_code,0), MATCH(G$1, columns, 0))</f>
        <v>#N/A</v>
      </c>
      <c r="H180" s="16"/>
      <c r="I180" s="2"/>
      <c r="J180" s="2"/>
      <c r="K180" s="2"/>
      <c r="L180" s="2"/>
      <c r="M180" s="2"/>
      <c r="N180" s="2"/>
      <c r="O180" s="2"/>
      <c r="P180" s="2"/>
    </row>
    <row r="181">
      <c r="A181" s="3" t="s">
        <v>398</v>
      </c>
      <c r="B181" s="3" t="s">
        <v>135</v>
      </c>
      <c r="C181" s="3" t="s">
        <v>399</v>
      </c>
      <c r="D181" s="2" t="str">
        <f t="array" ref="D181">INDEX(covid, MATCH($A181,iso_code,0), MATCH(D$1, columns, 0))</f>
        <v>#N/A</v>
      </c>
      <c r="E181" s="2" t="str">
        <f t="array" ref="E181">INDEX(covid, MATCH($A181,iso_code,0), MATCH(E$1, columns, 0))</f>
        <v>#N/A</v>
      </c>
      <c r="F181" s="2" t="str">
        <f t="array" ref="F181">INDEX(covid, MATCH($A181,iso_code,0), MATCH(F$1, columns, 0))</f>
        <v>#N/A</v>
      </c>
      <c r="G181" s="2" t="str">
        <f t="array" ref="G181">INDEX(covid, MATCH($A181,iso_code,0), MATCH(G$1, columns, 0))</f>
        <v>#N/A</v>
      </c>
      <c r="H181" s="16"/>
      <c r="I181" s="2"/>
      <c r="J181" s="2"/>
      <c r="K181" s="2"/>
      <c r="L181" s="2"/>
      <c r="M181" s="2"/>
      <c r="N181" s="2"/>
      <c r="O181" s="2"/>
      <c r="P181" s="2"/>
    </row>
    <row r="182">
      <c r="A182" s="3" t="s">
        <v>400</v>
      </c>
      <c r="B182" s="3" t="s">
        <v>125</v>
      </c>
      <c r="C182" s="3" t="s">
        <v>401</v>
      </c>
      <c r="D182" s="2" t="str">
        <f t="array" ref="D182">INDEX(covid, MATCH($A182,iso_code,0), MATCH(D$1, columns, 0))</f>
        <v>#N/A</v>
      </c>
      <c r="E182" s="2" t="str">
        <f t="array" ref="E182">INDEX(covid, MATCH($A182,iso_code,0), MATCH(E$1, columns, 0))</f>
        <v>#N/A</v>
      </c>
      <c r="F182" s="2" t="str">
        <f t="array" ref="F182">INDEX(covid, MATCH($A182,iso_code,0), MATCH(F$1, columns, 0))</f>
        <v>#N/A</v>
      </c>
      <c r="G182" s="2" t="str">
        <f t="array" ref="G182">INDEX(covid, MATCH($A182,iso_code,0), MATCH(G$1, columns, 0))</f>
        <v>#N/A</v>
      </c>
      <c r="H182" s="16"/>
      <c r="I182" s="2"/>
      <c r="J182" s="2"/>
      <c r="K182" s="2"/>
      <c r="L182" s="2"/>
      <c r="M182" s="2"/>
      <c r="N182" s="2"/>
      <c r="O182" s="2"/>
      <c r="P182" s="2"/>
    </row>
    <row r="183">
      <c r="A183" s="3" t="s">
        <v>115</v>
      </c>
      <c r="B183" s="3" t="s">
        <v>23</v>
      </c>
      <c r="C183" s="3" t="s">
        <v>116</v>
      </c>
      <c r="D183" s="14">
        <f t="array" ref="D183">INDEX(covid, MATCH($A183,iso_code,0), MATCH(D$1, columns, 0))</f>
        <v>1314784</v>
      </c>
      <c r="E183" s="14">
        <f t="array" ref="E183">INDEX(covid, MATCH($A183,iso_code,0), MATCH(E$1, columns, 0))</f>
        <v>15310</v>
      </c>
      <c r="F183" s="14">
        <f t="array" ref="F183">INDEX(covid, MATCH($A183,iso_code,0), MATCH(F$1, columns, 0))</f>
        <v>10160159</v>
      </c>
      <c r="G183" s="10">
        <f t="array" ref="G183">INDEX(covid, MATCH($A183,iso_code,0), MATCH(G$1, columns, 0))</f>
        <v>46949.283</v>
      </c>
      <c r="H183" s="16"/>
      <c r="I183" s="2"/>
      <c r="J183" s="2"/>
      <c r="K183" s="2"/>
      <c r="L183" s="2"/>
      <c r="M183" s="2"/>
      <c r="N183" s="2"/>
      <c r="O183" s="2"/>
      <c r="P183" s="2"/>
    </row>
    <row r="184">
      <c r="A184" s="3" t="s">
        <v>37</v>
      </c>
      <c r="B184" s="3" t="s">
        <v>23</v>
      </c>
      <c r="C184" s="3" t="s">
        <v>38</v>
      </c>
      <c r="D184" s="14">
        <f t="array" ref="D184">INDEX(covid, MATCH($A184,iso_code,0), MATCH(D$1, columns, 0))</f>
        <v>1332615</v>
      </c>
      <c r="E184" s="14">
        <f t="array" ref="E184">INDEX(covid, MATCH($A184,iso_code,0), MATCH(E$1, columns, 0))</f>
        <v>12217</v>
      </c>
      <c r="F184" s="14">
        <f t="array" ref="F184">INDEX(covid, MATCH($A184,iso_code,0), MATCH(F$1, columns, 0))</f>
        <v>8715494</v>
      </c>
      <c r="G184" s="10">
        <f t="array" ref="G184">INDEX(covid, MATCH($A184,iso_code,0), MATCH(G$1, columns, 0))</f>
        <v>57410.166</v>
      </c>
      <c r="H184" s="16"/>
      <c r="I184" s="2"/>
      <c r="J184" s="2"/>
      <c r="K184" s="2"/>
      <c r="L184" s="2"/>
      <c r="M184" s="2"/>
      <c r="N184" s="2"/>
      <c r="O184" s="2"/>
      <c r="P184" s="2"/>
    </row>
    <row r="185">
      <c r="A185" s="3" t="s">
        <v>402</v>
      </c>
      <c r="B185" s="3" t="s">
        <v>122</v>
      </c>
      <c r="C185" s="3" t="s">
        <v>403</v>
      </c>
      <c r="D185" s="2" t="str">
        <f t="array" ref="D185">INDEX(covid, MATCH($A185,iso_code,0), MATCH(D$1, columns, 0))</f>
        <v>#N/A</v>
      </c>
      <c r="E185" s="2" t="str">
        <f t="array" ref="E185">INDEX(covid, MATCH($A185,iso_code,0), MATCH(E$1, columns, 0))</f>
        <v>#N/A</v>
      </c>
      <c r="F185" s="2" t="str">
        <f t="array" ref="F185">INDEX(covid, MATCH($A185,iso_code,0), MATCH(F$1, columns, 0))</f>
        <v>#N/A</v>
      </c>
      <c r="G185" s="2" t="str">
        <f t="array" ref="G185">INDEX(covid, MATCH($A185,iso_code,0), MATCH(G$1, columns, 0))</f>
        <v>#N/A</v>
      </c>
      <c r="H185" s="16"/>
      <c r="I185" s="2"/>
      <c r="J185" s="2"/>
      <c r="K185" s="2"/>
      <c r="L185" s="2"/>
      <c r="M185" s="2"/>
      <c r="N185" s="2"/>
      <c r="O185" s="2"/>
      <c r="P185" s="2"/>
    </row>
    <row r="186">
      <c r="A186" s="3" t="s">
        <v>404</v>
      </c>
      <c r="B186" s="3" t="s">
        <v>122</v>
      </c>
      <c r="C186" s="3" t="s">
        <v>405</v>
      </c>
      <c r="D186" s="2" t="str">
        <f t="array" ref="D186">INDEX(covid, MATCH($A186,iso_code,0), MATCH(D$1, columns, 0))</f>
        <v>#N/A</v>
      </c>
      <c r="E186" s="2" t="str">
        <f t="array" ref="E186">INDEX(covid, MATCH($A186,iso_code,0), MATCH(E$1, columns, 0))</f>
        <v>#N/A</v>
      </c>
      <c r="F186" s="2" t="str">
        <f t="array" ref="F186">INDEX(covid, MATCH($A186,iso_code,0), MATCH(F$1, columns, 0))</f>
        <v>#N/A</v>
      </c>
      <c r="G186" s="2" t="str">
        <f t="array" ref="G186">INDEX(covid, MATCH($A186,iso_code,0), MATCH(G$1, columns, 0))</f>
        <v>#N/A</v>
      </c>
      <c r="H186" s="16"/>
      <c r="I186" s="2"/>
      <c r="J186" s="2"/>
      <c r="K186" s="2"/>
      <c r="L186" s="2"/>
      <c r="M186" s="2"/>
      <c r="N186" s="2"/>
      <c r="O186" s="2"/>
      <c r="P186" s="2"/>
    </row>
    <row r="187">
      <c r="A187" s="3" t="s">
        <v>406</v>
      </c>
      <c r="B187" s="3" t="s">
        <v>122</v>
      </c>
      <c r="C187" s="3" t="s">
        <v>407</v>
      </c>
      <c r="D187" s="2" t="str">
        <f t="array" ref="D187">INDEX(covid, MATCH($A187,iso_code,0), MATCH(D$1, columns, 0))</f>
        <v>#N/A</v>
      </c>
      <c r="E187" s="2" t="str">
        <f t="array" ref="E187">INDEX(covid, MATCH($A187,iso_code,0), MATCH(E$1, columns, 0))</f>
        <v>#N/A</v>
      </c>
      <c r="F187" s="2" t="str">
        <f t="array" ref="F187">INDEX(covid, MATCH($A187,iso_code,0), MATCH(F$1, columns, 0))</f>
        <v>#N/A</v>
      </c>
      <c r="G187" s="2" t="str">
        <f t="array" ref="G187">INDEX(covid, MATCH($A187,iso_code,0), MATCH(G$1, columns, 0))</f>
        <v>#N/A</v>
      </c>
      <c r="H187" s="16"/>
      <c r="I187" s="2"/>
      <c r="J187" s="2"/>
      <c r="K187" s="2"/>
      <c r="L187" s="2"/>
      <c r="M187" s="2"/>
      <c r="N187" s="2"/>
      <c r="O187" s="2"/>
      <c r="P187" s="2"/>
    </row>
    <row r="188">
      <c r="A188" s="3" t="s">
        <v>408</v>
      </c>
      <c r="B188" s="3" t="s">
        <v>125</v>
      </c>
      <c r="C188" s="3" t="s">
        <v>409</v>
      </c>
      <c r="D188" s="2" t="str">
        <f t="array" ref="D188">INDEX(covid, MATCH($A188,iso_code,0), MATCH(D$1, columns, 0))</f>
        <v>#N/A</v>
      </c>
      <c r="E188" s="2" t="str">
        <f t="array" ref="E188">INDEX(covid, MATCH($A188,iso_code,0), MATCH(E$1, columns, 0))</f>
        <v>#N/A</v>
      </c>
      <c r="F188" s="2" t="str">
        <f t="array" ref="F188">INDEX(covid, MATCH($A188,iso_code,0), MATCH(F$1, columns, 0))</f>
        <v>#N/A</v>
      </c>
      <c r="G188" s="2" t="str">
        <f t="array" ref="G188">INDEX(covid, MATCH($A188,iso_code,0), MATCH(G$1, columns, 0))</f>
        <v>#N/A</v>
      </c>
      <c r="H188" s="16"/>
      <c r="I188" s="2"/>
      <c r="J188" s="2"/>
      <c r="K188" s="2"/>
      <c r="L188" s="2"/>
      <c r="M188" s="2"/>
      <c r="N188" s="2"/>
      <c r="O188" s="2"/>
      <c r="P188" s="2"/>
    </row>
    <row r="189">
      <c r="A189" s="3" t="s">
        <v>410</v>
      </c>
      <c r="B189" s="3" t="s">
        <v>122</v>
      </c>
      <c r="C189" s="3" t="s">
        <v>411</v>
      </c>
      <c r="D189" s="2" t="str">
        <f t="array" ref="D189">INDEX(covid, MATCH($A189,iso_code,0), MATCH(D$1, columns, 0))</f>
        <v>#N/A</v>
      </c>
      <c r="E189" s="2" t="str">
        <f t="array" ref="E189">INDEX(covid, MATCH($A189,iso_code,0), MATCH(E$1, columns, 0))</f>
        <v>#N/A</v>
      </c>
      <c r="F189" s="2" t="str">
        <f t="array" ref="F189">INDEX(covid, MATCH($A189,iso_code,0), MATCH(F$1, columns, 0))</f>
        <v>#N/A</v>
      </c>
      <c r="G189" s="2" t="str">
        <f t="array" ref="G189">INDEX(covid, MATCH($A189,iso_code,0), MATCH(G$1, columns, 0))</f>
        <v>#N/A</v>
      </c>
      <c r="H189" s="16"/>
      <c r="I189" s="2"/>
      <c r="J189" s="2"/>
      <c r="K189" s="2"/>
      <c r="L189" s="2"/>
      <c r="M189" s="2"/>
      <c r="N189" s="2"/>
      <c r="O189" s="2"/>
      <c r="P189" s="2"/>
    </row>
    <row r="190">
      <c r="A190" s="3" t="s">
        <v>412</v>
      </c>
      <c r="B190" s="3" t="s">
        <v>122</v>
      </c>
      <c r="C190" s="3" t="s">
        <v>413</v>
      </c>
      <c r="D190" s="2" t="str">
        <f t="array" ref="D190">INDEX(covid, MATCH($A190,iso_code,0), MATCH(D$1, columns, 0))</f>
        <v>#N/A</v>
      </c>
      <c r="E190" s="2" t="str">
        <f t="array" ref="E190">INDEX(covid, MATCH($A190,iso_code,0), MATCH(E$1, columns, 0))</f>
        <v>#N/A</v>
      </c>
      <c r="F190" s="2" t="str">
        <f t="array" ref="F190">INDEX(covid, MATCH($A190,iso_code,0), MATCH(F$1, columns, 0))</f>
        <v>#N/A</v>
      </c>
      <c r="G190" s="2" t="str">
        <f t="array" ref="G190">INDEX(covid, MATCH($A190,iso_code,0), MATCH(G$1, columns, 0))</f>
        <v>#N/A</v>
      </c>
      <c r="H190" s="16"/>
      <c r="I190" s="2"/>
      <c r="J190" s="2"/>
      <c r="K190" s="2"/>
      <c r="L190" s="2"/>
      <c r="M190" s="2"/>
      <c r="N190" s="2"/>
      <c r="O190" s="2"/>
      <c r="P190" s="2"/>
    </row>
    <row r="191">
      <c r="A191" s="3" t="s">
        <v>414</v>
      </c>
      <c r="B191" s="3" t="s">
        <v>125</v>
      </c>
      <c r="C191" s="3" t="s">
        <v>415</v>
      </c>
      <c r="D191" s="2" t="str">
        <f t="array" ref="D191">INDEX(covid, MATCH($A191,iso_code,0), MATCH(D$1, columns, 0))</f>
        <v>#N/A</v>
      </c>
      <c r="E191" s="2" t="str">
        <f t="array" ref="E191">INDEX(covid, MATCH($A191,iso_code,0), MATCH(E$1, columns, 0))</f>
        <v>#N/A</v>
      </c>
      <c r="F191" s="2" t="str">
        <f t="array" ref="F191">INDEX(covid, MATCH($A191,iso_code,0), MATCH(F$1, columns, 0))</f>
        <v>#N/A</v>
      </c>
      <c r="G191" s="2" t="str">
        <f t="array" ref="G191">INDEX(covid, MATCH($A191,iso_code,0), MATCH(G$1, columns, 0))</f>
        <v>#N/A</v>
      </c>
      <c r="H191" s="16"/>
      <c r="I191" s="2"/>
      <c r="J191" s="2"/>
      <c r="K191" s="2"/>
      <c r="L191" s="2"/>
      <c r="M191" s="2"/>
      <c r="N191" s="2"/>
      <c r="O191" s="2"/>
      <c r="P191" s="2"/>
    </row>
    <row r="192">
      <c r="A192" s="3" t="s">
        <v>416</v>
      </c>
      <c r="B192" s="3" t="s">
        <v>130</v>
      </c>
      <c r="C192" s="3" t="s">
        <v>417</v>
      </c>
      <c r="D192" s="2" t="str">
        <f t="array" ref="D192">INDEX(covid, MATCH($A192,iso_code,0), MATCH(D$1, columns, 0))</f>
        <v>#N/A</v>
      </c>
      <c r="E192" s="2" t="str">
        <f t="array" ref="E192">INDEX(covid, MATCH($A192,iso_code,0), MATCH(E$1, columns, 0))</f>
        <v>#N/A</v>
      </c>
      <c r="F192" s="2" t="str">
        <f t="array" ref="F192">INDEX(covid, MATCH($A192,iso_code,0), MATCH(F$1, columns, 0))</f>
        <v>#N/A</v>
      </c>
      <c r="G192" s="2" t="str">
        <f t="array" ref="G192">INDEX(covid, MATCH($A192,iso_code,0), MATCH(G$1, columns, 0))</f>
        <v>#N/A</v>
      </c>
      <c r="H192" s="16"/>
      <c r="I192" s="2"/>
      <c r="J192" s="2"/>
      <c r="K192" s="2"/>
      <c r="L192" s="2"/>
      <c r="M192" s="2"/>
      <c r="N192" s="2"/>
      <c r="O192" s="2"/>
      <c r="P192" s="2"/>
    </row>
    <row r="193">
      <c r="A193" s="3" t="s">
        <v>418</v>
      </c>
      <c r="B193" s="3" t="s">
        <v>125</v>
      </c>
      <c r="C193" s="3" t="s">
        <v>419</v>
      </c>
      <c r="D193" s="2" t="str">
        <f t="array" ref="D193">INDEX(covid, MATCH($A193,iso_code,0), MATCH(D$1, columns, 0))</f>
        <v>#N/A</v>
      </c>
      <c r="E193" s="2" t="str">
        <f t="array" ref="E193">INDEX(covid, MATCH($A193,iso_code,0), MATCH(E$1, columns, 0))</f>
        <v>#N/A</v>
      </c>
      <c r="F193" s="2" t="str">
        <f t="array" ref="F193">INDEX(covid, MATCH($A193,iso_code,0), MATCH(F$1, columns, 0))</f>
        <v>#N/A</v>
      </c>
      <c r="G193" s="2" t="str">
        <f t="array" ref="G193">INDEX(covid, MATCH($A193,iso_code,0), MATCH(G$1, columns, 0))</f>
        <v>#N/A</v>
      </c>
      <c r="H193" s="16"/>
      <c r="I193" s="2"/>
      <c r="J193" s="2"/>
      <c r="K193" s="2"/>
      <c r="L193" s="2"/>
      <c r="M193" s="2"/>
      <c r="N193" s="2"/>
      <c r="O193" s="2"/>
      <c r="P193" s="2"/>
    </row>
    <row r="194">
      <c r="A194" s="3" t="s">
        <v>420</v>
      </c>
      <c r="B194" s="3" t="s">
        <v>122</v>
      </c>
      <c r="C194" s="3" t="s">
        <v>421</v>
      </c>
      <c r="D194" s="2" t="str">
        <f t="array" ref="D194">INDEX(covid, MATCH($A194,iso_code,0), MATCH(D$1, columns, 0))</f>
        <v>#N/A</v>
      </c>
      <c r="E194" s="2" t="str">
        <f t="array" ref="E194">INDEX(covid, MATCH($A194,iso_code,0), MATCH(E$1, columns, 0))</f>
        <v>#N/A</v>
      </c>
      <c r="F194" s="2" t="str">
        <f t="array" ref="F194">INDEX(covid, MATCH($A194,iso_code,0), MATCH(F$1, columns, 0))</f>
        <v>#N/A</v>
      </c>
      <c r="G194" s="2" t="str">
        <f t="array" ref="G194">INDEX(covid, MATCH($A194,iso_code,0), MATCH(G$1, columns, 0))</f>
        <v>#N/A</v>
      </c>
      <c r="H194" s="16"/>
      <c r="I194" s="2"/>
      <c r="J194" s="2"/>
      <c r="K194" s="2"/>
      <c r="L194" s="2"/>
      <c r="M194" s="2"/>
      <c r="N194" s="2"/>
      <c r="O194" s="2"/>
      <c r="P194" s="2"/>
    </row>
    <row r="195">
      <c r="A195" s="3" t="s">
        <v>422</v>
      </c>
      <c r="B195" s="3" t="s">
        <v>130</v>
      </c>
      <c r="C195" s="3" t="s">
        <v>423</v>
      </c>
      <c r="D195" s="2" t="str">
        <f t="array" ref="D195">INDEX(covid, MATCH($A195,iso_code,0), MATCH(D$1, columns, 0))</f>
        <v>#N/A</v>
      </c>
      <c r="E195" s="2" t="str">
        <f t="array" ref="E195">INDEX(covid, MATCH($A195,iso_code,0), MATCH(E$1, columns, 0))</f>
        <v>#N/A</v>
      </c>
      <c r="F195" s="2" t="str">
        <f t="array" ref="F195">INDEX(covid, MATCH($A195,iso_code,0), MATCH(F$1, columns, 0))</f>
        <v>#N/A</v>
      </c>
      <c r="G195" s="2" t="str">
        <f t="array" ref="G195">INDEX(covid, MATCH($A195,iso_code,0), MATCH(G$1, columns, 0))</f>
        <v>#N/A</v>
      </c>
      <c r="H195" s="16"/>
      <c r="I195" s="2"/>
      <c r="J195" s="2"/>
      <c r="K195" s="2"/>
      <c r="L195" s="2"/>
      <c r="M195" s="2"/>
      <c r="N195" s="2"/>
      <c r="O195" s="2"/>
      <c r="P195" s="2"/>
    </row>
    <row r="196">
      <c r="A196" s="3" t="s">
        <v>424</v>
      </c>
      <c r="B196" s="3" t="s">
        <v>125</v>
      </c>
      <c r="C196" s="3" t="s">
        <v>425</v>
      </c>
      <c r="D196" s="2" t="str">
        <f t="array" ref="D196">INDEX(covid, MATCH($A196,iso_code,0), MATCH(D$1, columns, 0))</f>
        <v>#N/A</v>
      </c>
      <c r="E196" s="2" t="str">
        <f t="array" ref="E196">INDEX(covid, MATCH($A196,iso_code,0), MATCH(E$1, columns, 0))</f>
        <v>#N/A</v>
      </c>
      <c r="F196" s="2" t="str">
        <f t="array" ref="F196">INDEX(covid, MATCH($A196,iso_code,0), MATCH(F$1, columns, 0))</f>
        <v>#N/A</v>
      </c>
      <c r="G196" s="2" t="str">
        <f t="array" ref="G196">INDEX(covid, MATCH($A196,iso_code,0), MATCH(G$1, columns, 0))</f>
        <v>#N/A</v>
      </c>
      <c r="H196" s="16"/>
      <c r="I196" s="2"/>
      <c r="J196" s="2"/>
      <c r="K196" s="2"/>
      <c r="L196" s="2"/>
      <c r="M196" s="2"/>
      <c r="N196" s="2"/>
      <c r="O196" s="2"/>
      <c r="P196" s="2"/>
    </row>
    <row r="197">
      <c r="A197" s="3" t="s">
        <v>117</v>
      </c>
      <c r="B197" s="3" t="s">
        <v>23</v>
      </c>
      <c r="C197" s="3" t="s">
        <v>118</v>
      </c>
      <c r="D197" s="14">
        <f t="array" ref="D197">INDEX(covid, MATCH($A197,iso_code,0), MATCH(D$1, columns, 0))</f>
        <v>3847226</v>
      </c>
      <c r="E197" s="14">
        <f t="array" ref="E197">INDEX(covid, MATCH($A197,iso_code,0), MATCH(E$1, columns, 0))</f>
        <v>102088</v>
      </c>
      <c r="F197" s="14">
        <f t="array" ref="F197">INDEX(covid, MATCH($A197,iso_code,0), MATCH(F$1, columns, 0))</f>
        <v>43466822</v>
      </c>
      <c r="G197" s="10">
        <f t="array" ref="G197">INDEX(covid, MATCH($A197,iso_code,0), MATCH(G$1, columns, 0))</f>
        <v>7894.393</v>
      </c>
      <c r="H197" s="16"/>
      <c r="I197" s="2"/>
      <c r="J197" s="2"/>
      <c r="K197" s="2"/>
      <c r="L197" s="2"/>
      <c r="M197" s="2"/>
      <c r="N197" s="2"/>
      <c r="O197" s="2"/>
      <c r="P197" s="2"/>
    </row>
    <row r="198">
      <c r="A198" s="3" t="s">
        <v>426</v>
      </c>
      <c r="B198" s="3" t="s">
        <v>122</v>
      </c>
      <c r="C198" s="3" t="s">
        <v>427</v>
      </c>
      <c r="D198" s="2" t="str">
        <f t="array" ref="D198">INDEX(covid, MATCH($A198,iso_code,0), MATCH(D$1, columns, 0))</f>
        <v>#N/A</v>
      </c>
      <c r="E198" s="2" t="str">
        <f t="array" ref="E198">INDEX(covid, MATCH($A198,iso_code,0), MATCH(E$1, columns, 0))</f>
        <v>#N/A</v>
      </c>
      <c r="F198" s="2" t="str">
        <f t="array" ref="F198">INDEX(covid, MATCH($A198,iso_code,0), MATCH(F$1, columns, 0))</f>
        <v>#N/A</v>
      </c>
      <c r="G198" s="2" t="str">
        <f t="array" ref="G198">INDEX(covid, MATCH($A198,iso_code,0), MATCH(G$1, columns, 0))</f>
        <v>#N/A</v>
      </c>
      <c r="H198" s="16"/>
      <c r="I198" s="2"/>
      <c r="J198" s="2"/>
      <c r="K198" s="2"/>
      <c r="L198" s="2"/>
      <c r="M198" s="2"/>
      <c r="N198" s="2"/>
      <c r="O198" s="2"/>
      <c r="P198" s="2"/>
    </row>
    <row r="199">
      <c r="A199" s="3" t="s">
        <v>55</v>
      </c>
      <c r="B199" s="3" t="s">
        <v>23</v>
      </c>
      <c r="C199" s="3" t="s">
        <v>56</v>
      </c>
      <c r="D199" s="14">
        <f t="array" ref="D199">INDEX(covid, MATCH($A199,iso_code,0), MATCH(D$1, columns, 0))</f>
        <v>12965393</v>
      </c>
      <c r="E199" s="14">
        <f t="array" ref="E199">INDEX(covid, MATCH($A199,iso_code,0), MATCH(E$1, columns, 0))</f>
        <v>148737</v>
      </c>
      <c r="F199" s="14">
        <f t="array" ref="F199">INDEX(covid, MATCH($A199,iso_code,0), MATCH(F$1, columns, 0))</f>
        <v>68207114</v>
      </c>
      <c r="G199" s="10">
        <f t="array" ref="G199">INDEX(covid, MATCH($A199,iso_code,0), MATCH(G$1, columns, 0))</f>
        <v>39753.244</v>
      </c>
      <c r="H199" s="16"/>
      <c r="I199" s="2"/>
      <c r="J199" s="2"/>
      <c r="K199" s="2"/>
      <c r="L199" s="2"/>
      <c r="M199" s="2"/>
      <c r="N199" s="2"/>
      <c r="O199" s="2"/>
      <c r="P199" s="2"/>
    </row>
    <row r="200">
      <c r="A200" s="3" t="s">
        <v>428</v>
      </c>
      <c r="B200" s="3" t="s">
        <v>130</v>
      </c>
      <c r="C200" s="3" t="s">
        <v>429</v>
      </c>
      <c r="D200" s="2" t="str">
        <f t="array" ref="D200">INDEX(covid, MATCH($A200,iso_code,0), MATCH(D$1, columns, 0))</f>
        <v>#N/A</v>
      </c>
      <c r="E200" s="2" t="str">
        <f t="array" ref="E200">INDEX(covid, MATCH($A200,iso_code,0), MATCH(E$1, columns, 0))</f>
        <v>#N/A</v>
      </c>
      <c r="F200" s="2" t="str">
        <f t="array" ref="F200">INDEX(covid, MATCH($A200,iso_code,0), MATCH(F$1, columns, 0))</f>
        <v>#N/A</v>
      </c>
      <c r="G200" s="2" t="str">
        <f t="array" ref="G200">INDEX(covid, MATCH($A200,iso_code,0), MATCH(G$1, columns, 0))</f>
        <v>#N/A</v>
      </c>
      <c r="H200" s="16"/>
      <c r="I200" s="2"/>
      <c r="J200" s="2"/>
      <c r="K200" s="2"/>
      <c r="L200" s="2"/>
      <c r="M200" s="2"/>
      <c r="N200" s="2"/>
      <c r="O200" s="2"/>
      <c r="P200" s="2"/>
    </row>
    <row r="201">
      <c r="A201" s="3" t="s">
        <v>430</v>
      </c>
      <c r="B201" s="3" t="s">
        <v>130</v>
      </c>
      <c r="C201" s="3" t="s">
        <v>431</v>
      </c>
      <c r="D201" s="2" t="str">
        <f t="array" ref="D201">INDEX(covid, MATCH($A201,iso_code,0), MATCH(D$1, columns, 0))</f>
        <v>#N/A</v>
      </c>
      <c r="E201" s="2" t="str">
        <f t="array" ref="E201">INDEX(covid, MATCH($A201,iso_code,0), MATCH(E$1, columns, 0))</f>
        <v>#N/A</v>
      </c>
      <c r="F201" s="2" t="str">
        <f t="array" ref="F201">INDEX(covid, MATCH($A201,iso_code,0), MATCH(F$1, columns, 0))</f>
        <v>#N/A</v>
      </c>
      <c r="G201" s="2" t="str">
        <f t="array" ref="G201">INDEX(covid, MATCH($A201,iso_code,0), MATCH(G$1, columns, 0))</f>
        <v>#N/A</v>
      </c>
      <c r="H201" s="16"/>
      <c r="I201" s="2"/>
      <c r="J201" s="2"/>
      <c r="K201" s="2"/>
      <c r="L201" s="2"/>
      <c r="M201" s="2"/>
      <c r="N201" s="2"/>
      <c r="O201" s="2"/>
      <c r="P201" s="2"/>
    </row>
    <row r="202">
      <c r="A202" s="3" t="s">
        <v>432</v>
      </c>
      <c r="B202" s="3" t="s">
        <v>135</v>
      </c>
      <c r="C202" s="3" t="s">
        <v>433</v>
      </c>
      <c r="D202" s="2" t="str">
        <f t="array" ref="D202">INDEX(covid, MATCH($A202,iso_code,0), MATCH(D$1, columns, 0))</f>
        <v>#N/A</v>
      </c>
      <c r="E202" s="2" t="str">
        <f t="array" ref="E202">INDEX(covid, MATCH($A202,iso_code,0), MATCH(E$1, columns, 0))</f>
        <v>#N/A</v>
      </c>
      <c r="F202" s="2" t="str">
        <f t="array" ref="F202">INDEX(covid, MATCH($A202,iso_code,0), MATCH(F$1, columns, 0))</f>
        <v>#N/A</v>
      </c>
      <c r="G202" s="2" t="str">
        <f t="array" ref="G202">INDEX(covid, MATCH($A202,iso_code,0), MATCH(G$1, columns, 0))</f>
        <v>#N/A</v>
      </c>
      <c r="H202" s="16"/>
      <c r="I202" s="2"/>
      <c r="J202" s="2"/>
      <c r="K202" s="2"/>
      <c r="L202" s="2"/>
      <c r="M202" s="2"/>
      <c r="N202" s="2"/>
      <c r="O202" s="2"/>
      <c r="P202" s="2"/>
    </row>
    <row r="203">
      <c r="A203" s="3" t="s">
        <v>434</v>
      </c>
      <c r="B203" s="3" t="s">
        <v>122</v>
      </c>
      <c r="C203" s="3" t="s">
        <v>435</v>
      </c>
      <c r="D203" s="2" t="str">
        <f t="array" ref="D203">INDEX(covid, MATCH($A203,iso_code,0), MATCH(D$1, columns, 0))</f>
        <v>#N/A</v>
      </c>
      <c r="E203" s="2" t="str">
        <f t="array" ref="E203">INDEX(covid, MATCH($A203,iso_code,0), MATCH(E$1, columns, 0))</f>
        <v>#N/A</v>
      </c>
      <c r="F203" s="2" t="str">
        <f t="array" ref="F203">INDEX(covid, MATCH($A203,iso_code,0), MATCH(F$1, columns, 0))</f>
        <v>#N/A</v>
      </c>
      <c r="G203" s="2" t="str">
        <f t="array" ref="G203">INDEX(covid, MATCH($A203,iso_code,0), MATCH(G$1, columns, 0))</f>
        <v>#N/A</v>
      </c>
      <c r="H203" s="16"/>
      <c r="I203" s="2"/>
      <c r="J203" s="2"/>
      <c r="K203" s="2"/>
      <c r="L203" s="2"/>
      <c r="M203" s="2"/>
      <c r="N203" s="2"/>
      <c r="O203" s="2"/>
      <c r="P203" s="2"/>
    </row>
    <row r="204">
      <c r="A204" s="3" t="s">
        <v>119</v>
      </c>
      <c r="B204" s="3" t="s">
        <v>23</v>
      </c>
      <c r="C204" s="3" t="s">
        <v>120</v>
      </c>
      <c r="D204" s="2">
        <f t="array" ref="D204">INDEX(covid, MATCH($A204,iso_code,0), MATCH(D$1, columns, 0))</f>
        <v>27</v>
      </c>
      <c r="E204" s="2" t="str">
        <f t="array" ref="E204">INDEX(covid, MATCH($A204,iso_code,0), MATCH(E$1, columns, 0))</f>
        <v/>
      </c>
      <c r="F204" s="2">
        <f t="array" ref="F204">INDEX(covid, MATCH($A204,iso_code,0), MATCH(F$1, columns, 0))</f>
        <v>812</v>
      </c>
      <c r="G204" s="10" t="str">
        <f t="array" ref="G204">INDEX(covid, MATCH($A204,iso_code,0), MATCH(G$1, columns, 0))</f>
        <v/>
      </c>
      <c r="H204" s="16"/>
      <c r="I204" s="2"/>
      <c r="J204" s="2"/>
      <c r="K204" s="2"/>
      <c r="L204" s="2"/>
      <c r="M204" s="2"/>
      <c r="N204" s="2"/>
      <c r="O204" s="2"/>
      <c r="P204" s="2"/>
    </row>
    <row r="205">
      <c r="A205" s="3" t="s">
        <v>436</v>
      </c>
      <c r="B205" s="3" t="s">
        <v>135</v>
      </c>
      <c r="C205" s="3" t="s">
        <v>437</v>
      </c>
      <c r="D205" s="2" t="str">
        <f t="array" ref="D205">INDEX(covid, MATCH($A205,iso_code,0), MATCH(D$1, columns, 0))</f>
        <v>#N/A</v>
      </c>
      <c r="E205" s="2" t="str">
        <f t="array" ref="E205">INDEX(covid, MATCH($A205,iso_code,0), MATCH(E$1, columns, 0))</f>
        <v>#N/A</v>
      </c>
      <c r="F205" s="2" t="str">
        <f t="array" ref="F205">INDEX(covid, MATCH($A205,iso_code,0), MATCH(F$1, columns, 0))</f>
        <v>#N/A</v>
      </c>
      <c r="G205" s="2" t="str">
        <f t="array" ref="G205">INDEX(covid, MATCH($A205,iso_code,0), MATCH(G$1, columns, 0))</f>
        <v>#N/A</v>
      </c>
      <c r="H205" s="16"/>
      <c r="I205" s="2"/>
      <c r="J205" s="2"/>
      <c r="K205" s="2"/>
      <c r="L205" s="2"/>
      <c r="M205" s="2"/>
      <c r="N205" s="2"/>
      <c r="O205" s="2"/>
      <c r="P205" s="2"/>
    </row>
    <row r="206">
      <c r="A206" s="3" t="s">
        <v>438</v>
      </c>
      <c r="B206" s="3" t="s">
        <v>122</v>
      </c>
      <c r="C206" s="3" t="s">
        <v>439</v>
      </c>
      <c r="D206" s="2" t="str">
        <f t="array" ref="D206">INDEX(covid, MATCH($A206,iso_code,0), MATCH(D$1, columns, 0))</f>
        <v>#N/A</v>
      </c>
      <c r="E206" s="2" t="str">
        <f t="array" ref="E206">INDEX(covid, MATCH($A206,iso_code,0), MATCH(E$1, columns, 0))</f>
        <v>#N/A</v>
      </c>
      <c r="F206" s="2" t="str">
        <f t="array" ref="F206">INDEX(covid, MATCH($A206,iso_code,0), MATCH(F$1, columns, 0))</f>
        <v>#N/A</v>
      </c>
      <c r="G206" s="2" t="str">
        <f t="array" ref="G206">INDEX(covid, MATCH($A206,iso_code,0), MATCH(G$1, columns, 0))</f>
        <v>#N/A</v>
      </c>
      <c r="H206" s="16"/>
      <c r="I206" s="2"/>
      <c r="J206" s="2"/>
      <c r="K206" s="2"/>
      <c r="L206" s="2"/>
      <c r="M206" s="2"/>
      <c r="N206" s="2"/>
      <c r="O206" s="2"/>
      <c r="P206" s="2"/>
    </row>
    <row r="207">
      <c r="A207" s="3" t="s">
        <v>440</v>
      </c>
      <c r="B207" s="3" t="s">
        <v>125</v>
      </c>
      <c r="C207" s="3" t="s">
        <v>441</v>
      </c>
      <c r="D207" s="2" t="str">
        <f t="array" ref="D207">INDEX(covid, MATCH($A207,iso_code,0), MATCH(D$1, columns, 0))</f>
        <v>#N/A</v>
      </c>
      <c r="E207" s="2" t="str">
        <f t="array" ref="E207">INDEX(covid, MATCH($A207,iso_code,0), MATCH(E$1, columns, 0))</f>
        <v>#N/A</v>
      </c>
      <c r="F207" s="2" t="str">
        <f t="array" ref="F207">INDEX(covid, MATCH($A207,iso_code,0), MATCH(F$1, columns, 0))</f>
        <v>#N/A</v>
      </c>
      <c r="G207" s="2" t="str">
        <f t="array" ref="G207">INDEX(covid, MATCH($A207,iso_code,0), MATCH(G$1, columns, 0))</f>
        <v>#N/A</v>
      </c>
      <c r="H207" s="16"/>
      <c r="I207" s="2"/>
      <c r="J207" s="2"/>
      <c r="K207" s="2"/>
      <c r="L207" s="2"/>
      <c r="M207" s="2"/>
      <c r="N207" s="2"/>
      <c r="O207" s="2"/>
      <c r="P207" s="2"/>
    </row>
    <row r="208">
      <c r="A208" s="3" t="s">
        <v>442</v>
      </c>
      <c r="B208" s="3" t="s">
        <v>122</v>
      </c>
      <c r="C208" s="3" t="s">
        <v>443</v>
      </c>
      <c r="D208" s="2" t="str">
        <f t="array" ref="D208">INDEX(covid, MATCH($A208,iso_code,0), MATCH(D$1, columns, 0))</f>
        <v>#N/A</v>
      </c>
      <c r="E208" s="2" t="str">
        <f t="array" ref="E208">INDEX(covid, MATCH($A208,iso_code,0), MATCH(E$1, columns, 0))</f>
        <v>#N/A</v>
      </c>
      <c r="F208" s="2" t="str">
        <f t="array" ref="F208">INDEX(covid, MATCH($A208,iso_code,0), MATCH(F$1, columns, 0))</f>
        <v>#N/A</v>
      </c>
      <c r="G208" s="2" t="str">
        <f t="array" ref="G208">INDEX(covid, MATCH($A208,iso_code,0), MATCH(G$1, columns, 0))</f>
        <v>#N/A</v>
      </c>
      <c r="H208" s="16"/>
      <c r="I208" s="2"/>
      <c r="J208" s="2"/>
      <c r="K208" s="2"/>
      <c r="L208" s="2"/>
      <c r="M208" s="2"/>
      <c r="N208" s="2"/>
      <c r="O208" s="2"/>
      <c r="P208" s="2"/>
    </row>
    <row r="209">
      <c r="A209" s="3" t="s">
        <v>444</v>
      </c>
      <c r="B209" s="3" t="s">
        <v>125</v>
      </c>
      <c r="C209" s="3" t="s">
        <v>445</v>
      </c>
      <c r="D209" s="2" t="str">
        <f t="array" ref="D209">INDEX(covid, MATCH($A209,iso_code,0), MATCH(D$1, columns, 0))</f>
        <v>#N/A</v>
      </c>
      <c r="E209" s="2" t="str">
        <f t="array" ref="E209">INDEX(covid, MATCH($A209,iso_code,0), MATCH(E$1, columns, 0))</f>
        <v>#N/A</v>
      </c>
      <c r="F209" s="2" t="str">
        <f t="array" ref="F209">INDEX(covid, MATCH($A209,iso_code,0), MATCH(F$1, columns, 0))</f>
        <v>#N/A</v>
      </c>
      <c r="G209" s="2" t="str">
        <f t="array" ref="G209">INDEX(covid, MATCH($A209,iso_code,0), MATCH(G$1, columns, 0))</f>
        <v>#N/A</v>
      </c>
      <c r="H209" s="16"/>
      <c r="I209" s="2"/>
      <c r="J209" s="2"/>
      <c r="K209" s="2"/>
      <c r="L209" s="2"/>
      <c r="M209" s="2"/>
      <c r="N209" s="2"/>
      <c r="O209" s="2"/>
      <c r="P209" s="2"/>
    </row>
    <row r="210">
      <c r="A210" s="3" t="s">
        <v>446</v>
      </c>
      <c r="B210" s="3" t="s">
        <v>125</v>
      </c>
      <c r="C210" s="3" t="s">
        <v>447</v>
      </c>
      <c r="D210" s="2" t="str">
        <f t="array" ref="D210">INDEX(covid, MATCH($A210,iso_code,0), MATCH(D$1, columns, 0))</f>
        <v>#N/A</v>
      </c>
      <c r="E210" s="2" t="str">
        <f t="array" ref="E210">INDEX(covid, MATCH($A210,iso_code,0), MATCH(E$1, columns, 0))</f>
        <v>#N/A</v>
      </c>
      <c r="F210" s="2" t="str">
        <f t="array" ref="F210">INDEX(covid, MATCH($A210,iso_code,0), MATCH(F$1, columns, 0))</f>
        <v>#N/A</v>
      </c>
      <c r="G210" s="2" t="str">
        <f t="array" ref="G210">INDEX(covid, MATCH($A210,iso_code,0), MATCH(G$1, columns, 0))</f>
        <v>#N/A</v>
      </c>
      <c r="H210" s="16"/>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sheetData>
  <dataValidations>
    <dataValidation type="list" allowBlank="1" showErrorMessage="1" sqref="I19">
      <formula1>"5,10,15,20,25,30,35,40,45,50"</formula1>
    </dataValidation>
    <dataValidation type="list" allowBlank="1" showErrorMessage="1" sqref="I22">
      <formula1>"1,2,3,4,5"</formula1>
    </dataValidation>
    <dataValidation type="list" allowBlank="1" showErrorMessage="1" sqref="I29">
      <formula1>'INDEX(MATCH, MATCH)'!$K$16:$O$16</formula1>
    </dataValidation>
    <dataValidation type="list" allowBlank="1" showErrorMessage="1" sqref="I25">
      <formula1>"TRUE,FALSE"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6.25"/>
    <col customWidth="1" min="3" max="3" width="25.88"/>
    <col customWidth="1" min="4" max="4" width="35.25"/>
    <col customWidth="1" min="5" max="5" width="21.5"/>
    <col customWidth="1" min="6" max="6" width="13.38"/>
    <col customWidth="1" min="7" max="7" width="3.88"/>
    <col customWidth="1" min="8" max="8" width="19.13"/>
    <col customWidth="1" min="9" max="9" width="10.13"/>
    <col customWidth="1" min="10" max="10" width="10.88"/>
    <col customWidth="1" min="11" max="11" width="16.88"/>
    <col customWidth="1" min="12" max="12" width="15.38"/>
    <col customWidth="1" min="13" max="13" width="16.75"/>
    <col customWidth="1" min="14" max="14" width="5.88"/>
    <col customWidth="1" min="15" max="15" width="6.88"/>
    <col customWidth="1" min="16" max="16" width="3.88"/>
    <col customWidth="1" min="17" max="17" width="19.25"/>
    <col customWidth="1" min="18" max="18" width="3.88"/>
    <col customWidth="1" min="19" max="19" width="19.25"/>
    <col customWidth="1" min="20" max="31" width="17.25"/>
  </cols>
  <sheetData>
    <row r="1" ht="15.75" customHeight="1">
      <c r="A1" s="27" t="s">
        <v>452</v>
      </c>
      <c r="B1" s="27"/>
      <c r="C1" s="27"/>
      <c r="D1" s="27"/>
      <c r="E1" s="28"/>
      <c r="F1" s="29"/>
      <c r="G1" s="30"/>
      <c r="H1" s="2"/>
      <c r="I1" s="2"/>
      <c r="J1" s="2"/>
      <c r="K1" s="31" t="s">
        <v>453</v>
      </c>
      <c r="L1" s="32" t="s">
        <v>454</v>
      </c>
      <c r="M1" s="32" t="s">
        <v>455</v>
      </c>
      <c r="N1" s="31" t="s">
        <v>456</v>
      </c>
      <c r="O1" s="32"/>
      <c r="P1" s="33" t="b">
        <v>1</v>
      </c>
      <c r="Q1" s="33"/>
      <c r="R1" s="33"/>
      <c r="S1" s="33"/>
      <c r="T1" s="33"/>
      <c r="U1" s="33"/>
      <c r="V1" s="33"/>
      <c r="W1" s="33"/>
      <c r="X1" s="33"/>
      <c r="Y1" s="33"/>
      <c r="Z1" s="33"/>
      <c r="AA1" s="33"/>
      <c r="AB1" s="33"/>
      <c r="AC1" s="33"/>
      <c r="AD1" s="33"/>
      <c r="AE1" s="33"/>
    </row>
    <row r="2" ht="15.75" customHeight="1">
      <c r="A2" s="4"/>
      <c r="B2" s="4"/>
      <c r="C2" s="4"/>
      <c r="D2" s="4"/>
      <c r="E2" s="34"/>
      <c r="F2" s="22"/>
      <c r="G2" s="30"/>
      <c r="H2" s="35" t="s">
        <v>3</v>
      </c>
      <c r="I2" s="35" t="s">
        <v>4</v>
      </c>
      <c r="J2" s="35" t="s">
        <v>5</v>
      </c>
      <c r="K2" s="36" t="s">
        <v>457</v>
      </c>
      <c r="L2" s="36" t="s">
        <v>458</v>
      </c>
      <c r="M2" s="36" t="s">
        <v>459</v>
      </c>
      <c r="N2" s="36" t="s">
        <v>460</v>
      </c>
      <c r="O2" s="36" t="s">
        <v>461</v>
      </c>
      <c r="P2" s="37" t="b">
        <v>0</v>
      </c>
      <c r="Q2" s="33" t="s">
        <v>462</v>
      </c>
      <c r="R2" s="38"/>
      <c r="S2" s="33" t="s">
        <v>463</v>
      </c>
      <c r="T2" s="37"/>
      <c r="U2" s="37"/>
      <c r="V2" s="37"/>
      <c r="W2" s="37"/>
      <c r="X2" s="37"/>
      <c r="Y2" s="37"/>
      <c r="Z2" s="37"/>
      <c r="AA2" s="37"/>
      <c r="AB2" s="37"/>
      <c r="AC2" s="37"/>
      <c r="AD2" s="37"/>
      <c r="AE2" s="37"/>
    </row>
    <row r="3" ht="15.75" customHeight="1">
      <c r="A3" s="39" t="s">
        <v>464</v>
      </c>
      <c r="B3" s="39" t="s">
        <v>465</v>
      </c>
      <c r="C3" s="39" t="s">
        <v>466</v>
      </c>
      <c r="D3" s="39" t="s">
        <v>467</v>
      </c>
      <c r="E3" s="34"/>
      <c r="F3" s="22"/>
      <c r="G3" s="30"/>
      <c r="H3" s="37" t="s">
        <v>24</v>
      </c>
      <c r="I3" s="37">
        <v>125842.0</v>
      </c>
      <c r="J3" s="37">
        <v>2247.0</v>
      </c>
      <c r="K3" s="38">
        <f t="shared" ref="K3:K48" si="1">ROUND( J3/I3, 4)</f>
        <v>0.0179</v>
      </c>
      <c r="L3" s="37">
        <f t="shared" ref="L3:L48" si="2">RAND()</f>
        <v>0.8122104313</v>
      </c>
      <c r="M3" s="40">
        <f t="shared" ref="M3:M48" si="3">RANDBETWEEN(1,10)</f>
        <v>8</v>
      </c>
      <c r="N3" s="40">
        <f t="shared" ref="N3:N18" si="4">RANK(L3,$L$3:$L$18)</f>
        <v>3</v>
      </c>
      <c r="O3" s="40">
        <f t="array" ref="O3:O18">ROUNDUP( N3:N18/4)</f>
        <v>1</v>
      </c>
      <c r="P3" s="41"/>
      <c r="Q3" s="42" t="str">
        <f>IFERROR(__xludf.DUMMYFUNCTION("FILTER(H3:H48,L3:L48 =  MAX(L3:L48))"),"Spain")</f>
        <v>Spain</v>
      </c>
      <c r="R3" s="41"/>
      <c r="S3" s="43" t="str">
        <f>IFERROR(__xludf.DUMMYFUNCTION("FILTER($H$3:$H$18, $O$3:$O$18 = INT(RIGHT(S2)))"),"Albania")</f>
        <v>Albania</v>
      </c>
      <c r="T3" s="41"/>
      <c r="U3" s="44"/>
      <c r="V3" s="41"/>
      <c r="W3" s="41"/>
      <c r="X3" s="41"/>
      <c r="Y3" s="41"/>
      <c r="Z3" s="41"/>
      <c r="AA3" s="41"/>
      <c r="AB3" s="41"/>
      <c r="AC3" s="41"/>
      <c r="AD3" s="41"/>
      <c r="AE3" s="41"/>
    </row>
    <row r="4" ht="15.75" customHeight="1">
      <c r="A4" s="3" t="s">
        <v>468</v>
      </c>
      <c r="B4" s="3" t="s">
        <v>469</v>
      </c>
      <c r="C4" s="45" t="str">
        <f>CONCATENATE(PROPER(A4)," " , UPPER(B4))</f>
        <v>Firstname LASTNAME</v>
      </c>
      <c r="D4" s="34" t="s">
        <v>470</v>
      </c>
      <c r="E4" s="2"/>
      <c r="F4" s="22"/>
      <c r="G4" s="30"/>
      <c r="H4" s="37" t="s">
        <v>26</v>
      </c>
      <c r="I4" s="37">
        <v>12115.0</v>
      </c>
      <c r="J4" s="37">
        <v>116.0</v>
      </c>
      <c r="K4" s="38">
        <f t="shared" si="1"/>
        <v>0.0096</v>
      </c>
      <c r="L4" s="37">
        <f t="shared" si="2"/>
        <v>0.1327563183</v>
      </c>
      <c r="M4" s="40">
        <f t="shared" si="3"/>
        <v>3</v>
      </c>
      <c r="N4" s="40">
        <f t="shared" si="4"/>
        <v>16</v>
      </c>
      <c r="O4" s="40">
        <v>4.0</v>
      </c>
      <c r="P4" s="41"/>
      <c r="Q4" s="41"/>
      <c r="R4" s="41"/>
      <c r="S4" s="46" t="str">
        <f>IFERROR(__xludf.DUMMYFUNCTION("""COMPUTED_VALUE"""),"Belarus")</f>
        <v>Belarus</v>
      </c>
      <c r="T4" s="41"/>
      <c r="U4" s="40"/>
      <c r="V4" s="41"/>
      <c r="W4" s="41"/>
      <c r="X4" s="41"/>
      <c r="Y4" s="41"/>
      <c r="Z4" s="41"/>
      <c r="AA4" s="41"/>
      <c r="AB4" s="41"/>
      <c r="AC4" s="41"/>
      <c r="AD4" s="41"/>
      <c r="AE4" s="41"/>
    </row>
    <row r="5" ht="15.75" customHeight="1">
      <c r="A5" s="3"/>
      <c r="B5" s="3"/>
      <c r="C5" s="45" t="str">
        <f>PROPER(A4)&amp;" "&amp;UPPER(B4)</f>
        <v>Firstname LASTNAME</v>
      </c>
      <c r="D5" s="2"/>
      <c r="E5" s="2"/>
      <c r="F5" s="22"/>
      <c r="G5" s="30"/>
      <c r="H5" s="37" t="s">
        <v>28</v>
      </c>
      <c r="I5" s="37">
        <v>552729.0</v>
      </c>
      <c r="J5" s="37">
        <v>9397.0</v>
      </c>
      <c r="K5" s="38">
        <f t="shared" si="1"/>
        <v>0.017</v>
      </c>
      <c r="L5" s="37">
        <f t="shared" si="2"/>
        <v>0.2444622033</v>
      </c>
      <c r="M5" s="40">
        <f t="shared" si="3"/>
        <v>4</v>
      </c>
      <c r="N5" s="40">
        <f t="shared" si="4"/>
        <v>11</v>
      </c>
      <c r="O5" s="40">
        <v>3.0</v>
      </c>
      <c r="P5" s="41"/>
      <c r="Q5" s="33" t="s">
        <v>471</v>
      </c>
      <c r="R5" s="41"/>
      <c r="S5" s="46" t="str">
        <f>IFERROR(__xludf.DUMMYFUNCTION("""COMPUTED_VALUE"""),"Belgium")</f>
        <v>Belgium</v>
      </c>
      <c r="T5" s="41"/>
      <c r="U5" s="40"/>
      <c r="V5" s="41"/>
      <c r="W5" s="41"/>
      <c r="X5" s="41"/>
      <c r="Y5" s="41"/>
      <c r="Z5" s="41"/>
      <c r="AA5" s="41"/>
      <c r="AB5" s="41"/>
      <c r="AC5" s="41"/>
      <c r="AD5" s="41"/>
      <c r="AE5" s="41"/>
    </row>
    <row r="6" ht="15.75" customHeight="1">
      <c r="A6" s="3"/>
      <c r="B6" s="3"/>
      <c r="C6" s="3"/>
      <c r="D6" s="2"/>
      <c r="E6" s="2"/>
      <c r="F6" s="22"/>
      <c r="G6" s="30"/>
      <c r="H6" s="37" t="s">
        <v>36</v>
      </c>
      <c r="I6" s="37">
        <v>324694.0</v>
      </c>
      <c r="J6" s="37">
        <v>2267.0</v>
      </c>
      <c r="K6" s="38">
        <f t="shared" si="1"/>
        <v>0.007</v>
      </c>
      <c r="L6" s="37">
        <f t="shared" si="2"/>
        <v>0.8067533951</v>
      </c>
      <c r="M6" s="40">
        <f t="shared" si="3"/>
        <v>2</v>
      </c>
      <c r="N6" s="40">
        <f t="shared" si="4"/>
        <v>4</v>
      </c>
      <c r="O6" s="40">
        <v>1.0</v>
      </c>
      <c r="P6" s="41"/>
      <c r="Q6" s="42" t="str">
        <f t="array" ref="Q6">INDEX( SORTN(H3:L48,1,,5,FALSE), 1, 1)</f>
        <v>Spain</v>
      </c>
      <c r="R6" s="41"/>
      <c r="S6" s="47" t="str">
        <f>IFERROR(__xludf.DUMMYFUNCTION("""COMPUTED_VALUE"""),"Denmark")</f>
        <v>Denmark</v>
      </c>
      <c r="T6" s="41"/>
      <c r="U6" s="40"/>
      <c r="V6" s="41"/>
      <c r="W6" s="41"/>
      <c r="X6" s="41"/>
      <c r="Y6" s="41"/>
      <c r="Z6" s="41"/>
      <c r="AA6" s="41"/>
      <c r="AB6" s="41"/>
      <c r="AC6" s="41"/>
      <c r="AD6" s="41"/>
      <c r="AE6" s="41"/>
    </row>
    <row r="7" ht="15.75" customHeight="1">
      <c r="A7" s="45" t="str">
        <f t="shared" ref="A7:A16" si="5">PROPER( LEFT(C7, FIND(" ",C7)-1))</f>
        <v>Firstname1</v>
      </c>
      <c r="B7" s="45" t="str">
        <f t="shared" ref="B7:B16" si="6">UPPER( RIGHT(C7, len(C7) - FIND(" ",C7)))</f>
        <v>LASTNAME1</v>
      </c>
      <c r="C7" s="3" t="s">
        <v>472</v>
      </c>
      <c r="D7" s="48" t="str">
        <f t="shared" ref="D7:D16" si="7">JOIN(" ",A7:B7)</f>
        <v>Firstname1 LASTNAME1</v>
      </c>
      <c r="E7" s="48" t="str">
        <f t="shared" ref="E7:E16" si="8">TEXTJOIN(" ", TRUE,A7:B7)</f>
        <v>Firstname1 LASTNAME1</v>
      </c>
      <c r="F7" s="22"/>
      <c r="G7" s="30"/>
      <c r="H7" s="37" t="s">
        <v>30</v>
      </c>
      <c r="I7" s="37">
        <v>892585.0</v>
      </c>
      <c r="J7" s="37">
        <v>23083.0</v>
      </c>
      <c r="K7" s="38">
        <f t="shared" si="1"/>
        <v>0.0259</v>
      </c>
      <c r="L7" s="37">
        <f t="shared" si="2"/>
        <v>0.953208478</v>
      </c>
      <c r="M7" s="40">
        <f t="shared" si="3"/>
        <v>5</v>
      </c>
      <c r="N7" s="40">
        <f t="shared" si="4"/>
        <v>2</v>
      </c>
      <c r="O7" s="40">
        <v>1.0</v>
      </c>
      <c r="P7" s="41"/>
      <c r="R7" s="41"/>
      <c r="S7" s="37"/>
      <c r="T7" s="41"/>
      <c r="U7" s="40"/>
      <c r="V7" s="41"/>
      <c r="W7" s="41"/>
      <c r="X7" s="41"/>
      <c r="Y7" s="41"/>
      <c r="Z7" s="41"/>
      <c r="AA7" s="41"/>
      <c r="AB7" s="41"/>
      <c r="AC7" s="41"/>
      <c r="AD7" s="41"/>
      <c r="AE7" s="41"/>
    </row>
    <row r="8" ht="15.75" customHeight="1">
      <c r="A8" s="45" t="str">
        <f t="shared" si="5"/>
        <v>Firstname2</v>
      </c>
      <c r="B8" s="45" t="str">
        <f t="shared" si="6"/>
        <v>LASTNAME2</v>
      </c>
      <c r="C8" s="3" t="s">
        <v>473</v>
      </c>
      <c r="D8" s="48" t="str">
        <f t="shared" si="7"/>
        <v>Firstname2 LASTNAME2</v>
      </c>
      <c r="E8" s="48" t="str">
        <f t="shared" si="8"/>
        <v>Firstname2 LASTNAME2</v>
      </c>
      <c r="F8" s="22"/>
      <c r="G8" s="30"/>
      <c r="H8" s="37" t="s">
        <v>34</v>
      </c>
      <c r="I8" s="37">
        <v>173478.0</v>
      </c>
      <c r="J8" s="37">
        <v>6763.0</v>
      </c>
      <c r="K8" s="38">
        <f t="shared" si="1"/>
        <v>0.039</v>
      </c>
      <c r="L8" s="37">
        <f t="shared" si="2"/>
        <v>0.6355655156</v>
      </c>
      <c r="M8" s="40">
        <f t="shared" si="3"/>
        <v>4</v>
      </c>
      <c r="N8" s="40">
        <f t="shared" si="4"/>
        <v>5</v>
      </c>
      <c r="O8" s="40">
        <v>2.0</v>
      </c>
      <c r="P8" s="41"/>
      <c r="Q8" s="41"/>
      <c r="R8" s="41"/>
      <c r="S8" s="33" t="s">
        <v>474</v>
      </c>
      <c r="T8" s="41"/>
      <c r="U8" s="40"/>
      <c r="V8" s="41"/>
      <c r="W8" s="41"/>
      <c r="X8" s="41"/>
      <c r="Y8" s="41"/>
      <c r="Z8" s="41"/>
      <c r="AA8" s="41"/>
      <c r="AB8" s="41"/>
      <c r="AC8" s="41"/>
      <c r="AD8" s="41"/>
      <c r="AE8" s="41"/>
    </row>
    <row r="9" ht="15.75" customHeight="1">
      <c r="A9" s="45" t="str">
        <f t="shared" si="5"/>
        <v>Firstname3</v>
      </c>
      <c r="B9" s="45" t="str">
        <f t="shared" si="6"/>
        <v>LASTNAME3</v>
      </c>
      <c r="C9" s="3" t="s">
        <v>475</v>
      </c>
      <c r="D9" s="48" t="str">
        <f t="shared" si="7"/>
        <v>Firstname3 LASTNAME3</v>
      </c>
      <c r="E9" s="48" t="str">
        <f t="shared" si="8"/>
        <v>Firstname3 LASTNAME3</v>
      </c>
      <c r="F9" s="22"/>
      <c r="G9" s="30"/>
      <c r="H9" s="37" t="s">
        <v>32</v>
      </c>
      <c r="I9" s="37">
        <v>350340.0</v>
      </c>
      <c r="J9" s="37">
        <v>13438.0</v>
      </c>
      <c r="K9" s="38">
        <f t="shared" si="1"/>
        <v>0.0384</v>
      </c>
      <c r="L9" s="37">
        <f t="shared" si="2"/>
        <v>0.4807522072</v>
      </c>
      <c r="M9" s="40">
        <f t="shared" si="3"/>
        <v>2</v>
      </c>
      <c r="N9" s="40">
        <f t="shared" si="4"/>
        <v>7</v>
      </c>
      <c r="O9" s="40">
        <v>2.0</v>
      </c>
      <c r="P9" s="41"/>
      <c r="Q9" s="41"/>
      <c r="R9" s="41"/>
      <c r="S9" s="43" t="str">
        <f>IFERROR(__xludf.DUMMYFUNCTION("FILTER($H$3:$H$18, $O$3:$O$18 = INT(RIGHT(S8)))"),"Bosnia and Herzegovina")</f>
        <v>Bosnia and Herzegovina</v>
      </c>
      <c r="T9" s="41"/>
      <c r="U9" s="40"/>
      <c r="V9" s="41"/>
      <c r="W9" s="41"/>
      <c r="X9" s="41"/>
      <c r="Y9" s="41"/>
      <c r="Z9" s="41"/>
      <c r="AA9" s="41"/>
      <c r="AB9" s="41"/>
      <c r="AC9" s="41"/>
      <c r="AD9" s="41"/>
      <c r="AE9" s="41"/>
    </row>
    <row r="10" ht="15.75" customHeight="1">
      <c r="A10" s="45" t="str">
        <f t="shared" si="5"/>
        <v>Firstname4</v>
      </c>
      <c r="B10" s="45" t="str">
        <f t="shared" si="6"/>
        <v>LASTNAME4</v>
      </c>
      <c r="C10" s="3" t="s">
        <v>476</v>
      </c>
      <c r="D10" s="48" t="str">
        <f t="shared" si="7"/>
        <v>Firstname4 LASTNAME4</v>
      </c>
      <c r="E10" s="48" t="str">
        <f t="shared" si="8"/>
        <v>Firstname4 LASTNAME4</v>
      </c>
      <c r="F10" s="22"/>
      <c r="G10" s="30"/>
      <c r="H10" s="37" t="s">
        <v>64</v>
      </c>
      <c r="I10" s="37">
        <v>276416.0</v>
      </c>
      <c r="J10" s="37">
        <v>5996.0</v>
      </c>
      <c r="K10" s="38">
        <f t="shared" si="1"/>
        <v>0.0217</v>
      </c>
      <c r="L10" s="37">
        <f t="shared" si="2"/>
        <v>0.3232760006</v>
      </c>
      <c r="M10" s="40">
        <f t="shared" si="3"/>
        <v>3</v>
      </c>
      <c r="N10" s="40">
        <f t="shared" si="4"/>
        <v>9</v>
      </c>
      <c r="O10" s="40">
        <v>3.0</v>
      </c>
      <c r="P10" s="41"/>
      <c r="Q10" s="41"/>
      <c r="R10" s="41"/>
      <c r="S10" s="46" t="str">
        <f>IFERROR(__xludf.DUMMYFUNCTION("""COMPUTED_VALUE"""),"Bulgaria")</f>
        <v>Bulgaria</v>
      </c>
      <c r="T10" s="41"/>
      <c r="U10" s="40"/>
      <c r="V10" s="41"/>
      <c r="W10" s="41"/>
      <c r="X10" s="41"/>
      <c r="Y10" s="41"/>
      <c r="Z10" s="41"/>
      <c r="AA10" s="41"/>
      <c r="AB10" s="41"/>
      <c r="AC10" s="41"/>
      <c r="AD10" s="41"/>
      <c r="AE10" s="41"/>
    </row>
    <row r="11" ht="15.75" customHeight="1">
      <c r="A11" s="45" t="str">
        <f t="shared" si="5"/>
        <v>Firstname5</v>
      </c>
      <c r="B11" s="45" t="str">
        <f t="shared" si="6"/>
        <v>LASTNAME5</v>
      </c>
      <c r="C11" s="3" t="s">
        <v>477</v>
      </c>
      <c r="D11" s="48" t="str">
        <f t="shared" si="7"/>
        <v>Firstname5 LASTNAME5</v>
      </c>
      <c r="E11" s="48" t="str">
        <f t="shared" si="8"/>
        <v>Firstname5 LASTNAME5</v>
      </c>
      <c r="F11" s="22"/>
      <c r="G11" s="30"/>
      <c r="H11" s="37" t="s">
        <v>40</v>
      </c>
      <c r="I11" s="37">
        <v>1545865.0</v>
      </c>
      <c r="J11" s="37">
        <v>26765.0</v>
      </c>
      <c r="K11" s="38">
        <f t="shared" si="1"/>
        <v>0.0173</v>
      </c>
      <c r="L11" s="37">
        <f t="shared" si="2"/>
        <v>0.2837958467</v>
      </c>
      <c r="M11" s="40">
        <f t="shared" si="3"/>
        <v>8</v>
      </c>
      <c r="N11" s="40">
        <f t="shared" si="4"/>
        <v>10</v>
      </c>
      <c r="O11" s="40">
        <v>3.0</v>
      </c>
      <c r="P11" s="41"/>
      <c r="Q11" s="41"/>
      <c r="R11" s="41"/>
      <c r="S11" s="46" t="str">
        <f>IFERROR(__xludf.DUMMYFUNCTION("""COMPUTED_VALUE"""),"Estonia")</f>
        <v>Estonia</v>
      </c>
      <c r="T11" s="41"/>
      <c r="U11" s="40"/>
      <c r="V11" s="41"/>
      <c r="W11" s="41"/>
      <c r="X11" s="41"/>
      <c r="Y11" s="41"/>
      <c r="Z11" s="41"/>
      <c r="AA11" s="41"/>
      <c r="AB11" s="41"/>
      <c r="AC11" s="41"/>
      <c r="AD11" s="41"/>
      <c r="AE11" s="41"/>
    </row>
    <row r="12" ht="15.75" customHeight="1">
      <c r="A12" s="45" t="str">
        <f t="shared" si="5"/>
        <v>Firstname6</v>
      </c>
      <c r="B12" s="45" t="str">
        <f t="shared" si="6"/>
        <v>LASTNAME6</v>
      </c>
      <c r="C12" s="3" t="s">
        <v>478</v>
      </c>
      <c r="D12" s="48" t="str">
        <f t="shared" si="7"/>
        <v>Firstname6 LASTNAME6</v>
      </c>
      <c r="E12" s="48" t="str">
        <f t="shared" si="8"/>
        <v>Firstname6 LASTNAME6</v>
      </c>
      <c r="F12" s="22"/>
      <c r="G12" s="30"/>
      <c r="H12" s="37" t="s">
        <v>44</v>
      </c>
      <c r="I12" s="37">
        <v>232665.0</v>
      </c>
      <c r="J12" s="37">
        <v>2425.0</v>
      </c>
      <c r="K12" s="38">
        <f t="shared" si="1"/>
        <v>0.0104</v>
      </c>
      <c r="L12" s="37">
        <f t="shared" si="2"/>
        <v>0.9745267049</v>
      </c>
      <c r="M12" s="40">
        <f t="shared" si="3"/>
        <v>5</v>
      </c>
      <c r="N12" s="40">
        <f t="shared" si="4"/>
        <v>1</v>
      </c>
      <c r="O12" s="40">
        <v>1.0</v>
      </c>
      <c r="P12" s="41"/>
      <c r="Q12" s="41"/>
      <c r="R12" s="41"/>
      <c r="S12" s="47" t="str">
        <f>IFERROR(__xludf.DUMMYFUNCTION("""COMPUTED_VALUE"""),"Hungary")</f>
        <v>Hungary</v>
      </c>
      <c r="T12" s="41"/>
      <c r="U12" s="40"/>
      <c r="V12" s="41"/>
      <c r="W12" s="41"/>
      <c r="X12" s="41"/>
      <c r="Y12" s="41"/>
      <c r="Z12" s="41"/>
      <c r="AA12" s="41"/>
      <c r="AB12" s="41"/>
      <c r="AC12" s="41"/>
      <c r="AD12" s="41"/>
      <c r="AE12" s="41"/>
    </row>
    <row r="13" ht="15.75" customHeight="1">
      <c r="A13" s="45" t="str">
        <f t="shared" si="5"/>
        <v>Firstname7</v>
      </c>
      <c r="B13" s="45" t="str">
        <f t="shared" si="6"/>
        <v>LASTNAME7</v>
      </c>
      <c r="C13" s="3" t="s">
        <v>479</v>
      </c>
      <c r="D13" s="48" t="str">
        <f t="shared" si="7"/>
        <v>Firstname7 LASTNAME7</v>
      </c>
      <c r="E13" s="48" t="str">
        <f t="shared" si="8"/>
        <v>Firstname7 LASTNAME7</v>
      </c>
      <c r="F13" s="22"/>
      <c r="G13" s="30"/>
      <c r="H13" s="37" t="s">
        <v>48</v>
      </c>
      <c r="I13" s="37">
        <v>108418.0</v>
      </c>
      <c r="J13" s="37">
        <v>922.0</v>
      </c>
      <c r="K13" s="38">
        <f t="shared" si="1"/>
        <v>0.0085</v>
      </c>
      <c r="L13" s="37">
        <f t="shared" si="2"/>
        <v>0.4494944058</v>
      </c>
      <c r="M13" s="40">
        <f t="shared" si="3"/>
        <v>3</v>
      </c>
      <c r="N13" s="40">
        <f t="shared" si="4"/>
        <v>8</v>
      </c>
      <c r="O13" s="40">
        <v>2.0</v>
      </c>
      <c r="P13" s="41"/>
      <c r="Q13" s="41"/>
      <c r="R13" s="41"/>
      <c r="S13" s="37"/>
      <c r="T13" s="41"/>
      <c r="U13" s="40"/>
      <c r="V13" s="41"/>
      <c r="W13" s="41"/>
      <c r="X13" s="41"/>
      <c r="Y13" s="41"/>
      <c r="Z13" s="41"/>
      <c r="AA13" s="41"/>
      <c r="AB13" s="41"/>
      <c r="AC13" s="41"/>
      <c r="AD13" s="41"/>
      <c r="AE13" s="41"/>
    </row>
    <row r="14" ht="15.75" customHeight="1">
      <c r="A14" s="45" t="str">
        <f t="shared" si="5"/>
        <v>Firstname8</v>
      </c>
      <c r="B14" s="45" t="str">
        <f t="shared" si="6"/>
        <v>LASTNAME8</v>
      </c>
      <c r="C14" s="3" t="s">
        <v>480</v>
      </c>
      <c r="D14" s="48" t="str">
        <f t="shared" si="7"/>
        <v>Firstname8 LASTNAME8</v>
      </c>
      <c r="E14" s="48" t="str">
        <f t="shared" si="8"/>
        <v>Firstname8 LASTNAME8</v>
      </c>
      <c r="F14" s="22"/>
      <c r="G14" s="30"/>
      <c r="H14" s="37" t="s">
        <v>50</v>
      </c>
      <c r="I14" s="37">
        <v>78672.0</v>
      </c>
      <c r="J14" s="37">
        <v>846.0</v>
      </c>
      <c r="K14" s="38">
        <f t="shared" si="1"/>
        <v>0.0108</v>
      </c>
      <c r="L14" s="37">
        <f t="shared" si="2"/>
        <v>0.1941489208</v>
      </c>
      <c r="M14" s="40">
        <f t="shared" si="3"/>
        <v>6</v>
      </c>
      <c r="N14" s="40">
        <f t="shared" si="4"/>
        <v>13</v>
      </c>
      <c r="O14" s="40">
        <v>4.0</v>
      </c>
      <c r="P14" s="41"/>
      <c r="Q14" s="41"/>
      <c r="R14" s="41"/>
      <c r="S14" s="33" t="s">
        <v>481</v>
      </c>
      <c r="T14" s="41"/>
      <c r="U14" s="40"/>
      <c r="V14" s="41"/>
      <c r="W14" s="41"/>
      <c r="X14" s="41"/>
      <c r="Y14" s="41"/>
      <c r="Z14" s="41"/>
      <c r="AA14" s="41"/>
      <c r="AB14" s="41"/>
      <c r="AC14" s="41"/>
      <c r="AD14" s="41"/>
      <c r="AE14" s="41"/>
    </row>
    <row r="15" ht="15.75" customHeight="1">
      <c r="A15" s="45" t="str">
        <f t="shared" si="5"/>
        <v>Firstname9</v>
      </c>
      <c r="B15" s="45" t="str">
        <f t="shared" si="6"/>
        <v>LASTNAME9</v>
      </c>
      <c r="C15" s="3" t="s">
        <v>482</v>
      </c>
      <c r="D15" s="48" t="str">
        <f t="shared" si="7"/>
        <v>Firstname9 LASTNAME9</v>
      </c>
      <c r="E15" s="48" t="str">
        <f t="shared" si="8"/>
        <v>Firstname9 LASTNAME9</v>
      </c>
      <c r="F15" s="22"/>
      <c r="G15" s="30"/>
      <c r="H15" s="37" t="s">
        <v>52</v>
      </c>
      <c r="I15" s="37">
        <v>4802457.0</v>
      </c>
      <c r="J15" s="37">
        <v>96438.0</v>
      </c>
      <c r="K15" s="38">
        <f t="shared" si="1"/>
        <v>0.0201</v>
      </c>
      <c r="L15" s="37">
        <f t="shared" si="2"/>
        <v>0.1396195344</v>
      </c>
      <c r="M15" s="40">
        <f t="shared" si="3"/>
        <v>4</v>
      </c>
      <c r="N15" s="40">
        <f t="shared" si="4"/>
        <v>15</v>
      </c>
      <c r="O15" s="40">
        <v>4.0</v>
      </c>
      <c r="P15" s="41"/>
      <c r="Q15" s="41"/>
      <c r="R15" s="41"/>
      <c r="S15" s="43" t="str">
        <f>IFERROR(__xludf.DUMMYFUNCTION("FILTER($H$3:$H$18, $O$3:$O$18 = INT(RIGHT(S14)))"),"Austria")</f>
        <v>Austria</v>
      </c>
      <c r="T15" s="41"/>
      <c r="U15" s="40"/>
      <c r="V15" s="41"/>
      <c r="W15" s="41"/>
      <c r="X15" s="41"/>
      <c r="Y15" s="41"/>
      <c r="Z15" s="41"/>
      <c r="AA15" s="41"/>
      <c r="AB15" s="41"/>
      <c r="AC15" s="41"/>
      <c r="AD15" s="41"/>
      <c r="AE15" s="41"/>
    </row>
    <row r="16" ht="15.75" customHeight="1">
      <c r="A16" s="45" t="str">
        <f t="shared" si="5"/>
        <v>Firstname10</v>
      </c>
      <c r="B16" s="45" t="str">
        <f t="shared" si="6"/>
        <v>LASTNAME10</v>
      </c>
      <c r="C16" s="3" t="s">
        <v>483</v>
      </c>
      <c r="D16" s="48" t="str">
        <f t="shared" si="7"/>
        <v>Firstname10 LASTNAME10</v>
      </c>
      <c r="E16" s="48" t="str">
        <f t="shared" si="8"/>
        <v>Firstname10 LASTNAME10</v>
      </c>
      <c r="F16" s="22"/>
      <c r="G16" s="30"/>
      <c r="H16" s="37" t="s">
        <v>42</v>
      </c>
      <c r="I16" s="37">
        <v>2882356.0</v>
      </c>
      <c r="J16" s="37">
        <v>76940.0</v>
      </c>
      <c r="K16" s="38">
        <f t="shared" si="1"/>
        <v>0.0267</v>
      </c>
      <c r="L16" s="37">
        <f t="shared" si="2"/>
        <v>0.1964754851</v>
      </c>
      <c r="M16" s="40">
        <f t="shared" si="3"/>
        <v>9</v>
      </c>
      <c r="N16" s="40">
        <f t="shared" si="4"/>
        <v>12</v>
      </c>
      <c r="O16" s="40">
        <v>3.0</v>
      </c>
      <c r="P16" s="41"/>
      <c r="Q16" s="41"/>
      <c r="R16" s="41"/>
      <c r="S16" s="46" t="str">
        <f>IFERROR(__xludf.DUMMYFUNCTION("""COMPUTED_VALUE"""),"Croatia")</f>
        <v>Croatia</v>
      </c>
      <c r="T16" s="41"/>
      <c r="U16" s="40"/>
      <c r="V16" s="41"/>
      <c r="W16" s="41"/>
      <c r="X16" s="41"/>
      <c r="Y16" s="41"/>
      <c r="Z16" s="41"/>
      <c r="AA16" s="41"/>
      <c r="AB16" s="41"/>
      <c r="AC16" s="41"/>
      <c r="AD16" s="41"/>
      <c r="AE16" s="41"/>
    </row>
    <row r="17" ht="15.75" customHeight="1">
      <c r="A17" s="49"/>
      <c r="B17" s="3"/>
      <c r="C17" s="49"/>
      <c r="D17" s="2"/>
      <c r="E17" s="2"/>
      <c r="F17" s="22"/>
      <c r="G17" s="30"/>
      <c r="H17" s="37" t="s">
        <v>62</v>
      </c>
      <c r="I17" s="37">
        <v>270230.0</v>
      </c>
      <c r="J17" s="37">
        <v>8232.0</v>
      </c>
      <c r="K17" s="38">
        <f t="shared" si="1"/>
        <v>0.0305</v>
      </c>
      <c r="L17" s="37">
        <f t="shared" si="2"/>
        <v>0.1786596986</v>
      </c>
      <c r="M17" s="40">
        <f t="shared" si="3"/>
        <v>4</v>
      </c>
      <c r="N17" s="40">
        <f t="shared" si="4"/>
        <v>14</v>
      </c>
      <c r="O17" s="40">
        <v>4.0</v>
      </c>
      <c r="P17" s="41"/>
      <c r="Q17" s="41"/>
      <c r="R17" s="41"/>
      <c r="S17" s="46" t="str">
        <f>IFERROR(__xludf.DUMMYFUNCTION("""COMPUTED_VALUE"""),"Czechia")</f>
        <v>Czechia</v>
      </c>
      <c r="T17" s="41"/>
      <c r="U17" s="40"/>
      <c r="V17" s="41"/>
      <c r="W17" s="41"/>
      <c r="X17" s="41"/>
      <c r="Y17" s="41"/>
      <c r="Z17" s="41"/>
      <c r="AA17" s="41"/>
      <c r="AB17" s="41"/>
      <c r="AC17" s="41"/>
      <c r="AD17" s="41"/>
      <c r="AE17" s="41"/>
    </row>
    <row r="18" ht="15.75" customHeight="1">
      <c r="A18" s="49"/>
      <c r="B18" s="49"/>
      <c r="C18" s="3"/>
      <c r="D18" s="2"/>
      <c r="E18" s="2"/>
      <c r="F18" s="22"/>
      <c r="G18" s="30"/>
      <c r="H18" s="37" t="s">
        <v>66</v>
      </c>
      <c r="I18" s="37">
        <v>670776.0</v>
      </c>
      <c r="J18" s="37">
        <v>21262.0</v>
      </c>
      <c r="K18" s="38">
        <f t="shared" si="1"/>
        <v>0.0317</v>
      </c>
      <c r="L18" s="37">
        <f t="shared" si="2"/>
        <v>0.5983014941</v>
      </c>
      <c r="M18" s="40">
        <f t="shared" si="3"/>
        <v>1</v>
      </c>
      <c r="N18" s="40">
        <f t="shared" si="4"/>
        <v>6</v>
      </c>
      <c r="O18" s="40">
        <v>2.0</v>
      </c>
      <c r="P18" s="41"/>
      <c r="Q18" s="41"/>
      <c r="R18" s="41"/>
      <c r="S18" s="47" t="str">
        <f>IFERROR(__xludf.DUMMYFUNCTION("""COMPUTED_VALUE"""),"Germany")</f>
        <v>Germany</v>
      </c>
      <c r="T18" s="41"/>
      <c r="U18" s="40"/>
      <c r="V18" s="41"/>
      <c r="W18" s="41"/>
      <c r="X18" s="41"/>
      <c r="Y18" s="41"/>
      <c r="Z18" s="41"/>
      <c r="AA18" s="41"/>
      <c r="AB18" s="41"/>
      <c r="AC18" s="41"/>
      <c r="AD18" s="41"/>
      <c r="AE18" s="41"/>
    </row>
    <row r="19" ht="15.75" customHeight="1">
      <c r="A19" s="49"/>
      <c r="B19" s="3"/>
      <c r="C19" s="3" t="s">
        <v>484</v>
      </c>
      <c r="D19" s="19" t="str">
        <f>IFERROR(__xludf.DUMMYFUNCTION("TRANSPOSE( SPLIT(C19,"", "", TRUE, TRUE))"),"year")</f>
        <v>year</v>
      </c>
      <c r="E19" s="2"/>
      <c r="F19" s="22"/>
      <c r="G19" s="30"/>
      <c r="H19" s="37" t="s">
        <v>72</v>
      </c>
      <c r="I19" s="37">
        <v>6205.0</v>
      </c>
      <c r="J19" s="37">
        <v>29.0</v>
      </c>
      <c r="K19" s="38">
        <f t="shared" si="1"/>
        <v>0.0047</v>
      </c>
      <c r="L19" s="37">
        <f t="shared" si="2"/>
        <v>0.4095102798</v>
      </c>
      <c r="M19" s="40">
        <f t="shared" si="3"/>
        <v>6</v>
      </c>
      <c r="N19" s="40"/>
      <c r="O19" s="40"/>
      <c r="P19" s="41"/>
      <c r="Q19" s="41"/>
      <c r="R19" s="41"/>
      <c r="S19" s="2"/>
      <c r="T19" s="41"/>
      <c r="U19" s="40"/>
      <c r="V19" s="41"/>
      <c r="W19" s="41"/>
      <c r="X19" s="41"/>
      <c r="Y19" s="41"/>
      <c r="Z19" s="41"/>
      <c r="AA19" s="41"/>
      <c r="AB19" s="41"/>
      <c r="AC19" s="41"/>
      <c r="AD19" s="41"/>
      <c r="AE19" s="41"/>
    </row>
    <row r="20" ht="15.75" customHeight="1">
      <c r="A20" s="3"/>
      <c r="B20" s="3"/>
      <c r="C20" s="3"/>
      <c r="D20" s="2" t="str">
        <f>IFERROR(__xludf.DUMMYFUNCTION("""COMPUTED_VALUE"""),"week")</f>
        <v>week</v>
      </c>
      <c r="E20" s="2"/>
      <c r="F20" s="2"/>
      <c r="G20" s="16"/>
      <c r="H20" s="37" t="s">
        <v>70</v>
      </c>
      <c r="I20" s="37">
        <v>237187.0</v>
      </c>
      <c r="J20" s="37">
        <v>4713.0</v>
      </c>
      <c r="K20" s="38">
        <f t="shared" si="1"/>
        <v>0.0199</v>
      </c>
      <c r="L20" s="37">
        <f t="shared" si="2"/>
        <v>0.4324718264</v>
      </c>
      <c r="M20" s="40">
        <f t="shared" si="3"/>
        <v>8</v>
      </c>
      <c r="N20" s="40"/>
      <c r="O20" s="40"/>
      <c r="P20" s="41"/>
      <c r="Q20" s="41"/>
      <c r="R20" s="41"/>
      <c r="S20" s="33" t="s">
        <v>485</v>
      </c>
      <c r="T20" s="41"/>
      <c r="U20" s="40"/>
      <c r="V20" s="41"/>
      <c r="W20" s="41"/>
      <c r="X20" s="41"/>
      <c r="Y20" s="41"/>
      <c r="Z20" s="41"/>
      <c r="AA20" s="41"/>
      <c r="AB20" s="41"/>
      <c r="AC20" s="41"/>
      <c r="AD20" s="41"/>
      <c r="AE20" s="41"/>
    </row>
    <row r="21" ht="15.75" customHeight="1">
      <c r="A21" s="3"/>
      <c r="B21" s="3"/>
      <c r="C21" s="3"/>
      <c r="D21" s="2" t="str">
        <f>IFERROR(__xludf.DUMMYFUNCTION("""COMPUTED_VALUE"""),"day")</f>
        <v>day</v>
      </c>
      <c r="E21" s="2"/>
      <c r="F21" s="2"/>
      <c r="G21" s="16"/>
      <c r="H21" s="3" t="s">
        <v>74</v>
      </c>
      <c r="I21" s="3">
        <v>3629000.0</v>
      </c>
      <c r="J21" s="3">
        <v>110328.0</v>
      </c>
      <c r="K21" s="38">
        <f t="shared" si="1"/>
        <v>0.0304</v>
      </c>
      <c r="L21" s="37">
        <f t="shared" si="2"/>
        <v>0.3631403381</v>
      </c>
      <c r="M21" s="40">
        <f t="shared" si="3"/>
        <v>3</v>
      </c>
      <c r="N21" s="40"/>
      <c r="O21" s="40"/>
      <c r="P21" s="41"/>
      <c r="Q21" s="41"/>
      <c r="R21" s="41"/>
      <c r="S21" s="43" t="str">
        <f>IFERROR(__xludf.DUMMYFUNCTION("FILTER($H$3:$H$18, $O$3:$O$18 = INT(RIGHT(S20)))"),"Andorra")</f>
        <v>Andorra</v>
      </c>
      <c r="T21" s="41"/>
      <c r="U21" s="40"/>
      <c r="V21" s="41"/>
      <c r="W21" s="41"/>
      <c r="X21" s="41"/>
      <c r="Y21" s="41"/>
      <c r="Z21" s="41"/>
      <c r="AA21" s="41"/>
      <c r="AB21" s="41"/>
      <c r="AC21" s="41"/>
      <c r="AD21" s="41"/>
      <c r="AE21" s="41"/>
    </row>
    <row r="22" ht="15.75" customHeight="1">
      <c r="A22" s="3"/>
      <c r="B22" s="3"/>
      <c r="C22" s="3"/>
      <c r="D22" s="2" t="str">
        <f>IFERROR(__xludf.DUMMYFUNCTION("""COMPUTED_VALUE"""),"hour")</f>
        <v>hour</v>
      </c>
      <c r="E22" s="2"/>
      <c r="F22" s="2"/>
      <c r="G22" s="16"/>
      <c r="H22" s="3" t="s">
        <v>286</v>
      </c>
      <c r="I22" s="3">
        <v>91079.0</v>
      </c>
      <c r="J22" s="3">
        <v>1892.0</v>
      </c>
      <c r="K22" s="38">
        <f t="shared" si="1"/>
        <v>0.0208</v>
      </c>
      <c r="L22" s="37">
        <f t="shared" si="2"/>
        <v>0.00333621652</v>
      </c>
      <c r="M22" s="40">
        <f t="shared" si="3"/>
        <v>2</v>
      </c>
      <c r="N22" s="40"/>
      <c r="O22" s="40"/>
      <c r="P22" s="41"/>
      <c r="Q22" s="41"/>
      <c r="R22" s="41"/>
      <c r="S22" s="46" t="str">
        <f>IFERROR(__xludf.DUMMYFUNCTION("""COMPUTED_VALUE"""),"Finland")</f>
        <v>Finland</v>
      </c>
      <c r="T22" s="41"/>
      <c r="U22" s="40"/>
      <c r="V22" s="41"/>
      <c r="W22" s="41"/>
      <c r="X22" s="41"/>
      <c r="Y22" s="41"/>
      <c r="Z22" s="41"/>
      <c r="AA22" s="41"/>
      <c r="AB22" s="41"/>
      <c r="AC22" s="41"/>
      <c r="AD22" s="41"/>
      <c r="AE22" s="41"/>
    </row>
    <row r="23" ht="15.0" customHeight="1">
      <c r="C23" s="50" t="s">
        <v>486</v>
      </c>
      <c r="D23" s="24" t="str">
        <f>TRIM(C23)</f>
        <v>Paul Clarusway</v>
      </c>
      <c r="G23" s="16"/>
      <c r="H23" s="3" t="s">
        <v>84</v>
      </c>
      <c r="I23" s="3">
        <v>103588.0</v>
      </c>
      <c r="J23" s="3">
        <v>1922.0</v>
      </c>
      <c r="K23" s="38">
        <f t="shared" si="1"/>
        <v>0.0186</v>
      </c>
      <c r="L23" s="37">
        <f t="shared" si="2"/>
        <v>0.3491129088</v>
      </c>
      <c r="M23" s="40">
        <f t="shared" si="3"/>
        <v>3</v>
      </c>
      <c r="N23" s="40"/>
      <c r="O23" s="40"/>
      <c r="P23" s="41"/>
      <c r="Q23" s="41"/>
      <c r="R23" s="41"/>
      <c r="S23" s="46" t="str">
        <f>IFERROR(__xludf.DUMMYFUNCTION("""COMPUTED_VALUE"""),"France")</f>
        <v>France</v>
      </c>
      <c r="T23" s="41"/>
      <c r="U23" s="40"/>
      <c r="V23" s="41"/>
      <c r="W23" s="41"/>
      <c r="X23" s="41"/>
      <c r="Y23" s="41"/>
      <c r="Z23" s="41"/>
      <c r="AA23" s="41"/>
      <c r="AB23" s="41"/>
      <c r="AC23" s="41"/>
      <c r="AD23" s="41"/>
      <c r="AE23" s="41"/>
    </row>
    <row r="24" ht="15.0" customHeight="1">
      <c r="A24" s="51"/>
      <c r="B24" s="51"/>
      <c r="C24" s="51"/>
      <c r="D24" s="16"/>
      <c r="E24" s="16"/>
      <c r="F24" s="16"/>
      <c r="G24" s="16"/>
      <c r="H24" s="3" t="s">
        <v>78</v>
      </c>
      <c r="I24" s="3">
        <v>2678.0</v>
      </c>
      <c r="J24" s="3">
        <v>56.0</v>
      </c>
      <c r="K24" s="38">
        <f t="shared" si="1"/>
        <v>0.0209</v>
      </c>
      <c r="L24" s="37">
        <f t="shared" si="2"/>
        <v>0.9102421411</v>
      </c>
      <c r="M24" s="40">
        <f t="shared" si="3"/>
        <v>4</v>
      </c>
      <c r="N24" s="40"/>
      <c r="O24" s="40"/>
      <c r="P24" s="41"/>
      <c r="Q24" s="37"/>
      <c r="R24" s="41"/>
      <c r="S24" s="52" t="str">
        <f>IFERROR(__xludf.DUMMYFUNCTION("""COMPUTED_VALUE"""),"Greece")</f>
        <v>Greece</v>
      </c>
      <c r="T24" s="41"/>
      <c r="U24" s="40"/>
      <c r="V24" s="41"/>
      <c r="W24" s="41"/>
      <c r="X24" s="41"/>
      <c r="Y24" s="41"/>
      <c r="Z24" s="41"/>
      <c r="AA24" s="41"/>
      <c r="AB24" s="41"/>
      <c r="AC24" s="41"/>
      <c r="AD24" s="41"/>
      <c r="AE24" s="41"/>
    </row>
    <row r="25" ht="15.0" customHeight="1">
      <c r="A25" s="27" t="s">
        <v>487</v>
      </c>
      <c r="B25" s="53"/>
      <c r="C25" s="53"/>
      <c r="D25" s="54"/>
      <c r="E25" s="2"/>
      <c r="F25" s="2"/>
      <c r="G25" s="16"/>
      <c r="H25" s="3" t="s">
        <v>80</v>
      </c>
      <c r="I25" s="3">
        <v>217865.0</v>
      </c>
      <c r="J25" s="3">
        <v>3594.0</v>
      </c>
      <c r="K25" s="38">
        <f t="shared" si="1"/>
        <v>0.0165</v>
      </c>
      <c r="L25" s="37">
        <f t="shared" si="2"/>
        <v>0.7105577081</v>
      </c>
      <c r="M25" s="40">
        <f t="shared" si="3"/>
        <v>3</v>
      </c>
      <c r="N25" s="40"/>
      <c r="O25" s="40"/>
      <c r="P25" s="41"/>
      <c r="Q25" s="41"/>
      <c r="R25" s="41"/>
      <c r="S25" s="41"/>
      <c r="T25" s="41"/>
      <c r="U25" s="40"/>
      <c r="V25" s="41"/>
      <c r="W25" s="41"/>
      <c r="X25" s="41"/>
      <c r="Y25" s="41"/>
      <c r="Z25" s="41"/>
      <c r="AA25" s="41"/>
      <c r="AB25" s="41"/>
      <c r="AC25" s="41"/>
      <c r="AD25" s="41"/>
      <c r="AE25" s="41"/>
    </row>
    <row r="26" ht="15.0" customHeight="1">
      <c r="A26" s="3"/>
      <c r="B26" s="3"/>
      <c r="C26" s="3"/>
      <c r="D26" s="2"/>
      <c r="E26" s="2"/>
      <c r="F26" s="2"/>
      <c r="G26" s="16"/>
      <c r="H26" s="3" t="s">
        <v>82</v>
      </c>
      <c r="I26" s="3">
        <v>62105.0</v>
      </c>
      <c r="J26" s="3">
        <v>750.0</v>
      </c>
      <c r="K26" s="38">
        <f t="shared" si="1"/>
        <v>0.0121</v>
      </c>
      <c r="L26" s="37">
        <f t="shared" si="2"/>
        <v>0.4308706186</v>
      </c>
      <c r="M26" s="40">
        <f t="shared" si="3"/>
        <v>5</v>
      </c>
      <c r="N26" s="40"/>
      <c r="O26" s="40"/>
      <c r="P26" s="41"/>
      <c r="Q26" s="41"/>
      <c r="R26" s="41"/>
      <c r="S26" s="41"/>
      <c r="T26" s="41"/>
      <c r="U26" s="40"/>
      <c r="V26" s="41"/>
      <c r="W26" s="41"/>
      <c r="X26" s="41"/>
      <c r="Y26" s="41"/>
      <c r="Z26" s="41"/>
      <c r="AA26" s="41"/>
      <c r="AB26" s="41"/>
      <c r="AC26" s="41"/>
      <c r="AD26" s="41"/>
      <c r="AE26" s="41"/>
    </row>
    <row r="27" ht="15.0" customHeight="1">
      <c r="A27" s="39" t="s">
        <v>488</v>
      </c>
      <c r="B27" s="39" t="s">
        <v>489</v>
      </c>
      <c r="C27" s="3"/>
      <c r="D27" s="2"/>
      <c r="E27" s="2"/>
      <c r="F27" s="2"/>
      <c r="G27" s="16"/>
      <c r="H27" s="3" t="s">
        <v>92</v>
      </c>
      <c r="I27" s="3">
        <v>29127.0</v>
      </c>
      <c r="J27" s="3">
        <v>395.0</v>
      </c>
      <c r="K27" s="38">
        <f t="shared" si="1"/>
        <v>0.0136</v>
      </c>
      <c r="L27" s="37">
        <f t="shared" si="2"/>
        <v>0.9042527776</v>
      </c>
      <c r="M27" s="40">
        <f t="shared" si="3"/>
        <v>5</v>
      </c>
      <c r="N27" s="40"/>
      <c r="O27" s="40"/>
      <c r="P27" s="41"/>
      <c r="Q27" s="41"/>
      <c r="R27" s="41"/>
      <c r="S27" s="41"/>
      <c r="T27" s="41"/>
      <c r="U27" s="40"/>
      <c r="V27" s="41"/>
      <c r="W27" s="41"/>
      <c r="X27" s="41"/>
      <c r="Y27" s="41"/>
      <c r="Z27" s="41"/>
      <c r="AA27" s="41"/>
      <c r="AB27" s="41"/>
      <c r="AC27" s="41"/>
      <c r="AD27" s="41"/>
      <c r="AE27" s="41"/>
    </row>
    <row r="28" ht="15.0" customHeight="1">
      <c r="A28" s="55">
        <f>TODAY()</f>
        <v>45404</v>
      </c>
      <c r="B28" s="56">
        <f>NOW()</f>
        <v>45404.13092</v>
      </c>
      <c r="C28" s="3"/>
      <c r="D28" s="3"/>
      <c r="E28" s="2"/>
      <c r="F28" s="2"/>
      <c r="G28" s="16"/>
      <c r="H28" s="3" t="s">
        <v>88</v>
      </c>
      <c r="I28" s="3">
        <v>233136.0</v>
      </c>
      <c r="J28" s="3">
        <v>5048.0</v>
      </c>
      <c r="K28" s="38">
        <f t="shared" si="1"/>
        <v>0.0217</v>
      </c>
      <c r="L28" s="37">
        <f t="shared" si="2"/>
        <v>0.4132244366</v>
      </c>
      <c r="M28" s="40">
        <f t="shared" si="3"/>
        <v>4</v>
      </c>
      <c r="N28" s="40"/>
      <c r="O28" s="40"/>
      <c r="P28" s="41"/>
      <c r="Q28" s="41"/>
      <c r="R28" s="41"/>
      <c r="S28" s="41"/>
      <c r="T28" s="41"/>
      <c r="U28" s="40"/>
      <c r="V28" s="41"/>
      <c r="W28" s="41"/>
      <c r="X28" s="41"/>
      <c r="Y28" s="41"/>
      <c r="Z28" s="41"/>
      <c r="AA28" s="41"/>
      <c r="AB28" s="41"/>
      <c r="AC28" s="41"/>
      <c r="AD28" s="41"/>
      <c r="AE28" s="41"/>
    </row>
    <row r="29" ht="15.0" customHeight="1">
      <c r="A29" s="3"/>
      <c r="B29" s="3"/>
      <c r="C29" s="3"/>
      <c r="D29" s="2"/>
      <c r="E29" s="2"/>
      <c r="F29" s="2"/>
      <c r="G29" s="16"/>
      <c r="H29" s="3" t="s">
        <v>86</v>
      </c>
      <c r="I29" s="3">
        <v>2320.0</v>
      </c>
      <c r="J29" s="3">
        <v>28.0</v>
      </c>
      <c r="K29" s="38">
        <f t="shared" si="1"/>
        <v>0.0121</v>
      </c>
      <c r="L29" s="37">
        <f t="shared" si="2"/>
        <v>0.4835890469</v>
      </c>
      <c r="M29" s="40">
        <f t="shared" si="3"/>
        <v>7</v>
      </c>
      <c r="N29" s="40"/>
      <c r="O29" s="40"/>
      <c r="P29" s="41"/>
      <c r="Q29" s="41"/>
      <c r="R29" s="41"/>
      <c r="S29" s="41"/>
      <c r="T29" s="41"/>
      <c r="U29" s="40"/>
      <c r="V29" s="41"/>
      <c r="W29" s="41"/>
      <c r="X29" s="41"/>
      <c r="Y29" s="41"/>
      <c r="Z29" s="41"/>
      <c r="AA29" s="41"/>
      <c r="AB29" s="41"/>
      <c r="AC29" s="41"/>
      <c r="AD29" s="41"/>
      <c r="AE29" s="41"/>
    </row>
    <row r="30">
      <c r="A30" s="3" t="s">
        <v>490</v>
      </c>
      <c r="B30" s="57">
        <f>WEEKDAY(A28, 2)</f>
        <v>1</v>
      </c>
      <c r="C30" s="58">
        <f>TODAY()</f>
        <v>45404</v>
      </c>
      <c r="D30" s="59">
        <f>NOW()</f>
        <v>45404.13092</v>
      </c>
      <c r="E30" s="2"/>
      <c r="F30" s="2"/>
      <c r="G30" s="16"/>
      <c r="H30" s="3" t="s">
        <v>94</v>
      </c>
      <c r="I30" s="3">
        <v>91906.0</v>
      </c>
      <c r="J30" s="3">
        <v>1296.0</v>
      </c>
      <c r="K30" s="38">
        <f t="shared" si="1"/>
        <v>0.0141</v>
      </c>
      <c r="L30" s="37">
        <f t="shared" si="2"/>
        <v>0.4447421874</v>
      </c>
      <c r="M30" s="40">
        <f t="shared" si="3"/>
        <v>2</v>
      </c>
      <c r="N30" s="40"/>
      <c r="O30" s="40"/>
      <c r="P30" s="41"/>
      <c r="Q30" s="41"/>
      <c r="R30" s="41"/>
      <c r="S30" s="41"/>
      <c r="T30" s="41"/>
      <c r="U30" s="40"/>
      <c r="V30" s="41"/>
      <c r="W30" s="41"/>
      <c r="X30" s="41"/>
      <c r="Y30" s="41"/>
      <c r="Z30" s="41"/>
      <c r="AA30" s="41"/>
      <c r="AB30" s="41"/>
      <c r="AC30" s="41"/>
      <c r="AD30" s="41"/>
      <c r="AE30" s="41"/>
    </row>
    <row r="31">
      <c r="A31" s="3" t="s">
        <v>491</v>
      </c>
      <c r="B31" s="57">
        <f>DAY(A28)</f>
        <v>22</v>
      </c>
      <c r="C31" s="60"/>
      <c r="D31" s="2"/>
      <c r="E31" s="2"/>
      <c r="F31" s="2"/>
      <c r="G31" s="16"/>
      <c r="H31" s="3" t="s">
        <v>96</v>
      </c>
      <c r="I31" s="3">
        <v>1308774.0</v>
      </c>
      <c r="J31" s="3">
        <v>16733.0</v>
      </c>
      <c r="K31" s="38">
        <f t="shared" si="1"/>
        <v>0.0128</v>
      </c>
      <c r="L31" s="37">
        <f t="shared" si="2"/>
        <v>0.4647230761</v>
      </c>
      <c r="M31" s="40">
        <f t="shared" si="3"/>
        <v>10</v>
      </c>
      <c r="N31" s="40"/>
      <c r="O31" s="40"/>
      <c r="P31" s="41"/>
      <c r="Q31" s="41"/>
      <c r="R31" s="41"/>
      <c r="S31" s="41"/>
      <c r="T31" s="41"/>
      <c r="U31" s="40"/>
      <c r="V31" s="41"/>
      <c r="W31" s="41"/>
      <c r="X31" s="41"/>
      <c r="Y31" s="41"/>
      <c r="Z31" s="41"/>
      <c r="AA31" s="41"/>
      <c r="AB31" s="41"/>
      <c r="AC31" s="41"/>
      <c r="AD31" s="41"/>
      <c r="AE31" s="41"/>
    </row>
    <row r="32">
      <c r="A32" s="3" t="s">
        <v>492</v>
      </c>
      <c r="B32" s="57">
        <f>MONTH(A28)</f>
        <v>4</v>
      </c>
      <c r="C32" s="60"/>
      <c r="D32" s="3"/>
      <c r="E32" s="2"/>
      <c r="F32" s="2"/>
      <c r="G32" s="16"/>
      <c r="H32" s="3" t="s">
        <v>90</v>
      </c>
      <c r="I32" s="3">
        <v>132740.0</v>
      </c>
      <c r="J32" s="3">
        <v>3860.0</v>
      </c>
      <c r="K32" s="38">
        <f t="shared" si="1"/>
        <v>0.0291</v>
      </c>
      <c r="L32" s="37">
        <f t="shared" si="2"/>
        <v>0.8112463937</v>
      </c>
      <c r="M32" s="40">
        <f t="shared" si="3"/>
        <v>5</v>
      </c>
      <c r="N32" s="40"/>
      <c r="O32" s="40"/>
      <c r="P32" s="41"/>
      <c r="Q32" s="41"/>
      <c r="R32" s="41"/>
      <c r="S32" s="41"/>
      <c r="T32" s="41"/>
      <c r="U32" s="40"/>
      <c r="V32" s="41"/>
      <c r="W32" s="41"/>
      <c r="X32" s="41"/>
      <c r="Y32" s="41"/>
      <c r="Z32" s="41"/>
      <c r="AA32" s="41"/>
      <c r="AB32" s="41"/>
      <c r="AC32" s="41"/>
      <c r="AD32" s="41"/>
      <c r="AE32" s="41"/>
    </row>
    <row r="33">
      <c r="A33" s="3" t="s">
        <v>493</v>
      </c>
      <c r="B33" s="61">
        <f>YEAR(A28)</f>
        <v>2024</v>
      </c>
      <c r="C33" s="62"/>
      <c r="D33" s="2"/>
      <c r="E33" s="2"/>
      <c r="F33" s="2"/>
      <c r="G33" s="16"/>
      <c r="H33" s="3" t="s">
        <v>98</v>
      </c>
      <c r="I33" s="3">
        <v>97410.0</v>
      </c>
      <c r="J33" s="3">
        <v>673.0</v>
      </c>
      <c r="K33" s="38">
        <f t="shared" si="1"/>
        <v>0.0069</v>
      </c>
      <c r="L33" s="37">
        <f t="shared" si="2"/>
        <v>0.9451424276</v>
      </c>
      <c r="M33" s="40">
        <f t="shared" si="3"/>
        <v>10</v>
      </c>
      <c r="N33" s="40"/>
      <c r="O33" s="40"/>
      <c r="P33" s="41"/>
      <c r="Q33" s="41"/>
      <c r="R33" s="41"/>
      <c r="S33" s="41"/>
      <c r="T33" s="41"/>
      <c r="U33" s="40"/>
      <c r="V33" s="41"/>
      <c r="W33" s="41"/>
      <c r="X33" s="41"/>
      <c r="Y33" s="41"/>
      <c r="Z33" s="41"/>
      <c r="AA33" s="41"/>
      <c r="AB33" s="41"/>
      <c r="AC33" s="41"/>
      <c r="AD33" s="41"/>
      <c r="AE33" s="41"/>
    </row>
    <row r="34">
      <c r="A34" s="3" t="s">
        <v>494</v>
      </c>
      <c r="B34" s="63">
        <f>EDATE(A28,3)</f>
        <v>45495</v>
      </c>
      <c r="C34" s="63">
        <f>edate(A28,-5)</f>
        <v>45252</v>
      </c>
      <c r="D34" s="2"/>
      <c r="E34" s="2"/>
      <c r="F34" s="2"/>
      <c r="G34" s="16"/>
      <c r="H34" s="3" t="s">
        <v>100</v>
      </c>
      <c r="I34" s="3">
        <v>2387511.0</v>
      </c>
      <c r="J34" s="3">
        <v>54165.0</v>
      </c>
      <c r="K34" s="38">
        <f t="shared" si="1"/>
        <v>0.0227</v>
      </c>
      <c r="L34" s="37">
        <f t="shared" si="2"/>
        <v>0.2297828787</v>
      </c>
      <c r="M34" s="40">
        <f t="shared" si="3"/>
        <v>1</v>
      </c>
      <c r="N34" s="40"/>
      <c r="O34" s="40"/>
      <c r="P34" s="41"/>
      <c r="Q34" s="41"/>
      <c r="R34" s="41"/>
      <c r="S34" s="41"/>
      <c r="T34" s="41"/>
      <c r="U34" s="40"/>
      <c r="V34" s="41"/>
      <c r="W34" s="41"/>
      <c r="X34" s="41"/>
      <c r="Y34" s="41"/>
      <c r="Z34" s="41"/>
      <c r="AA34" s="41"/>
      <c r="AB34" s="41"/>
      <c r="AC34" s="41"/>
      <c r="AD34" s="41"/>
      <c r="AE34" s="41"/>
    </row>
    <row r="35">
      <c r="A35" s="3" t="s">
        <v>495</v>
      </c>
      <c r="B35" s="63">
        <f>EOMONTH(A28,2)</f>
        <v>45473</v>
      </c>
      <c r="C35" s="63">
        <f>EOMONTH(A28,-5)</f>
        <v>45260</v>
      </c>
      <c r="D35" s="2">
        <f>EOMONTH(A28,0) - A28</f>
        <v>8</v>
      </c>
      <c r="E35" s="2"/>
      <c r="F35" s="2"/>
      <c r="G35" s="16"/>
      <c r="H35" s="3" t="s">
        <v>102</v>
      </c>
      <c r="I35" s="3">
        <v>822862.0</v>
      </c>
      <c r="J35" s="3">
        <v>16868.0</v>
      </c>
      <c r="K35" s="38">
        <f t="shared" si="1"/>
        <v>0.0205</v>
      </c>
      <c r="L35" s="37">
        <f t="shared" si="2"/>
        <v>0.985779373</v>
      </c>
      <c r="M35" s="40">
        <f t="shared" si="3"/>
        <v>7</v>
      </c>
      <c r="N35" s="40"/>
      <c r="O35" s="40"/>
      <c r="P35" s="41"/>
      <c r="Q35" s="41"/>
      <c r="R35" s="41"/>
      <c r="S35" s="41"/>
      <c r="T35" s="41"/>
      <c r="U35" s="40"/>
      <c r="V35" s="41"/>
      <c r="W35" s="41"/>
      <c r="X35" s="41"/>
      <c r="Y35" s="41"/>
      <c r="Z35" s="41"/>
      <c r="AA35" s="41"/>
      <c r="AB35" s="41"/>
      <c r="AC35" s="41"/>
      <c r="AD35" s="41"/>
      <c r="AE35" s="41"/>
    </row>
    <row r="36">
      <c r="A36" s="3"/>
      <c r="B36" s="3"/>
      <c r="C36" s="64"/>
      <c r="D36" s="2"/>
      <c r="E36" s="2"/>
      <c r="F36" s="2"/>
      <c r="G36" s="16"/>
      <c r="H36" s="3" t="s">
        <v>104</v>
      </c>
      <c r="I36" s="3">
        <v>964726.0</v>
      </c>
      <c r="J36" s="3">
        <v>23819.0</v>
      </c>
      <c r="K36" s="38">
        <f t="shared" si="1"/>
        <v>0.0247</v>
      </c>
      <c r="L36" s="37">
        <f t="shared" si="2"/>
        <v>0.5310316961</v>
      </c>
      <c r="M36" s="40">
        <f t="shared" si="3"/>
        <v>10</v>
      </c>
      <c r="N36" s="40"/>
      <c r="O36" s="40"/>
      <c r="P36" s="41"/>
      <c r="Q36" s="41"/>
      <c r="R36" s="41"/>
      <c r="S36" s="41"/>
      <c r="T36" s="41"/>
      <c r="U36" s="40"/>
      <c r="V36" s="41"/>
      <c r="W36" s="41"/>
      <c r="X36" s="41"/>
      <c r="Y36" s="41"/>
      <c r="Z36" s="41"/>
      <c r="AA36" s="41"/>
      <c r="AB36" s="41"/>
      <c r="AC36" s="41"/>
      <c r="AD36" s="41"/>
      <c r="AE36" s="41"/>
    </row>
    <row r="37">
      <c r="A37" s="3"/>
      <c r="B37" s="3"/>
      <c r="C37" s="3"/>
      <c r="D37" s="2"/>
      <c r="E37" s="2"/>
      <c r="F37" s="2"/>
      <c r="G37" s="16"/>
      <c r="H37" s="3" t="s">
        <v>106</v>
      </c>
      <c r="I37" s="3">
        <v>4511973.0</v>
      </c>
      <c r="J37" s="3">
        <v>97986.0</v>
      </c>
      <c r="K37" s="38">
        <f t="shared" si="1"/>
        <v>0.0217</v>
      </c>
      <c r="L37" s="37">
        <f t="shared" si="2"/>
        <v>0.4449358088</v>
      </c>
      <c r="M37" s="40">
        <f t="shared" si="3"/>
        <v>9</v>
      </c>
      <c r="N37" s="40"/>
      <c r="O37" s="40"/>
      <c r="P37" s="41"/>
      <c r="Q37" s="41"/>
      <c r="R37" s="41"/>
      <c r="S37" s="41"/>
      <c r="T37" s="41"/>
      <c r="U37" s="40"/>
      <c r="V37" s="41"/>
      <c r="W37" s="41"/>
      <c r="X37" s="41"/>
      <c r="Y37" s="41"/>
      <c r="Z37" s="41"/>
      <c r="AA37" s="41"/>
      <c r="AB37" s="41"/>
      <c r="AC37" s="41"/>
      <c r="AD37" s="41"/>
      <c r="AE37" s="41"/>
    </row>
    <row r="38">
      <c r="A38" s="3"/>
      <c r="B38" s="3"/>
      <c r="C38" s="3"/>
      <c r="D38" s="2"/>
      <c r="E38" s="2"/>
      <c r="F38" s="2"/>
      <c r="G38" s="16"/>
      <c r="H38" s="3" t="s">
        <v>108</v>
      </c>
      <c r="I38" s="3">
        <v>4775.0</v>
      </c>
      <c r="J38" s="3">
        <v>84.0</v>
      </c>
      <c r="K38" s="38">
        <f t="shared" si="1"/>
        <v>0.0176</v>
      </c>
      <c r="L38" s="37">
        <f t="shared" si="2"/>
        <v>0.01265843932</v>
      </c>
      <c r="M38" s="40">
        <f t="shared" si="3"/>
        <v>3</v>
      </c>
      <c r="N38" s="40"/>
      <c r="O38" s="40"/>
      <c r="P38" s="41"/>
      <c r="Q38" s="41"/>
      <c r="R38" s="41"/>
      <c r="S38" s="41"/>
      <c r="T38" s="41"/>
      <c r="U38" s="40"/>
      <c r="V38" s="41"/>
      <c r="W38" s="41"/>
      <c r="X38" s="41"/>
      <c r="Y38" s="41"/>
      <c r="Z38" s="41"/>
      <c r="AA38" s="41"/>
      <c r="AB38" s="41"/>
      <c r="AC38" s="41"/>
      <c r="AD38" s="41"/>
      <c r="AE38" s="41"/>
    </row>
    <row r="39">
      <c r="A39" s="3"/>
      <c r="B39" s="3"/>
      <c r="C39" s="3"/>
      <c r="D39" s="2"/>
      <c r="E39" s="2"/>
      <c r="F39" s="2"/>
      <c r="G39" s="16"/>
      <c r="H39" s="3" t="s">
        <v>110</v>
      </c>
      <c r="I39" s="3">
        <v>610232.0</v>
      </c>
      <c r="J39" s="3">
        <v>5384.0</v>
      </c>
      <c r="K39" s="38">
        <f t="shared" si="1"/>
        <v>0.0088</v>
      </c>
      <c r="L39" s="37">
        <f t="shared" si="2"/>
        <v>0.7124794001</v>
      </c>
      <c r="M39" s="40">
        <f t="shared" si="3"/>
        <v>8</v>
      </c>
      <c r="N39" s="40"/>
      <c r="O39" s="40"/>
      <c r="P39" s="41"/>
      <c r="Q39" s="41"/>
      <c r="R39" s="41"/>
      <c r="S39" s="41"/>
      <c r="T39" s="41"/>
      <c r="U39" s="40"/>
      <c r="V39" s="41"/>
      <c r="W39" s="41"/>
      <c r="X39" s="41"/>
      <c r="Y39" s="41"/>
      <c r="Z39" s="41"/>
      <c r="AA39" s="41"/>
      <c r="AB39" s="41"/>
      <c r="AC39" s="41"/>
      <c r="AD39" s="41"/>
      <c r="AE39" s="41"/>
    </row>
    <row r="40">
      <c r="A40" s="3"/>
      <c r="B40" s="3"/>
      <c r="C40" s="3"/>
      <c r="D40" s="2"/>
      <c r="E40" s="2"/>
      <c r="F40" s="2"/>
      <c r="G40" s="16"/>
      <c r="H40" s="3" t="s">
        <v>112</v>
      </c>
      <c r="I40" s="3">
        <v>363874.0</v>
      </c>
      <c r="J40" s="3">
        <v>9877.0</v>
      </c>
      <c r="K40" s="38">
        <f t="shared" si="1"/>
        <v>0.0271</v>
      </c>
      <c r="L40" s="37">
        <f t="shared" si="2"/>
        <v>0.6091428636</v>
      </c>
      <c r="M40" s="40">
        <f t="shared" si="3"/>
        <v>4</v>
      </c>
      <c r="N40" s="40"/>
      <c r="O40" s="40"/>
      <c r="P40" s="41"/>
      <c r="Q40" s="41"/>
      <c r="R40" s="41"/>
      <c r="S40" s="41"/>
      <c r="T40" s="41"/>
      <c r="U40" s="40"/>
      <c r="V40" s="41"/>
      <c r="W40" s="41"/>
      <c r="X40" s="41"/>
      <c r="Y40" s="41"/>
      <c r="Z40" s="41"/>
      <c r="AA40" s="41"/>
      <c r="AB40" s="41"/>
      <c r="AC40" s="41"/>
      <c r="AD40" s="41"/>
      <c r="AE40" s="41"/>
    </row>
    <row r="41">
      <c r="A41" s="3"/>
      <c r="B41" s="3"/>
      <c r="C41" s="3"/>
      <c r="D41" s="2"/>
      <c r="E41" s="2"/>
      <c r="F41" s="2"/>
      <c r="G41" s="16"/>
      <c r="H41" s="3" t="s">
        <v>114</v>
      </c>
      <c r="I41" s="3">
        <v>218114.0</v>
      </c>
      <c r="J41" s="3">
        <v>4063.0</v>
      </c>
      <c r="K41" s="38">
        <f t="shared" si="1"/>
        <v>0.0186</v>
      </c>
      <c r="L41" s="37">
        <f t="shared" si="2"/>
        <v>0.6995128925</v>
      </c>
      <c r="M41" s="40">
        <f t="shared" si="3"/>
        <v>10</v>
      </c>
      <c r="N41" s="40"/>
      <c r="O41" s="40"/>
      <c r="P41" s="41"/>
      <c r="Q41" s="41"/>
      <c r="R41" s="41"/>
      <c r="S41" s="41"/>
      <c r="T41" s="41"/>
      <c r="U41" s="40"/>
      <c r="V41" s="41"/>
      <c r="W41" s="41"/>
      <c r="X41" s="41"/>
      <c r="Y41" s="41"/>
      <c r="Z41" s="41"/>
      <c r="AA41" s="41"/>
      <c r="AB41" s="41"/>
      <c r="AC41" s="41"/>
      <c r="AD41" s="41"/>
      <c r="AE41" s="41"/>
    </row>
    <row r="42">
      <c r="A42" s="3"/>
      <c r="B42" s="3"/>
      <c r="C42" s="3"/>
      <c r="D42" s="2"/>
      <c r="E42" s="2"/>
      <c r="F42" s="2"/>
      <c r="G42" s="16"/>
      <c r="H42" s="3" t="s">
        <v>46</v>
      </c>
      <c r="I42" s="3">
        <v>3291394.0</v>
      </c>
      <c r="J42" s="3">
        <v>75541.0</v>
      </c>
      <c r="K42" s="38">
        <f t="shared" si="1"/>
        <v>0.023</v>
      </c>
      <c r="L42" s="37">
        <f t="shared" si="2"/>
        <v>0.9913070186</v>
      </c>
      <c r="M42" s="40">
        <f t="shared" si="3"/>
        <v>7</v>
      </c>
      <c r="N42" s="40"/>
      <c r="O42" s="40"/>
      <c r="P42" s="41"/>
      <c r="Q42" s="41"/>
      <c r="R42" s="41"/>
      <c r="S42" s="41"/>
      <c r="T42" s="41"/>
      <c r="U42" s="40"/>
      <c r="V42" s="41"/>
      <c r="W42" s="41"/>
      <c r="X42" s="41"/>
      <c r="Y42" s="41"/>
      <c r="Z42" s="41"/>
      <c r="AA42" s="41"/>
      <c r="AB42" s="41"/>
      <c r="AC42" s="41"/>
      <c r="AD42" s="41"/>
      <c r="AE42" s="41"/>
    </row>
    <row r="43">
      <c r="A43" s="3"/>
      <c r="B43" s="3"/>
      <c r="C43" s="3"/>
      <c r="D43" s="2"/>
      <c r="E43" s="2"/>
      <c r="F43" s="2"/>
      <c r="G43" s="16"/>
      <c r="H43" s="3" t="s">
        <v>116</v>
      </c>
      <c r="I43" s="3">
        <v>813191.0</v>
      </c>
      <c r="J43" s="3">
        <v>13498.0</v>
      </c>
      <c r="K43" s="38">
        <f t="shared" si="1"/>
        <v>0.0166</v>
      </c>
      <c r="L43" s="37">
        <f t="shared" si="2"/>
        <v>0.3211075299</v>
      </c>
      <c r="M43" s="40">
        <f t="shared" si="3"/>
        <v>1</v>
      </c>
      <c r="N43" s="40"/>
      <c r="O43" s="40"/>
      <c r="P43" s="41"/>
      <c r="Q43" s="41"/>
      <c r="R43" s="41"/>
      <c r="S43" s="41"/>
      <c r="T43" s="41"/>
      <c r="U43" s="40"/>
      <c r="V43" s="41"/>
      <c r="W43" s="41"/>
      <c r="X43" s="41"/>
      <c r="Y43" s="41"/>
      <c r="Z43" s="41"/>
      <c r="AA43" s="41"/>
      <c r="AB43" s="41"/>
      <c r="AC43" s="41"/>
      <c r="AD43" s="41"/>
      <c r="AE43" s="41"/>
    </row>
    <row r="44">
      <c r="A44" s="3"/>
      <c r="B44" s="3"/>
      <c r="C44" s="3"/>
      <c r="D44" s="2"/>
      <c r="E44" s="2"/>
      <c r="F44" s="2"/>
      <c r="G44" s="16"/>
      <c r="H44" s="3" t="s">
        <v>38</v>
      </c>
      <c r="I44" s="3">
        <v>605342.0</v>
      </c>
      <c r="J44" s="3">
        <v>10351.0</v>
      </c>
      <c r="K44" s="38">
        <f t="shared" si="1"/>
        <v>0.0171</v>
      </c>
      <c r="L44" s="37">
        <f t="shared" si="2"/>
        <v>0.2756331843</v>
      </c>
      <c r="M44" s="40">
        <f t="shared" si="3"/>
        <v>1</v>
      </c>
      <c r="N44" s="40"/>
      <c r="O44" s="40"/>
      <c r="P44" s="41"/>
      <c r="Q44" s="41"/>
      <c r="R44" s="41"/>
      <c r="S44" s="41"/>
      <c r="T44" s="41"/>
      <c r="U44" s="40"/>
      <c r="V44" s="41"/>
      <c r="W44" s="41"/>
      <c r="X44" s="41"/>
      <c r="Y44" s="41"/>
      <c r="Z44" s="41"/>
      <c r="AA44" s="41"/>
      <c r="AB44" s="41"/>
      <c r="AC44" s="41"/>
      <c r="AD44" s="41"/>
      <c r="AE44" s="41"/>
    </row>
    <row r="45">
      <c r="A45" s="3"/>
      <c r="B45" s="3"/>
      <c r="C45" s="3"/>
      <c r="D45" s="2"/>
      <c r="E45" s="2"/>
      <c r="F45" s="2"/>
      <c r="G45" s="16"/>
      <c r="H45" s="3" t="s">
        <v>421</v>
      </c>
      <c r="I45" s="3">
        <v>3400296.0</v>
      </c>
      <c r="J45" s="3">
        <v>31892.0</v>
      </c>
      <c r="K45" s="38">
        <f t="shared" si="1"/>
        <v>0.0094</v>
      </c>
      <c r="L45" s="37">
        <f t="shared" si="2"/>
        <v>0.4124543923</v>
      </c>
      <c r="M45" s="40">
        <f t="shared" si="3"/>
        <v>6</v>
      </c>
      <c r="N45" s="40"/>
      <c r="O45" s="40"/>
      <c r="P45" s="41"/>
      <c r="Q45" s="41"/>
      <c r="R45" s="41"/>
      <c r="S45" s="41"/>
      <c r="T45" s="41"/>
      <c r="U45" s="40"/>
      <c r="V45" s="41"/>
      <c r="W45" s="41"/>
      <c r="X45" s="41"/>
      <c r="Y45" s="41"/>
      <c r="Z45" s="41"/>
      <c r="AA45" s="41"/>
      <c r="AB45" s="41"/>
      <c r="AC45" s="41"/>
      <c r="AD45" s="41"/>
      <c r="AE45" s="41"/>
    </row>
    <row r="46">
      <c r="A46" s="3"/>
      <c r="B46" s="3"/>
      <c r="C46" s="3"/>
      <c r="D46" s="2"/>
      <c r="E46" s="2"/>
      <c r="F46" s="2"/>
      <c r="G46" s="16"/>
      <c r="H46" s="3" t="s">
        <v>118</v>
      </c>
      <c r="I46" s="3">
        <v>1762713.0</v>
      </c>
      <c r="J46" s="3">
        <v>35326.0</v>
      </c>
      <c r="K46" s="38">
        <f t="shared" si="1"/>
        <v>0.02</v>
      </c>
      <c r="L46" s="37">
        <f t="shared" si="2"/>
        <v>0.88580059</v>
      </c>
      <c r="M46" s="40">
        <f t="shared" si="3"/>
        <v>8</v>
      </c>
      <c r="N46" s="40"/>
      <c r="O46" s="40"/>
      <c r="P46" s="41"/>
      <c r="Q46" s="41"/>
      <c r="R46" s="41"/>
      <c r="S46" s="41"/>
      <c r="T46" s="41"/>
      <c r="U46" s="40"/>
      <c r="V46" s="41"/>
      <c r="W46" s="41"/>
      <c r="X46" s="41"/>
      <c r="Y46" s="41"/>
      <c r="Z46" s="41"/>
      <c r="AA46" s="41"/>
      <c r="AB46" s="41"/>
      <c r="AC46" s="41"/>
      <c r="AD46" s="41"/>
      <c r="AE46" s="41"/>
    </row>
    <row r="47">
      <c r="A47" s="3"/>
      <c r="B47" s="3"/>
      <c r="C47" s="3"/>
      <c r="D47" s="2"/>
      <c r="E47" s="2"/>
      <c r="F47" s="2"/>
      <c r="G47" s="16"/>
      <c r="H47" s="3" t="s">
        <v>56</v>
      </c>
      <c r="I47" s="3">
        <v>4367969.0</v>
      </c>
      <c r="J47" s="3">
        <v>127058.0</v>
      </c>
      <c r="K47" s="38">
        <f t="shared" si="1"/>
        <v>0.0291</v>
      </c>
      <c r="L47" s="37">
        <f t="shared" si="2"/>
        <v>0.1522748448</v>
      </c>
      <c r="M47" s="40">
        <f t="shared" si="3"/>
        <v>4</v>
      </c>
      <c r="N47" s="40"/>
      <c r="O47" s="40"/>
      <c r="P47" s="41"/>
      <c r="Q47" s="41"/>
      <c r="R47" s="41"/>
      <c r="S47" s="41"/>
      <c r="T47" s="41"/>
      <c r="U47" s="40"/>
      <c r="V47" s="41"/>
      <c r="W47" s="41"/>
      <c r="X47" s="41"/>
      <c r="Y47" s="41"/>
      <c r="Z47" s="41"/>
      <c r="AA47" s="41"/>
      <c r="AB47" s="41"/>
      <c r="AC47" s="41"/>
      <c r="AD47" s="41"/>
      <c r="AE47" s="41"/>
    </row>
    <row r="48">
      <c r="A48" s="3"/>
      <c r="B48" s="3"/>
      <c r="C48" s="3"/>
      <c r="D48" s="2"/>
      <c r="E48" s="2"/>
      <c r="F48" s="2"/>
      <c r="G48" s="16"/>
      <c r="H48" s="3" t="s">
        <v>120</v>
      </c>
      <c r="I48" s="3">
        <v>27.0</v>
      </c>
      <c r="J48" s="3">
        <v>0.0</v>
      </c>
      <c r="K48" s="38">
        <f t="shared" si="1"/>
        <v>0</v>
      </c>
      <c r="L48" s="37">
        <f t="shared" si="2"/>
        <v>0.8535948762</v>
      </c>
      <c r="M48" s="40">
        <f t="shared" si="3"/>
        <v>5</v>
      </c>
      <c r="N48" s="40"/>
      <c r="O48" s="40"/>
      <c r="P48" s="41"/>
      <c r="Q48" s="41"/>
      <c r="R48" s="41"/>
      <c r="S48" s="41"/>
      <c r="T48" s="41"/>
      <c r="U48" s="40"/>
      <c r="V48" s="41"/>
      <c r="W48" s="41"/>
      <c r="X48" s="41"/>
      <c r="Y48" s="41"/>
      <c r="Z48" s="41"/>
      <c r="AA48" s="41"/>
      <c r="AB48" s="41"/>
      <c r="AC48" s="41"/>
      <c r="AD48" s="41"/>
      <c r="AE48" s="41"/>
    </row>
    <row r="49">
      <c r="A49" s="3"/>
      <c r="B49" s="3"/>
      <c r="C49" s="3"/>
      <c r="D49" s="2"/>
      <c r="E49" s="2"/>
      <c r="F49" s="2"/>
      <c r="G49" s="16"/>
      <c r="H49" s="34"/>
      <c r="I49" s="2"/>
      <c r="J49" s="2"/>
      <c r="K49" s="41"/>
      <c r="L49" s="37"/>
      <c r="M49" s="41"/>
      <c r="N49" s="41"/>
      <c r="O49" s="41"/>
      <c r="P49" s="41"/>
      <c r="Q49" s="41"/>
      <c r="R49" s="41"/>
      <c r="S49" s="41"/>
      <c r="T49" s="41"/>
      <c r="U49" s="41"/>
      <c r="V49" s="41"/>
      <c r="W49" s="41"/>
      <c r="X49" s="41"/>
      <c r="Y49" s="41"/>
      <c r="Z49" s="41"/>
      <c r="AA49" s="41"/>
      <c r="AB49" s="41"/>
      <c r="AC49" s="41"/>
      <c r="AD49" s="41"/>
      <c r="AE49" s="41"/>
    </row>
    <row r="50">
      <c r="A50" s="3"/>
      <c r="B50" s="3"/>
      <c r="C50" s="3"/>
      <c r="D50" s="2"/>
      <c r="E50" s="2"/>
      <c r="F50" s="2"/>
      <c r="G50" s="16"/>
      <c r="H50" s="34"/>
      <c r="I50" s="2"/>
      <c r="J50" s="2"/>
      <c r="K50" s="41"/>
      <c r="L50" s="37"/>
      <c r="M50" s="41"/>
      <c r="N50" s="41"/>
      <c r="O50" s="41"/>
      <c r="P50" s="41"/>
      <c r="Q50" s="41"/>
      <c r="R50" s="41"/>
      <c r="S50" s="41"/>
      <c r="T50" s="41"/>
      <c r="U50" s="41"/>
      <c r="V50" s="41"/>
      <c r="W50" s="41"/>
      <c r="X50" s="41"/>
      <c r="Y50" s="41"/>
      <c r="Z50" s="41"/>
      <c r="AA50" s="41"/>
      <c r="AB50" s="41"/>
      <c r="AC50" s="41"/>
      <c r="AD50" s="41"/>
      <c r="AE50" s="41"/>
    </row>
    <row r="51">
      <c r="A51" s="3"/>
      <c r="B51" s="3"/>
      <c r="C51" s="3"/>
      <c r="D51" s="2"/>
      <c r="E51" s="2"/>
      <c r="F51" s="2"/>
      <c r="G51" s="16"/>
      <c r="H51" s="34"/>
      <c r="I51" s="2"/>
      <c r="J51" s="2"/>
      <c r="K51" s="41"/>
      <c r="L51" s="37"/>
      <c r="M51" s="41"/>
      <c r="N51" s="41"/>
      <c r="O51" s="41"/>
      <c r="P51" s="41"/>
      <c r="Q51" s="41"/>
      <c r="R51" s="41"/>
      <c r="S51" s="41"/>
      <c r="T51" s="41"/>
      <c r="U51" s="41"/>
      <c r="V51" s="41"/>
      <c r="W51" s="41"/>
      <c r="X51" s="41"/>
      <c r="Y51" s="41"/>
      <c r="Z51" s="41"/>
      <c r="AA51" s="41"/>
      <c r="AB51" s="41"/>
      <c r="AC51" s="41"/>
      <c r="AD51" s="41"/>
      <c r="AE51" s="41"/>
    </row>
    <row r="52">
      <c r="A52" s="3"/>
      <c r="B52" s="3"/>
      <c r="C52" s="3"/>
      <c r="D52" s="2"/>
      <c r="E52" s="2"/>
      <c r="F52" s="2"/>
      <c r="G52" s="16"/>
      <c r="H52" s="34"/>
      <c r="I52" s="2"/>
      <c r="J52" s="2"/>
      <c r="K52" s="41"/>
      <c r="L52" s="37"/>
      <c r="M52" s="41"/>
      <c r="N52" s="41"/>
      <c r="O52" s="41"/>
      <c r="P52" s="49"/>
      <c r="Q52" s="49"/>
      <c r="R52" s="49"/>
      <c r="S52" s="49"/>
      <c r="T52" s="49"/>
      <c r="U52" s="49"/>
      <c r="V52" s="49"/>
      <c r="W52" s="49"/>
      <c r="X52" s="49"/>
      <c r="Y52" s="49"/>
      <c r="Z52" s="49"/>
      <c r="AA52" s="49"/>
      <c r="AB52" s="49"/>
      <c r="AC52" s="49"/>
      <c r="AD52" s="49"/>
      <c r="AE52" s="49"/>
    </row>
    <row r="53">
      <c r="A53" s="3"/>
      <c r="B53" s="3"/>
      <c r="C53" s="3"/>
      <c r="D53" s="2"/>
      <c r="E53" s="2"/>
      <c r="F53" s="2"/>
      <c r="G53" s="16"/>
      <c r="H53" s="34"/>
      <c r="I53" s="2"/>
      <c r="J53" s="2"/>
      <c r="K53" s="38"/>
      <c r="L53" s="37"/>
      <c r="M53" s="41"/>
      <c r="N53" s="41"/>
      <c r="O53" s="41"/>
      <c r="P53" s="49"/>
      <c r="Q53" s="49"/>
      <c r="R53" s="49"/>
      <c r="S53" s="49"/>
      <c r="T53" s="49"/>
      <c r="U53" s="49"/>
      <c r="V53" s="49"/>
      <c r="W53" s="49"/>
      <c r="X53" s="49"/>
      <c r="Y53" s="49"/>
      <c r="Z53" s="49"/>
      <c r="AA53" s="49"/>
      <c r="AB53" s="49"/>
      <c r="AC53" s="49"/>
      <c r="AD53" s="49"/>
      <c r="AE53" s="4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0"/>
    <col customWidth="1" min="3" max="3" width="10.38"/>
    <col customWidth="1" min="4" max="4" width="49.0"/>
    <col customWidth="1" min="5" max="5" width="15.13"/>
    <col customWidth="1" min="6" max="6" width="42.5"/>
    <col customWidth="1" min="7" max="7" width="19.63"/>
    <col customWidth="1" min="8" max="9" width="11.75"/>
    <col customWidth="1" min="10" max="10" width="13.88"/>
    <col customWidth="1" min="11" max="11" width="34.38"/>
    <col customWidth="1" min="12" max="12" width="13.13"/>
    <col customWidth="1" min="13" max="13" width="13.25"/>
    <col customWidth="1" min="14" max="14" width="3.88"/>
  </cols>
  <sheetData>
    <row r="1" ht="15.75" customHeight="1">
      <c r="A1" s="65" t="s">
        <v>496</v>
      </c>
      <c r="B1" s="66" t="s">
        <v>497</v>
      </c>
      <c r="C1" s="67" t="s">
        <v>498</v>
      </c>
      <c r="D1" s="68" t="s">
        <v>499</v>
      </c>
      <c r="E1" s="68" t="s">
        <v>500</v>
      </c>
      <c r="F1" s="68" t="s">
        <v>501</v>
      </c>
      <c r="G1" s="68" t="s">
        <v>502</v>
      </c>
      <c r="H1" s="69" t="s">
        <v>503</v>
      </c>
      <c r="I1" s="69" t="s">
        <v>504</v>
      </c>
      <c r="J1" s="69" t="s">
        <v>505</v>
      </c>
      <c r="K1" s="69" t="s">
        <v>506</v>
      </c>
      <c r="L1" s="69" t="s">
        <v>507</v>
      </c>
      <c r="M1" s="68" t="s">
        <v>508</v>
      </c>
      <c r="N1" s="70"/>
    </row>
    <row r="2" ht="15.75" customHeight="1">
      <c r="A2" s="71">
        <v>1.0</v>
      </c>
      <c r="B2" s="72" t="s">
        <v>509</v>
      </c>
      <c r="C2" s="73">
        <f>IFERROR(__xludf.DUMMYFUNCTION("TODAY() - REGEXEXTRACT($B2, ""\d+"")"),45395.0)</f>
        <v>45395</v>
      </c>
      <c r="D2" s="72" t="s">
        <v>510</v>
      </c>
      <c r="E2" s="72" t="s">
        <v>511</v>
      </c>
      <c r="F2" s="72" t="s">
        <v>512</v>
      </c>
      <c r="G2" s="72" t="s">
        <v>513</v>
      </c>
      <c r="H2" s="74">
        <f>IFERROR(__xludf.DUMMYFUNCTION("IFERROR(AVERAGE(SPLIT(REGEXREPLACE($G2, ""[a-zA-Z]|-|£"", """"), "" "", 0, 1)), ""No Salary Data"")"),31850.0)</f>
        <v>31850</v>
      </c>
      <c r="I2" s="75" t="str">
        <f>IFERROR(__xludf.DUMMYFUNCTION("IF($G2 = ""None"", ""No Salary Data"", REGEXEXTRACT($G2, ""[a-zA-Z]{3,}""))"),"year")</f>
        <v>year</v>
      </c>
      <c r="J2" s="74">
        <f t="shared" ref="J2:J17" si="1">IFERROR(IF($I2 = "year", $H2, IF($I2 = "week", $H2*4*12, IF($I2 = "day", $H2*22*12, $H2*160*12))), "No salary data")</f>
        <v>31850</v>
      </c>
      <c r="K2" s="75" t="str">
        <f>IFERROR(__xludf.DUMMYFUNCTION("TEXTJOIN("", "", TRUE, IFERROR({PROPER(REGEXEXTRACT($M2, "".ython"")), REGEXEXTRACT($M2, ""SQL""), PROPER(REGEXEXTRACT($M2, "".ableau"")), PROPER(REGEXEXTRACT($M2, "".xcel"")), PROPER(REGEXEXTRACT($M2, "".oogle .heets"")), 
PROPER(REGEXEXTRACT($M2, "".ach"&amp;"ine .earning"")), PROPER(REGEXEXTRACT($M2, ""Deep .earning|deep .earning"")), PROPER(REGEXEXTRACT($M2, "".tatistic"")), PROPER(REGEXEXTRACT($M2, ""Git|git"")), PROPER(REGEXEXTRACT($M2, "".crum"")), PROPER(REGEXEXTRACT($M2, "".gile"")), PROPER(REGEXEXTRACT"&amp;"($M2, ""Jira|jira"")), PROPER(REGEXEXTRACT($M2, "".inux""))}))"),"Machine Learning, Statistic")</f>
        <v>Machine Learning, Statistic</v>
      </c>
      <c r="L2" s="76" t="str">
        <f>IFERROR(__xludf.DUMMYFUNCTION("TEXTJOIN("", "", TRUE, IFERROR(PROPER(REGEXEXTRACT($M2, "".ull .ime|.ull-.ime|.ermanent|.ontract|.art .ime|.art-.ime|.emporary|.nternship|.pprenticeship|.ommision|.olunteer"")), ""No job type data""))"),"No job type data")</f>
        <v>No job type data</v>
      </c>
      <c r="M2" s="77" t="s">
        <v>514</v>
      </c>
      <c r="N2" s="70"/>
    </row>
    <row r="3" ht="15.75" customHeight="1">
      <c r="A3" s="71">
        <v>2.0</v>
      </c>
      <c r="B3" s="72" t="s">
        <v>515</v>
      </c>
      <c r="C3" s="73">
        <f>IFERROR(__xludf.DUMMYFUNCTION("TODAY() - REGEXEXTRACT($B3, ""\d+"")"),45393.0)</f>
        <v>45393</v>
      </c>
      <c r="D3" s="78" t="s">
        <v>516</v>
      </c>
      <c r="E3" s="72" t="s">
        <v>511</v>
      </c>
      <c r="F3" s="72" t="s">
        <v>517</v>
      </c>
      <c r="G3" s="72" t="s">
        <v>518</v>
      </c>
      <c r="H3" s="74">
        <f>IFERROR(__xludf.DUMMYFUNCTION("IFERROR(AVERAGE(SPLIT(REGEXREPLACE($G3, ""[a-zA-Z]|-|£"", """"), "" "", 0, 1)), ""No Salary Data"")"),31492.5)</f>
        <v>31492.5</v>
      </c>
      <c r="I3" s="75" t="str">
        <f>IFERROR(__xludf.DUMMYFUNCTION("IF($G3 = ""None"", ""No Salary Data"", REGEXEXTRACT($G3, ""[a-zA-Z]{3,}""))"),"year")</f>
        <v>year</v>
      </c>
      <c r="J3" s="74">
        <f t="shared" si="1"/>
        <v>31492.5</v>
      </c>
      <c r="K3" s="75" t="str">
        <f>IFERROR(__xludf.DUMMYFUNCTION("TEXTJOIN("", "", TRUE, IFERROR({PROPER(REGEXEXTRACT($M3, "".ython"")), REGEXEXTRACT($M3, ""SQL""), PROPER(REGEXEXTRACT($M3, "".ableau"")), PROPER(REGEXEXTRACT($M3, "".xcel"")), PROPER(REGEXEXTRACT($M3, "".oogle .heets"")), 
PROPER(REGEXEXTRACT($M3, "".ach"&amp;"ine .earning"")), PROPER(REGEXEXTRACT($M3, ""Deep .earning|deep .earning"")), PROPER(REGEXEXTRACT($M3, "".tatistic"")), PROPER(REGEXEXTRACT($M3, ""Git|git"")), PROPER(REGEXEXTRACT($M3, "".crum"")), PROPER(REGEXEXTRACT($M3, "".gile"")), PROPER(REGEXEXTRACT"&amp;"($M3, ""Jira|jira"")), PROPER(REGEXEXTRACT($M3, "".inux""))}))"),"SQL, Agile")</f>
        <v>SQL, Agile</v>
      </c>
      <c r="L3" s="76" t="str">
        <f>IFERROR(__xludf.DUMMYFUNCTION("TEXTJOIN("", "", TRUE, IFERROR(PROPER(REGEXEXTRACT($M3, "".ull .ime|.ull-.ime|.ermanent|.ontract|.art .ime|.art-.ime|.emporary|.nternship|.pprenticeship|.ommision|.olunteer"")), ""No job type data""))"),"Apprenticeship")</f>
        <v>Apprenticeship</v>
      </c>
      <c r="M3" s="77" t="s">
        <v>519</v>
      </c>
      <c r="N3" s="70"/>
    </row>
    <row r="4" ht="15.75" customHeight="1">
      <c r="A4" s="71">
        <v>3.0</v>
      </c>
      <c r="B4" s="72" t="s">
        <v>520</v>
      </c>
      <c r="C4" s="73">
        <f>IFERROR(__xludf.DUMMYFUNCTION("TODAY() - REGEXEXTRACT($B4, ""\d+"")"),45380.0)</f>
        <v>45380</v>
      </c>
      <c r="D4" s="78" t="s">
        <v>521</v>
      </c>
      <c r="E4" s="72" t="s">
        <v>522</v>
      </c>
      <c r="F4" s="72" t="s">
        <v>523</v>
      </c>
      <c r="G4" s="72" t="s">
        <v>524</v>
      </c>
      <c r="H4" s="74">
        <f>IFERROR(__xludf.DUMMYFUNCTION("IFERROR(AVERAGE(SPLIT(REGEXREPLACE($G4, ""[a-zA-Z]|-|£"", """"), "" "", 0, 1)), ""No Salary Data"")"),67810.5)</f>
        <v>67810.5</v>
      </c>
      <c r="I4" s="75" t="str">
        <f>IFERROR(__xludf.DUMMYFUNCTION("IF($G4 = ""None"", ""No Salary Data"", REGEXEXTRACT($G4, ""[a-zA-Z]{3,}""))"),"year")</f>
        <v>year</v>
      </c>
      <c r="J4" s="74">
        <f t="shared" si="1"/>
        <v>67810.5</v>
      </c>
      <c r="K4" s="75" t="str">
        <f>IFERROR(__xludf.DUMMYFUNCTION("TEXTJOIN("", "", TRUE, IFERROR({PROPER(REGEXEXTRACT($M4, "".ython"")), REGEXEXTRACT($M4, ""SQL""), PROPER(REGEXEXTRACT($M4, "".ableau"")), PROPER(REGEXEXTRACT($M4, "".xcel"")), PROPER(REGEXEXTRACT($M4, "".oogle .heets"")), 
PROPER(REGEXEXTRACT($M4, "".ach"&amp;"ine .earning"")), PROPER(REGEXEXTRACT($M4, ""Deep .earning|deep .earning"")), PROPER(REGEXEXTRACT($M4, "".tatistic"")), PROPER(REGEXEXTRACT($M4, ""Git|git"")), PROPER(REGEXEXTRACT($M4, "".crum"")), PROPER(REGEXEXTRACT($M4, "".gile"")), PROPER(REGEXEXTRACT"&amp;"($M4, ""Jira|jira"")), PROPER(REGEXEXTRACT($M4, "".inux""))}))"),"Python, Excel, Machine Learning, Statistic")</f>
        <v>Python, Excel, Machine Learning, Statistic</v>
      </c>
      <c r="L4" s="76" t="str">
        <f>IFERROR(__xludf.DUMMYFUNCTION("TEXTJOIN("", "", TRUE, IFERROR(PROPER(REGEXEXTRACT($M4, "".ull .ime|.ull-.ime|.ermanent|.ontract|.art .ime|.art-.ime|.emporary|.nternship|.pprenticeship|.ommision|.olunteer"")), ""No job type data""))"),"No job type data")</f>
        <v>No job type data</v>
      </c>
      <c r="M4" s="77" t="s">
        <v>525</v>
      </c>
      <c r="N4" s="70"/>
    </row>
    <row r="5" ht="15.75" customHeight="1">
      <c r="A5" s="71">
        <v>4.0</v>
      </c>
      <c r="B5" s="72" t="s">
        <v>526</v>
      </c>
      <c r="C5" s="73">
        <f>IFERROR(__xludf.DUMMYFUNCTION("TODAY() - REGEXEXTRACT($B5, ""\d+"")"),45403.0)</f>
        <v>45403</v>
      </c>
      <c r="D5" s="72" t="s">
        <v>527</v>
      </c>
      <c r="E5" s="72" t="s">
        <v>511</v>
      </c>
      <c r="F5" s="72" t="s">
        <v>528</v>
      </c>
      <c r="G5" s="72" t="s">
        <v>529</v>
      </c>
      <c r="H5" s="74" t="str">
        <f>IFERROR(__xludf.DUMMYFUNCTION("IFERROR(AVERAGE(SPLIT(REGEXREPLACE($G5, ""[a-zA-Z]|-|£"", """"), "" "", 0, 1)), ""No Salary Data"")"),"No Salary Data")</f>
        <v>No Salary Data</v>
      </c>
      <c r="I5" s="75" t="str">
        <f>IFERROR(__xludf.DUMMYFUNCTION("IF($G5 = ""None"", ""No Salary Data"", REGEXEXTRACT($G5, ""[a-zA-Z]{3,}""))"),"No Salary Data")</f>
        <v>No Salary Data</v>
      </c>
      <c r="J5" s="74" t="str">
        <f t="shared" si="1"/>
        <v>No salary data</v>
      </c>
      <c r="K5" s="75" t="str">
        <f>IFERROR(__xludf.DUMMYFUNCTION("TEXTJOIN("", "", TRUE, IFERROR({PROPER(REGEXEXTRACT($M5, "".ython"")), REGEXEXTRACT($M5, ""SQL""), PROPER(REGEXEXTRACT($M5, "".ableau"")), PROPER(REGEXEXTRACT($M5, "".xcel"")), PROPER(REGEXEXTRACT($M5, "".oogle .heets"")), 
PROPER(REGEXEXTRACT($M5, "".ach"&amp;"ine .earning"")), PROPER(REGEXEXTRACT($M5, ""Deep .earning|deep .earning"")), PROPER(REGEXEXTRACT($M5, "".tatistic"")), PROPER(REGEXEXTRACT($M5, ""Git|git"")), PROPER(REGEXEXTRACT($M5, "".crum"")), PROPER(REGEXEXTRACT($M5, "".gile"")), PROPER(REGEXEXTRACT"&amp;"($M5, ""Jira|jira"")), PROPER(REGEXEXTRACT($M5, "".inux""))}))"),"Python, Statistic")</f>
        <v>Python, Statistic</v>
      </c>
      <c r="L5" s="76" t="str">
        <f>IFERROR(__xludf.DUMMYFUNCTION("TEXTJOIN("", "", TRUE, IFERROR(PROPER(REGEXEXTRACT($M5, "".ull .ime|.ull-.ime|.ermanent|.ontract|.art .ime|.art-.ime|.emporary|.nternship|.pprenticeship|.ommision|.olunteer"")), ""No job type data""))"),"No job type data")</f>
        <v>No job type data</v>
      </c>
      <c r="M5" s="77" t="s">
        <v>530</v>
      </c>
      <c r="N5" s="70"/>
    </row>
    <row r="6" ht="15.75" customHeight="1">
      <c r="A6" s="71">
        <v>5.0</v>
      </c>
      <c r="B6" s="72" t="s">
        <v>520</v>
      </c>
      <c r="C6" s="73">
        <f>IFERROR(__xludf.DUMMYFUNCTION("TODAY() - REGEXEXTRACT($B6, ""\d+"")"),45380.0)</f>
        <v>45380</v>
      </c>
      <c r="D6" s="72" t="s">
        <v>531</v>
      </c>
      <c r="E6" s="72" t="s">
        <v>532</v>
      </c>
      <c r="F6" s="72" t="s">
        <v>533</v>
      </c>
      <c r="G6" s="72" t="s">
        <v>534</v>
      </c>
      <c r="H6" s="74">
        <f>IFERROR(__xludf.DUMMYFUNCTION("IFERROR(AVERAGE(SPLIT(REGEXREPLACE($G6, ""[a-zA-Z]|-|£"", """"), "" "", 0, 1)), ""No Salary Data"")"),32500.0)</f>
        <v>32500</v>
      </c>
      <c r="I6" s="75" t="str">
        <f>IFERROR(__xludf.DUMMYFUNCTION("IF($G6 = ""None"", ""No Salary Data"", REGEXEXTRACT($G6, ""[a-zA-Z]{3,}""))"),"year")</f>
        <v>year</v>
      </c>
      <c r="J6" s="74">
        <f t="shared" si="1"/>
        <v>32500</v>
      </c>
      <c r="K6" s="75" t="str">
        <f>IFERROR(__xludf.DUMMYFUNCTION("TEXTJOIN("", "", TRUE, IFERROR({PROPER(REGEXEXTRACT($M6, "".ython"")), REGEXEXTRACT($M6, ""SQL""), PROPER(REGEXEXTRACT($M6, "".ableau"")), PROPER(REGEXEXTRACT($M6, "".xcel"")), PROPER(REGEXEXTRACT($M6, "".oogle .heets"")), 
PROPER(REGEXEXTRACT($M6, "".ach"&amp;"ine .earning"")), PROPER(REGEXEXTRACT($M6, ""Deep .earning|deep .earning"")), PROPER(REGEXEXTRACT($M6, "".tatistic"")), PROPER(REGEXEXTRACT($M6, ""Git|git"")), PROPER(REGEXEXTRACT($M6, "".crum"")), PROPER(REGEXEXTRACT($M6, "".gile"")), PROPER(REGEXEXTRACT"&amp;"($M6, ""Jira|jira"")), PROPER(REGEXEXTRACT($M6, "".inux""))}))"),"SQL, Agile")</f>
        <v>SQL, Agile</v>
      </c>
      <c r="L6" s="76" t="str">
        <f>IFERROR(__xludf.DUMMYFUNCTION("TEXTJOIN("", "", TRUE, IFERROR(PROPER(REGEXEXTRACT($M6, "".ull .ime|.ull-.ime|.ermanent|.ontract|.art .ime|.art-.ime|.emporary|.nternship|.pprenticeship|.ommision|.olunteer"")), ""No job type data""))"),"Full-Time")</f>
        <v>Full-Time</v>
      </c>
      <c r="M6" s="77" t="s">
        <v>535</v>
      </c>
      <c r="N6" s="70"/>
    </row>
    <row r="7" ht="15.75" customHeight="1">
      <c r="A7" s="71">
        <v>6.0</v>
      </c>
      <c r="B7" s="72" t="s">
        <v>536</v>
      </c>
      <c r="C7" s="73">
        <f>IFERROR(__xludf.DUMMYFUNCTION("TODAY() - REGEXEXTRACT($B7, ""\d+"")"),45379.0)</f>
        <v>45379</v>
      </c>
      <c r="D7" s="72" t="s">
        <v>537</v>
      </c>
      <c r="E7" s="72" t="s">
        <v>56</v>
      </c>
      <c r="F7" s="72" t="s">
        <v>538</v>
      </c>
      <c r="G7" s="72" t="s">
        <v>539</v>
      </c>
      <c r="H7" s="74">
        <f>IFERROR(__xludf.DUMMYFUNCTION("IFERROR(AVERAGE(SPLIT(REGEXREPLACE($G7, ""[a-zA-Z]|-|£"", """"), "" "", 0, 1)), ""No Salary Data"")"),30000.0)</f>
        <v>30000</v>
      </c>
      <c r="I7" s="75" t="str">
        <f>IFERROR(__xludf.DUMMYFUNCTION("IF($G7 = ""None"", ""No Salary Data"", REGEXEXTRACT($G7, ""[a-zA-Z]{3,}""))"),"year")</f>
        <v>year</v>
      </c>
      <c r="J7" s="74">
        <f t="shared" si="1"/>
        <v>30000</v>
      </c>
      <c r="K7" s="75" t="str">
        <f>IFERROR(__xludf.DUMMYFUNCTION("TEXTJOIN("", "", TRUE, IFERROR({PROPER(REGEXEXTRACT($M7, "".ython"")), REGEXEXTRACT($M7, ""SQL""), PROPER(REGEXEXTRACT($M7, "".ableau"")), PROPER(REGEXEXTRACT($M7, "".xcel"")), PROPER(REGEXEXTRACT($M7, "".oogle .heets"")), 
PROPER(REGEXEXTRACT($M7, "".ach"&amp;"ine .earning"")), PROPER(REGEXEXTRACT($M7, ""Deep .earning|deep .earning"")), PROPER(REGEXEXTRACT($M7, "".tatistic"")), PROPER(REGEXEXTRACT($M7, ""Git|git"")), PROPER(REGEXEXTRACT($M7, "".crum"")), PROPER(REGEXEXTRACT($M7, "".gile"")), PROPER(REGEXEXTRACT"&amp;"($M7, ""Jira|jira"")), PROPER(REGEXEXTRACT($M7, "".inux""))}))"),"Python, Tableau, Git, Agile")</f>
        <v>Python, Tableau, Git, Agile</v>
      </c>
      <c r="L7" s="76" t="str">
        <f>IFERROR(__xludf.DUMMYFUNCTION("TEXTJOIN("", "", TRUE, IFERROR(PROPER(REGEXEXTRACT($M7, "".ull .ime|.ull-.ime|.ermanent|.ontract|.art .ime|.art-.ime|.emporary|.nternship|.pprenticeship|.ommision|.olunteer"")), ""No job type data""))"),"No job type data")</f>
        <v>No job type data</v>
      </c>
      <c r="M7" s="77" t="s">
        <v>540</v>
      </c>
      <c r="N7" s="70"/>
    </row>
    <row r="8" ht="15.75" customHeight="1">
      <c r="A8" s="71">
        <v>7.0</v>
      </c>
      <c r="B8" s="72" t="s">
        <v>541</v>
      </c>
      <c r="C8" s="73">
        <f>IFERROR(__xludf.DUMMYFUNCTION("TODAY() - REGEXEXTRACT($B8, ""\d+"")"),45402.0)</f>
        <v>45402</v>
      </c>
      <c r="D8" s="72" t="s">
        <v>531</v>
      </c>
      <c r="E8" s="72" t="s">
        <v>511</v>
      </c>
      <c r="F8" s="72" t="s">
        <v>542</v>
      </c>
      <c r="G8" s="72" t="s">
        <v>543</v>
      </c>
      <c r="H8" s="74">
        <f>IFERROR(__xludf.DUMMYFUNCTION("IFERROR(AVERAGE(SPLIT(REGEXREPLACE($G8, ""[a-zA-Z]|-|£"", """"), "" "", 0, 1)), ""No Salary Data"")"),27500.0)</f>
        <v>27500</v>
      </c>
      <c r="I8" s="75" t="str">
        <f>IFERROR(__xludf.DUMMYFUNCTION("IF($G8 = ""None"", ""No Salary Data"", REGEXEXTRACT($G8, ""[a-zA-Z]{3,}""))"),"year")</f>
        <v>year</v>
      </c>
      <c r="J8" s="74">
        <f t="shared" si="1"/>
        <v>27500</v>
      </c>
      <c r="K8" s="75" t="str">
        <f>IFERROR(__xludf.DUMMYFUNCTION("TEXTJOIN("", "", TRUE, IFERROR({PROPER(REGEXEXTRACT($M8, "".ython"")), REGEXEXTRACT($M8, ""SQL""), PROPER(REGEXEXTRACT($M8, "".ableau"")), PROPER(REGEXEXTRACT($M8, "".xcel"")), PROPER(REGEXEXTRACT($M8, "".oogle .heets"")), 
PROPER(REGEXEXTRACT($M8, "".ach"&amp;"ine .earning"")), PROPER(REGEXEXTRACT($M8, ""Deep .earning|deep .earning"")), PROPER(REGEXEXTRACT($M8, "".tatistic"")), PROPER(REGEXEXTRACT($M8, ""Git|git"")), PROPER(REGEXEXTRACT($M8, "".crum"")), PROPER(REGEXEXTRACT($M8, "".gile"")), PROPER(REGEXEXTRACT"&amp;"($M8, ""Jira|jira"")), PROPER(REGEXEXTRACT($M8, "".inux""))}))"),"Python, Excel, Statistic")</f>
        <v>Python, Excel, Statistic</v>
      </c>
      <c r="L8" s="76" t="str">
        <f>IFERROR(__xludf.DUMMYFUNCTION("TEXTJOIN("", "", TRUE, IFERROR(PROPER(REGEXEXTRACT($M8, "".ull .ime|.ull-.ime|.ermanent|.ontract|.art .ime|.art-.ime|.emporary|.nternship|.pprenticeship|.ommision|.olunteer"")), ""No job type data""))"),"No job type data")</f>
        <v>No job type data</v>
      </c>
      <c r="M8" s="77" t="s">
        <v>544</v>
      </c>
      <c r="N8" s="70"/>
    </row>
    <row r="9" ht="15.75" customHeight="1">
      <c r="A9" s="71">
        <v>8.0</v>
      </c>
      <c r="B9" s="72" t="s">
        <v>526</v>
      </c>
      <c r="C9" s="73">
        <f>IFERROR(__xludf.DUMMYFUNCTION("TODAY() - REGEXEXTRACT($B9, ""\d+"")"),45403.0)</f>
        <v>45403</v>
      </c>
      <c r="D9" s="72" t="s">
        <v>545</v>
      </c>
      <c r="E9" s="72" t="s">
        <v>546</v>
      </c>
      <c r="F9" s="72" t="s">
        <v>547</v>
      </c>
      <c r="G9" s="72" t="s">
        <v>529</v>
      </c>
      <c r="H9" s="74" t="str">
        <f>IFERROR(__xludf.DUMMYFUNCTION("IFERROR(AVERAGE(SPLIT(REGEXREPLACE($G9, ""[a-zA-Z]|-|£"", """"), "" "", 0, 1)), ""No Salary Data"")"),"No Salary Data")</f>
        <v>No Salary Data</v>
      </c>
      <c r="I9" s="75" t="str">
        <f>IFERROR(__xludf.DUMMYFUNCTION("IF($G9 = ""None"", ""No Salary Data"", REGEXEXTRACT($G9, ""[a-zA-Z]{3,}""))"),"No Salary Data")</f>
        <v>No Salary Data</v>
      </c>
      <c r="J9" s="74" t="str">
        <f t="shared" si="1"/>
        <v>No salary data</v>
      </c>
      <c r="K9" s="79" t="str">
        <f>IFERROR(__xludf.DUMMYFUNCTION("TEXTJOIN("", "", TRUE, IFERROR({PROPER(REGEXEXTRACT($M9, "".ython"")), REGEXEXTRACT($M9, ""SQL""), PROPER(REGEXEXTRACT($M9, "".ableau"")), PROPER(REGEXEXTRACT($M9, "".xcel"")), PROPER(REGEXEXTRACT($M9, "".oogle .heets"")), 
PROPER(REGEXEXTRACT($M9, "".ach"&amp;"ine .earning"")), PROPER(REGEXEXTRACT($M9, ""Deep .earning|deep .earning"")), PROPER(REGEXEXTRACT($M9, "".tatistic"")), PROPER(REGEXEXTRACT($M9, ""Git|git"")), PROPER(REGEXEXTRACT($M9, "".crum"")), PROPER(REGEXEXTRACT($M9, "".gile"")), PROPER(REGEXEXTRACT"&amp;"($M9, ""Jira|jira"")), PROPER(REGEXEXTRACT($M9, "".inux""))}))"),"")</f>
        <v/>
      </c>
      <c r="L9" s="76" t="str">
        <f>IFERROR(__xludf.DUMMYFUNCTION("TEXTJOIN("", "", TRUE, IFERROR(PROPER(REGEXEXTRACT($M9, "".ull .ime|.ull-.ime|.ermanent|.ontract|.art .ime|.art-.ime|.emporary|.nternship|.pprenticeship|.ommision|.olunteer"")), ""No job type data""))"),"No job type data")</f>
        <v>No job type data</v>
      </c>
      <c r="M9" s="77" t="s">
        <v>548</v>
      </c>
      <c r="N9" s="70"/>
    </row>
    <row r="10" ht="15.75" customHeight="1">
      <c r="A10" s="71">
        <v>9.0</v>
      </c>
      <c r="B10" s="72" t="s">
        <v>549</v>
      </c>
      <c r="C10" s="73">
        <f>IFERROR(__xludf.DUMMYFUNCTION("TODAY() - REGEXEXTRACT($B10, ""\d+"")"),45398.0)</f>
        <v>45398</v>
      </c>
      <c r="D10" s="72" t="s">
        <v>531</v>
      </c>
      <c r="E10" s="72" t="s">
        <v>550</v>
      </c>
      <c r="F10" s="72" t="s">
        <v>551</v>
      </c>
      <c r="G10" s="72" t="s">
        <v>552</v>
      </c>
      <c r="H10" s="74">
        <f>IFERROR(__xludf.DUMMYFUNCTION("IFERROR(AVERAGE(SPLIT(REGEXREPLACE($G10, ""[a-zA-Z]|-|£"", """"), "" "", 0, 1)), ""No Salary Data"")"),34301.5)</f>
        <v>34301.5</v>
      </c>
      <c r="I10" s="75" t="str">
        <f>IFERROR(__xludf.DUMMYFUNCTION("IF($G10 = ""None"", ""No Salary Data"", REGEXEXTRACT($G10, ""[a-zA-Z]{3,}""))"),"year")</f>
        <v>year</v>
      </c>
      <c r="J10" s="74">
        <f t="shared" si="1"/>
        <v>34301.5</v>
      </c>
      <c r="K10" s="75" t="str">
        <f>IFERROR(__xludf.DUMMYFUNCTION("TEXTJOIN("", "", TRUE, IFERROR({PROPER(REGEXEXTRACT($M10, "".ython"")), REGEXEXTRACT($M10, ""SQL""), PROPER(REGEXEXTRACT($M10, "".ableau"")), PROPER(REGEXEXTRACT($M10, "".xcel"")), PROPER(REGEXEXTRACT($M10, "".oogle .heets"")), 
PROPER(REGEXEXTRACT($M10, "&amp;""".achine .earning"")), PROPER(REGEXEXTRACT($M10, ""Deep .earning|deep .earning"")), PROPER(REGEXEXTRACT($M10, "".tatistic"")), PROPER(REGEXEXTRACT($M10, ""Git|git"")), PROPER(REGEXEXTRACT($M10, "".crum"")), PROPER(REGEXEXTRACT($M10, "".gile"")), PROPER(R"&amp;"EGEXEXTRACT($M10, ""Jira|jira"")), PROPER(REGEXEXTRACT($M10, "".inux""))}))"),"Excel, Statistic")</f>
        <v>Excel, Statistic</v>
      </c>
      <c r="L10" s="76" t="str">
        <f>IFERROR(__xludf.DUMMYFUNCTION("TEXTJOIN("", "", TRUE, IFERROR(PROPER(REGEXEXTRACT($M10, "".ull .ime|.ull-.ime|.ermanent|.ontract|.art .ime|.art-.ime|.emporary|.nternship|.pprenticeship|.ommision|.olunteer"")), ""No job type data""))"),"Full Time")</f>
        <v>Full Time</v>
      </c>
      <c r="M10" s="77" t="s">
        <v>553</v>
      </c>
      <c r="N10" s="70"/>
    </row>
    <row r="11" ht="15.75" customHeight="1">
      <c r="A11" s="71">
        <v>10.0</v>
      </c>
      <c r="B11" s="72" t="s">
        <v>554</v>
      </c>
      <c r="C11" s="73">
        <f>IFERROR(__xludf.DUMMYFUNCTION("TODAY() - REGEXEXTRACT($B11, ""\d+"")"),45374.0)</f>
        <v>45374</v>
      </c>
      <c r="D11" s="72" t="s">
        <v>555</v>
      </c>
      <c r="E11" s="72" t="s">
        <v>511</v>
      </c>
      <c r="F11" s="72" t="s">
        <v>556</v>
      </c>
      <c r="G11" s="72" t="s">
        <v>529</v>
      </c>
      <c r="H11" s="74" t="str">
        <f>IFERROR(__xludf.DUMMYFUNCTION("IFERROR(AVERAGE(SPLIT(REGEXREPLACE($G11, ""[a-zA-Z]|-|£"", """"), "" "", 0, 1)), ""No Salary Data"")"),"No Salary Data")</f>
        <v>No Salary Data</v>
      </c>
      <c r="I11" s="75" t="str">
        <f>IFERROR(__xludf.DUMMYFUNCTION("IF($G11 = ""None"", ""No Salary Data"", REGEXEXTRACT($G11, ""[a-zA-Z]{3,}""))"),"No Salary Data")</f>
        <v>No Salary Data</v>
      </c>
      <c r="J11" s="74" t="str">
        <f t="shared" si="1"/>
        <v>No salary data</v>
      </c>
      <c r="K11" s="75" t="str">
        <f>IFERROR(__xludf.DUMMYFUNCTION("TEXTJOIN("", "", TRUE, IFERROR({PROPER(REGEXEXTRACT($M11, "".ython"")), REGEXEXTRACT($M11, ""SQL""), PROPER(REGEXEXTRACT($M11, "".ableau"")), PROPER(REGEXEXTRACT($M11, "".xcel"")), PROPER(REGEXEXTRACT($M11, "".oogle .heets"")), 
PROPER(REGEXEXTRACT($M11, "&amp;""".achine .earning"")), PROPER(REGEXEXTRACT($M11, ""Deep .earning|deep .earning"")), PROPER(REGEXEXTRACT($M11, "".tatistic"")), PROPER(REGEXEXTRACT($M11, ""Git|git"")), PROPER(REGEXEXTRACT($M11, "".crum"")), PROPER(REGEXEXTRACT($M11, "".gile"")), PROPER(R"&amp;"EGEXEXTRACT($M11, ""Jira|jira"")), PROPER(REGEXEXTRACT($M11, "".inux""))}))"),"Python, SQL, Machine Learning, Statistic, Git")</f>
        <v>Python, SQL, Machine Learning, Statistic, Git</v>
      </c>
      <c r="L11" s="76" t="str">
        <f>IFERROR(__xludf.DUMMYFUNCTION("TEXTJOIN("", "", TRUE, IFERROR(PROPER(REGEXEXTRACT($M11, "".ull .ime|.ull-.ime|.ermanent|.ontract|.art .ime|.art-.ime|.emporary|.nternship|.pprenticeship|.ommision|.olunteer"")), ""No job type data""))"),"No job type data")</f>
        <v>No job type data</v>
      </c>
      <c r="M11" s="77" t="s">
        <v>557</v>
      </c>
      <c r="N11" s="70"/>
    </row>
    <row r="12" ht="15.75" customHeight="1">
      <c r="A12" s="71">
        <v>11.0</v>
      </c>
      <c r="B12" s="72" t="s">
        <v>558</v>
      </c>
      <c r="C12" s="73">
        <f>IFERROR(__xludf.DUMMYFUNCTION("TODAY() - REGEXEXTRACT($B12, ""\d+"")"),45400.0)</f>
        <v>45400</v>
      </c>
      <c r="D12" s="72" t="s">
        <v>559</v>
      </c>
      <c r="E12" s="72" t="s">
        <v>560</v>
      </c>
      <c r="F12" s="72" t="s">
        <v>561</v>
      </c>
      <c r="G12" s="72" t="s">
        <v>543</v>
      </c>
      <c r="H12" s="74">
        <f>IFERROR(__xludf.DUMMYFUNCTION("IFERROR(AVERAGE(SPLIT(REGEXREPLACE($G12, ""[a-zA-Z]|-|£"", """"), "" "", 0, 1)), ""No Salary Data"")"),27500.0)</f>
        <v>27500</v>
      </c>
      <c r="I12" s="75" t="str">
        <f>IFERROR(__xludf.DUMMYFUNCTION("IF($G12 = ""None"", ""No Salary Data"", REGEXEXTRACT($G12, ""[a-zA-Z]{3,}""))"),"year")</f>
        <v>year</v>
      </c>
      <c r="J12" s="74">
        <f t="shared" si="1"/>
        <v>27500</v>
      </c>
      <c r="K12" s="79" t="str">
        <f>IFERROR(__xludf.DUMMYFUNCTION("TEXTJOIN("", "", TRUE, IFERROR({PROPER(REGEXEXTRACT($M12, "".ython"")), REGEXEXTRACT($M12, ""SQL""), PROPER(REGEXEXTRACT($M12, "".ableau"")), PROPER(REGEXEXTRACT($M12, "".xcel"")), PROPER(REGEXEXTRACT($M12, "".oogle .heets"")), 
PROPER(REGEXEXTRACT($M12, "&amp;""".achine .earning"")), PROPER(REGEXEXTRACT($M12, ""Deep .earning|deep .earning"")), PROPER(REGEXEXTRACT($M12, "".tatistic"")), PROPER(REGEXEXTRACT($M12, ""Git|git"")), PROPER(REGEXEXTRACT($M12, "".crum"")), PROPER(REGEXEXTRACT($M12, "".gile"")), PROPER(R"&amp;"EGEXEXTRACT($M12, ""Jira|jira"")), PROPER(REGEXEXTRACT($M12, "".inux""))}))"),"")</f>
        <v/>
      </c>
      <c r="L12" s="76" t="str">
        <f>IFERROR(__xludf.DUMMYFUNCTION("TEXTJOIN("", "", TRUE, IFERROR(PROPER(REGEXEXTRACT($M12, "".ull .ime|.ull-.ime|.ermanent|.ontract|.art .ime|.art-.ime|.emporary|.nternship|.pprenticeship|.ommision|.olunteer"")), ""No job type data""))"),"No job type data")</f>
        <v>No job type data</v>
      </c>
      <c r="M12" s="77" t="s">
        <v>562</v>
      </c>
      <c r="N12" s="70"/>
    </row>
    <row r="13" ht="15.75" customHeight="1">
      <c r="A13" s="71">
        <v>12.0</v>
      </c>
      <c r="B13" s="72" t="s">
        <v>563</v>
      </c>
      <c r="C13" s="73">
        <f>IFERROR(__xludf.DUMMYFUNCTION("TODAY() - REGEXEXTRACT($B13, ""\d+"")"),45399.0)</f>
        <v>45399</v>
      </c>
      <c r="D13" s="72" t="s">
        <v>564</v>
      </c>
      <c r="E13" s="72" t="s">
        <v>565</v>
      </c>
      <c r="F13" s="72" t="s">
        <v>566</v>
      </c>
      <c r="G13" s="72" t="s">
        <v>567</v>
      </c>
      <c r="H13" s="74">
        <f>IFERROR(__xludf.DUMMYFUNCTION("IFERROR(AVERAGE(SPLIT(REGEXREPLACE($G13, ""[a-zA-Z]|-|£"", """"), "" "", 0, 1)), ""No Salary Data"")"),15.0)</f>
        <v>15</v>
      </c>
      <c r="I13" s="75" t="str">
        <f>IFERROR(__xludf.DUMMYFUNCTION("IF($G13 = ""None"", ""No Salary Data"", REGEXEXTRACT($G13, ""[a-zA-Z]{3,}""))"),"hour")</f>
        <v>hour</v>
      </c>
      <c r="J13" s="74">
        <f t="shared" si="1"/>
        <v>28800</v>
      </c>
      <c r="K13" s="75" t="str">
        <f>IFERROR(__xludf.DUMMYFUNCTION("TEXTJOIN("", "", TRUE, IFERROR({PROPER(REGEXEXTRACT($M13, "".ython"")), REGEXEXTRACT($M13, ""SQL""), PROPER(REGEXEXTRACT($M13, "".ableau"")), PROPER(REGEXEXTRACT($M13, "".xcel"")), PROPER(REGEXEXTRACT($M13, "".oogle .heets"")), 
PROPER(REGEXEXTRACT($M13, "&amp;""".achine .earning"")), PROPER(REGEXEXTRACT($M13, ""Deep .earning|deep .earning"")), PROPER(REGEXEXTRACT($M13, "".tatistic"")), PROPER(REGEXEXTRACT($M13, ""Git|git"")), PROPER(REGEXEXTRACT($M13, "".crum"")), PROPER(REGEXEXTRACT($M13, "".gile"")), PROPER(R"&amp;"EGEXEXTRACT($M13, ""Jira|jira"")), PROPER(REGEXEXTRACT($M13, "".inux""))}))"),"SQL, Excel")</f>
        <v>SQL, Excel</v>
      </c>
      <c r="L13" s="76" t="str">
        <f>IFERROR(__xludf.DUMMYFUNCTION("TEXTJOIN("", "", TRUE, IFERROR(PROPER(REGEXEXTRACT($M13, "".ull .ime|.ull-.ime|.ermanent|.ontract|.art .ime|.art-.ime|.emporary|.nternship|.pprenticeship|.ommision|.olunteer"")), ""No job type data""))"),"Contract")</f>
        <v>Contract</v>
      </c>
      <c r="M13" s="77" t="s">
        <v>568</v>
      </c>
      <c r="N13" s="16"/>
    </row>
    <row r="14" ht="15.75" customHeight="1">
      <c r="A14" s="71">
        <v>13.0</v>
      </c>
      <c r="B14" s="3" t="s">
        <v>569</v>
      </c>
      <c r="C14" s="73">
        <f>IFERROR(__xludf.DUMMYFUNCTION("TODAY() - REGEXEXTRACT($B14, ""\d+"")"),45385.0)</f>
        <v>45385</v>
      </c>
      <c r="D14" s="3" t="s">
        <v>570</v>
      </c>
      <c r="E14" s="3" t="s">
        <v>571</v>
      </c>
      <c r="F14" s="3" t="s">
        <v>572</v>
      </c>
      <c r="G14" s="3" t="s">
        <v>573</v>
      </c>
      <c r="H14" s="74">
        <f>IFERROR(__xludf.DUMMYFUNCTION("IFERROR(AVERAGE(SPLIT(REGEXREPLACE($G14, ""[a-zA-Z]|-|£"", """"), "" "", 0, 1)), ""No Salary Data"")"),21.74)</f>
        <v>21.74</v>
      </c>
      <c r="I14" s="75" t="str">
        <f>IFERROR(__xludf.DUMMYFUNCTION("IF($G14 = ""None"", ""No Salary Data"", REGEXEXTRACT($G14, ""[a-zA-Z]{3,}""))"),"hour")</f>
        <v>hour</v>
      </c>
      <c r="J14" s="74">
        <f t="shared" si="1"/>
        <v>41740.8</v>
      </c>
      <c r="K14" s="75" t="str">
        <f>IFERROR(__xludf.DUMMYFUNCTION("TEXTJOIN("", "", TRUE, IFERROR({PROPER(REGEXEXTRACT($M14, "".ython"")), REGEXEXTRACT($M14, ""SQL""), PROPER(REGEXEXTRACT($M14, "".ableau"")), PROPER(REGEXEXTRACT($M14, "".xcel"")), PROPER(REGEXEXTRACT($M14, "".oogle .heets"")), 
PROPER(REGEXEXTRACT($M14, "&amp;""".achine .earning"")), PROPER(REGEXEXTRACT($M14, ""Deep .earning|deep .earning"")), PROPER(REGEXEXTRACT($M14, "".tatistic"")), PROPER(REGEXEXTRACT($M14, ""Git|git"")), PROPER(REGEXEXTRACT($M14, "".crum"")), PROPER(REGEXEXTRACT($M14, "".gile"")), PROPER(R"&amp;"EGEXEXTRACT($M14, ""Jira|jira"")), PROPER(REGEXEXTRACT($M14, "".inux""))}))"),"Python, SQL, Git")</f>
        <v>Python, SQL, Git</v>
      </c>
      <c r="L14" s="76" t="str">
        <f>IFERROR(__xludf.DUMMYFUNCTION("TEXTJOIN("", "", TRUE, IFERROR(PROPER(REGEXEXTRACT($M14, "".ull .ime|.ull-.ime|.ermanent|.ontract|.art .ime|.art-.ime|.emporary|.nternship|.pprenticeship|.ommision|.olunteer"")), ""No job type data""))"),"Permanent")</f>
        <v>Permanent</v>
      </c>
      <c r="M14" s="80" t="s">
        <v>574</v>
      </c>
      <c r="N14" s="16"/>
    </row>
    <row r="15" ht="15.75" customHeight="1">
      <c r="A15" s="71">
        <v>14.0</v>
      </c>
      <c r="B15" s="3" t="s">
        <v>575</v>
      </c>
      <c r="C15" s="73">
        <f>IFERROR(__xludf.DUMMYFUNCTION("TODAY() - REGEXEXTRACT($B15, ""\d+"")"),45381.0)</f>
        <v>45381</v>
      </c>
      <c r="D15" s="3" t="s">
        <v>576</v>
      </c>
      <c r="E15" s="50" t="s">
        <v>511</v>
      </c>
      <c r="F15" s="3" t="s">
        <v>577</v>
      </c>
      <c r="G15" s="3" t="s">
        <v>578</v>
      </c>
      <c r="H15" s="74">
        <f>IFERROR(__xludf.DUMMYFUNCTION("IFERROR(AVERAGE(SPLIT(REGEXREPLACE($G15, ""[a-zA-Z]|-|£"", """"), "" "", 0, 1)), ""No Salary Data"")"),550.0)</f>
        <v>550</v>
      </c>
      <c r="I15" s="75" t="str">
        <f>IFERROR(__xludf.DUMMYFUNCTION("IF($G15 = ""None"", ""No Salary Data"", REGEXEXTRACT($G15, ""[a-zA-Z]{3,}""))"),"day")</f>
        <v>day</v>
      </c>
      <c r="J15" s="74">
        <f t="shared" si="1"/>
        <v>145200</v>
      </c>
      <c r="K15" s="75" t="str">
        <f>IFERROR(__xludf.DUMMYFUNCTION("TEXTJOIN("", "", TRUE, IFERROR({PROPER(REGEXEXTRACT($M15, "".ython"")), REGEXEXTRACT($M15, ""SQL""), PROPER(REGEXEXTRACT($M15, "".ableau"")), PROPER(REGEXEXTRACT($M15, "".xcel"")), PROPER(REGEXEXTRACT($M15, "".oogle .heets"")), 
PROPER(REGEXEXTRACT($M15, "&amp;""".achine .earning"")), PROPER(REGEXEXTRACT($M15, ""Deep .earning|deep .earning"")), PROPER(REGEXEXTRACT($M15, "".tatistic"")), PROPER(REGEXEXTRACT($M15, ""Git|git"")), PROPER(REGEXEXTRACT($M15, "".crum"")), PROPER(REGEXEXTRACT($M15, "".gile"")), PROPER(R"&amp;"EGEXEXTRACT($M15, ""Jira|jira"")), PROPER(REGEXEXTRACT($M15, "".inux""))}))"),"SQL, Tableau, Excel, Statistic, Git")</f>
        <v>SQL, Tableau, Excel, Statistic, Git</v>
      </c>
      <c r="L15" s="76" t="str">
        <f>IFERROR(__xludf.DUMMYFUNCTION("TEXTJOIN("", "", TRUE, IFERROR(PROPER(REGEXEXTRACT($M15, "".ull .ime|.ull-.ime|.ermanent|.ontract|.art .ime|.art-.ime|.emporary|.nternship|.pprenticeship|.ommision|.olunteer"")), ""No job type data""))"),"No job type data")</f>
        <v>No job type data</v>
      </c>
      <c r="M15" s="80" t="s">
        <v>579</v>
      </c>
      <c r="N15" s="16"/>
    </row>
    <row r="16" ht="15.0" customHeight="1">
      <c r="A16" s="71">
        <v>15.0</v>
      </c>
      <c r="B16" s="72" t="s">
        <v>554</v>
      </c>
      <c r="C16" s="73">
        <f>IFERROR(__xludf.DUMMYFUNCTION("TODAY() - REGEXEXTRACT($B16, ""\d+"")"),45374.0)</f>
        <v>45374</v>
      </c>
      <c r="D16" s="72" t="s">
        <v>580</v>
      </c>
      <c r="E16" s="72" t="s">
        <v>511</v>
      </c>
      <c r="F16" s="72" t="s">
        <v>581</v>
      </c>
      <c r="G16" s="72" t="s">
        <v>582</v>
      </c>
      <c r="H16" s="74">
        <f>IFERROR(__xludf.DUMMYFUNCTION("IFERROR(AVERAGE(SPLIT(REGEXREPLACE($G16, ""[a-zA-Z]|-|£"", """"), "" "", 0, 1)), ""No Salary Data"")"),312.5)</f>
        <v>312.5</v>
      </c>
      <c r="I16" s="75" t="str">
        <f>IFERROR(__xludf.DUMMYFUNCTION("IF($G16 = ""None"", ""No Salary Data"", REGEXEXTRACT($G16, ""[a-zA-Z]{3,}""))"),"day")</f>
        <v>day</v>
      </c>
      <c r="J16" s="74">
        <f t="shared" si="1"/>
        <v>82500</v>
      </c>
      <c r="K16" s="75" t="str">
        <f>IFERROR(__xludf.DUMMYFUNCTION("TEXTJOIN("", "", TRUE, IFERROR({PROPER(REGEXEXTRACT($M16, "".ython"")), REGEXEXTRACT($M16, ""SQL""), PROPER(REGEXEXTRACT($M16, "".ableau"")), PROPER(REGEXEXTRACT($M16, "".xcel"")), PROPER(REGEXEXTRACT($M16, "".oogle .heets"")), 
PROPER(REGEXEXTRACT($M16, "&amp;""".achine .earning"")), PROPER(REGEXEXTRACT($M16, ""Deep .earning|deep .earning"")), PROPER(REGEXEXTRACT($M16, "".tatistic"")), PROPER(REGEXEXTRACT($M16, ""Git|git"")), PROPER(REGEXEXTRACT($M16, "".crum"")), PROPER(REGEXEXTRACT($M16, "".gile"")), PROPER(R"&amp;"EGEXEXTRACT($M16, ""Jira|jira"")), PROPER(REGEXEXTRACT($M16, "".inux""))}))"),"Python, SQL, Tableau, Agile")</f>
        <v>Python, SQL, Tableau, Agile</v>
      </c>
      <c r="L16" s="76" t="str">
        <f>IFERROR(__xludf.DUMMYFUNCTION("TEXTJOIN("", "", TRUE, IFERROR(PROPER(REGEXEXTRACT($M16, "".ull .ime|.ull-.ime|.ermanent|.ontract|.art .ime|.art-.ime|.emporary|.nternship|.pprenticeship|.ommision|.olunteer"")), ""No job type data""))"),"Contract")</f>
        <v>Contract</v>
      </c>
      <c r="M16" s="77" t="s">
        <v>583</v>
      </c>
      <c r="N16" s="16"/>
    </row>
    <row r="17" ht="15.0" customHeight="1">
      <c r="A17" s="71">
        <v>16.0</v>
      </c>
      <c r="B17" s="3" t="s">
        <v>515</v>
      </c>
      <c r="C17" s="73">
        <f>IFERROR(__xludf.DUMMYFUNCTION("TODAY() - REGEXEXTRACT($B17, ""\d+"")"),45393.0)</f>
        <v>45393</v>
      </c>
      <c r="D17" s="3" t="s">
        <v>584</v>
      </c>
      <c r="E17" s="3" t="s">
        <v>585</v>
      </c>
      <c r="F17" s="3" t="s">
        <v>586</v>
      </c>
      <c r="G17" s="3" t="s">
        <v>587</v>
      </c>
      <c r="H17" s="74">
        <f>IFERROR(__xludf.DUMMYFUNCTION("IFERROR(AVERAGE(SPLIT(REGEXREPLACE($G17, ""[a-zA-Z]|-|£"", """"), "" "", 0, 1)), ""No Salary Data"")"),350.0)</f>
        <v>350</v>
      </c>
      <c r="I17" s="75" t="str">
        <f>IFERROR(__xludf.DUMMYFUNCTION("IF($G17 = ""None"", ""No Salary Data"", REGEXEXTRACT($G17, ""[a-zA-Z]{3,}""))"),"week")</f>
        <v>week</v>
      </c>
      <c r="J17" s="74">
        <f t="shared" si="1"/>
        <v>16800</v>
      </c>
      <c r="K17" s="75" t="str">
        <f>IFERROR(__xludf.DUMMYFUNCTION("TEXTJOIN("", "", TRUE, IFERROR({PROPER(REGEXEXTRACT($M17, "".ython"")), REGEXEXTRACT($M17, ""SQL""), PROPER(REGEXEXTRACT($M17, "".ableau"")), PROPER(REGEXEXTRACT($M17, "".xcel"")), PROPER(REGEXEXTRACT($M17, "".oogle .heets"")), 
PROPER(REGEXEXTRACT($M17, "&amp;""".achine .earning"")), PROPER(REGEXEXTRACT($M17, ""Deep .earning|deep .earning"")), PROPER(REGEXEXTRACT($M17, "".tatistic"")), PROPER(REGEXEXTRACT($M17, ""Git|git"")), PROPER(REGEXEXTRACT($M17, "".crum"")), PROPER(REGEXEXTRACT($M17, "".gile"")), PROPER(R"&amp;"EGEXEXTRACT($M17, ""Jira|jira"")), PROPER(REGEXEXTRACT($M17, "".inux""))}))"),"SQL, Excel")</f>
        <v>SQL, Excel</v>
      </c>
      <c r="L17" s="76" t="str">
        <f>IFERROR(__xludf.DUMMYFUNCTION("TEXTJOIN("", "", TRUE, IFERROR(PROPER(REGEXEXTRACT($M17, "".ull .ime|.ull-.ime|.ermanent|.ontract|.art .ime|.art-.ime|.emporary|.nternship|.pprenticeship|.ommision|.olunteer"")), ""No job type data""))"),"Contract")</f>
        <v>Contract</v>
      </c>
      <c r="M17" s="80" t="s">
        <v>588</v>
      </c>
      <c r="N17" s="16"/>
    </row>
    <row r="18" ht="15.0" customHeight="1">
      <c r="A18" s="81"/>
      <c r="B18" s="2"/>
      <c r="C18" s="2"/>
      <c r="D18" s="2"/>
      <c r="E18" s="2"/>
      <c r="F18" s="2"/>
      <c r="G18" s="2"/>
      <c r="H18" s="2"/>
      <c r="I18" s="2"/>
      <c r="J18" s="2"/>
      <c r="K18" s="2"/>
      <c r="L18" s="2"/>
      <c r="M18" s="2"/>
      <c r="N18" s="16"/>
    </row>
    <row r="19" ht="15.0" customHeight="1">
      <c r="A19" s="81"/>
      <c r="B19" s="82"/>
      <c r="D19" s="2"/>
      <c r="E19" s="2"/>
      <c r="F19" s="2"/>
      <c r="G19" s="2"/>
      <c r="H19" s="2"/>
      <c r="I19" s="2"/>
      <c r="J19" s="2"/>
      <c r="K19" s="4" t="s">
        <v>589</v>
      </c>
      <c r="L19" s="2"/>
      <c r="M19" s="2"/>
      <c r="N19" s="16"/>
    </row>
    <row r="20" ht="15.0" customHeight="1">
      <c r="A20" s="81"/>
      <c r="B20" s="2"/>
      <c r="C20" s="2"/>
      <c r="D20" s="2"/>
      <c r="E20" s="2"/>
      <c r="F20" s="2"/>
      <c r="G20" s="2"/>
      <c r="H20" s="2"/>
      <c r="I20" s="2"/>
      <c r="J20" s="2"/>
      <c r="K20" s="19" t="str">
        <f>IFERROR(__xludf.DUMMYFUNCTION("UNIQUE(FLATTEN( SPLIT( TEXTJOIN("", "", 1, K2:K17), "", "", 0, 1)))"),"Machine Learning")</f>
        <v>Machine Learning</v>
      </c>
      <c r="L20" s="2"/>
      <c r="M20" s="19" t="str">
        <f>IFERROR(__xludf.DUMMYFUNCTION("UNIQUE( TRANSPOSE( SPLIT( TEXTJOIN("", "", 1, K2:K17), "", "", 0, 1)))"),"Machine Learning")</f>
        <v>Machine Learning</v>
      </c>
      <c r="N20" s="16"/>
    </row>
    <row r="21" ht="15.0" customHeight="1">
      <c r="A21" s="81"/>
      <c r="B21" s="2"/>
      <c r="C21" s="2"/>
      <c r="D21" s="2"/>
      <c r="E21" s="2"/>
      <c r="F21" s="2"/>
      <c r="G21" s="2"/>
      <c r="H21" s="2"/>
      <c r="I21" s="2"/>
      <c r="J21" s="2"/>
      <c r="K21" s="2" t="str">
        <f>IFERROR(__xludf.DUMMYFUNCTION("""COMPUTED_VALUE"""),"Statistic")</f>
        <v>Statistic</v>
      </c>
      <c r="L21" s="2"/>
      <c r="M21" s="2" t="str">
        <f>IFERROR(__xludf.DUMMYFUNCTION("""COMPUTED_VALUE"""),"Statistic")</f>
        <v>Statistic</v>
      </c>
      <c r="N21" s="16"/>
    </row>
    <row r="22" ht="15.0" customHeight="1">
      <c r="A22" s="81"/>
      <c r="B22" s="2"/>
      <c r="C22" s="2"/>
      <c r="D22" s="2"/>
      <c r="E22" s="2"/>
      <c r="G22" s="2"/>
      <c r="H22" s="62" t="str">
        <f t="array" ref="H22:I23">{I15:I16, I11:I12}</f>
        <v>day</v>
      </c>
      <c r="I22" s="62" t="s">
        <v>590</v>
      </c>
      <c r="J22" s="62" t="str">
        <f t="array" ref="J22:J25">{I15:I16; I11:I12}</f>
        <v>day</v>
      </c>
      <c r="K22" s="2" t="str">
        <f>IFERROR(__xludf.DUMMYFUNCTION("""COMPUTED_VALUE"""),"SQL")</f>
        <v>SQL</v>
      </c>
      <c r="L22" s="2"/>
      <c r="M22" s="2" t="str">
        <f>IFERROR(__xludf.DUMMYFUNCTION("""COMPUTED_VALUE"""),"SQL")</f>
        <v>SQL</v>
      </c>
      <c r="N22" s="16"/>
    </row>
    <row r="23">
      <c r="A23" s="81"/>
      <c r="B23" s="2"/>
      <c r="C23" s="2"/>
      <c r="D23" s="2"/>
      <c r="E23" s="2"/>
      <c r="F23" s="2"/>
      <c r="G23" s="2"/>
      <c r="H23" s="2" t="s">
        <v>591</v>
      </c>
      <c r="I23" s="2" t="s">
        <v>592</v>
      </c>
      <c r="J23" s="2" t="s">
        <v>591</v>
      </c>
      <c r="K23" s="2" t="str">
        <f>IFERROR(__xludf.DUMMYFUNCTION("""COMPUTED_VALUE"""),"Agile")</f>
        <v>Agile</v>
      </c>
      <c r="L23" s="2"/>
      <c r="M23" s="2" t="str">
        <f>IFERROR(__xludf.DUMMYFUNCTION("""COMPUTED_VALUE"""),"Agile")</f>
        <v>Agile</v>
      </c>
      <c r="N23" s="16"/>
    </row>
    <row r="24">
      <c r="A24" s="81"/>
      <c r="B24" s="2"/>
      <c r="C24" s="2"/>
      <c r="D24" s="2"/>
      <c r="E24" s="2"/>
      <c r="F24" s="2"/>
      <c r="G24" s="2"/>
      <c r="H24" s="2"/>
      <c r="I24" s="2"/>
      <c r="J24" s="2" t="s">
        <v>590</v>
      </c>
      <c r="K24" s="2" t="str">
        <f>IFERROR(__xludf.DUMMYFUNCTION("""COMPUTED_VALUE"""),"Python")</f>
        <v>Python</v>
      </c>
      <c r="L24" s="2"/>
      <c r="M24" s="2" t="str">
        <f>IFERROR(__xludf.DUMMYFUNCTION("""COMPUTED_VALUE"""),"Python")</f>
        <v>Python</v>
      </c>
      <c r="N24" s="16"/>
    </row>
    <row r="25">
      <c r="A25" s="81"/>
      <c r="B25" s="2"/>
      <c r="C25" s="2"/>
      <c r="D25" s="2"/>
      <c r="E25" s="2"/>
      <c r="F25" s="2"/>
      <c r="G25" s="2"/>
      <c r="H25" s="2"/>
      <c r="I25" s="2"/>
      <c r="J25" s="2" t="s">
        <v>592</v>
      </c>
      <c r="K25" s="2" t="str">
        <f>IFERROR(__xludf.DUMMYFUNCTION("""COMPUTED_VALUE"""),"Excel")</f>
        <v>Excel</v>
      </c>
      <c r="L25" s="2"/>
      <c r="M25" s="2" t="str">
        <f>IFERROR(__xludf.DUMMYFUNCTION("""COMPUTED_VALUE"""),"Excel")</f>
        <v>Excel</v>
      </c>
      <c r="N25" s="16"/>
    </row>
    <row r="26">
      <c r="A26" s="81"/>
      <c r="B26" s="2"/>
      <c r="C26" s="2"/>
      <c r="D26" s="2"/>
      <c r="E26" s="2"/>
      <c r="F26" s="2"/>
      <c r="G26" s="2"/>
      <c r="H26" s="2"/>
      <c r="I26" s="2"/>
      <c r="J26" s="2"/>
      <c r="K26" s="2" t="str">
        <f>IFERROR(__xludf.DUMMYFUNCTION("""COMPUTED_VALUE"""),"Tableau")</f>
        <v>Tableau</v>
      </c>
      <c r="L26" s="2"/>
      <c r="M26" s="2" t="str">
        <f>IFERROR(__xludf.DUMMYFUNCTION("""COMPUTED_VALUE"""),"Tableau")</f>
        <v>Tableau</v>
      </c>
      <c r="N26" s="16"/>
    </row>
    <row r="27">
      <c r="A27" s="81"/>
      <c r="B27" s="2"/>
      <c r="C27" s="2"/>
      <c r="D27" s="2"/>
      <c r="E27" s="2"/>
      <c r="F27" s="2"/>
      <c r="G27" s="2"/>
      <c r="H27" s="2"/>
      <c r="I27" s="2"/>
      <c r="J27" s="2"/>
      <c r="K27" s="2" t="str">
        <f>IFERROR(__xludf.DUMMYFUNCTION("""COMPUTED_VALUE"""),"Git")</f>
        <v>Git</v>
      </c>
      <c r="L27" s="2"/>
      <c r="M27" s="2" t="str">
        <f>IFERROR(__xludf.DUMMYFUNCTION("""COMPUTED_VALUE"""),"Git")</f>
        <v>Git</v>
      </c>
      <c r="N27" s="16"/>
    </row>
    <row r="28">
      <c r="A28" s="81"/>
      <c r="B28" s="2"/>
      <c r="C28" s="2"/>
      <c r="D28" s="2"/>
      <c r="E28" s="2"/>
      <c r="F28" s="2"/>
      <c r="G28" s="2"/>
      <c r="H28" s="2"/>
      <c r="I28" s="2"/>
      <c r="J28" s="2"/>
      <c r="K28" s="2"/>
      <c r="L28" s="2"/>
      <c r="M28" s="2"/>
      <c r="N28" s="16"/>
    </row>
    <row r="29">
      <c r="A29" s="81"/>
      <c r="B29" s="2"/>
      <c r="C29" s="2"/>
      <c r="D29" s="2"/>
      <c r="E29" s="2"/>
      <c r="F29" s="2"/>
      <c r="G29" s="2"/>
      <c r="H29" s="2"/>
      <c r="I29" s="2"/>
      <c r="J29" s="2"/>
      <c r="K29" s="2"/>
      <c r="L29" s="2"/>
      <c r="M29" s="2"/>
      <c r="N29" s="16"/>
    </row>
    <row r="30">
      <c r="A30" s="81"/>
      <c r="B30" s="2"/>
      <c r="C30" s="2"/>
      <c r="D30" s="2"/>
      <c r="E30" s="2"/>
      <c r="F30" s="2"/>
      <c r="G30" s="2"/>
      <c r="H30" s="2"/>
      <c r="I30" s="2"/>
      <c r="J30" s="2"/>
      <c r="K30" s="2"/>
      <c r="L30" s="2"/>
      <c r="M30" s="2"/>
      <c r="N30" s="16"/>
    </row>
    <row r="31">
      <c r="A31" s="81"/>
      <c r="B31" s="2"/>
      <c r="C31" s="2"/>
      <c r="D31" s="2"/>
      <c r="E31" s="2"/>
      <c r="F31" s="2"/>
      <c r="G31" s="2"/>
      <c r="H31" s="2"/>
      <c r="I31" s="2"/>
      <c r="J31" s="2"/>
      <c r="K31" s="2"/>
      <c r="L31" s="2"/>
      <c r="M31" s="2"/>
      <c r="N31" s="16"/>
    </row>
    <row r="32">
      <c r="A32" s="81"/>
      <c r="B32" s="2"/>
      <c r="C32" s="2"/>
      <c r="D32" s="2"/>
      <c r="E32" s="2"/>
      <c r="F32" s="2"/>
      <c r="G32" s="2"/>
      <c r="H32" s="2"/>
      <c r="I32" s="2"/>
      <c r="J32" s="2"/>
      <c r="K32" s="2"/>
      <c r="L32" s="2"/>
      <c r="M32" s="2"/>
      <c r="N32" s="16"/>
    </row>
    <row r="33">
      <c r="A33" s="81"/>
      <c r="B33" s="2"/>
      <c r="C33" s="2"/>
      <c r="D33" s="2"/>
      <c r="E33" s="2"/>
      <c r="F33" s="2"/>
      <c r="G33" s="2"/>
      <c r="H33" s="2"/>
      <c r="I33" s="2"/>
      <c r="J33" s="2"/>
      <c r="K33" s="2"/>
      <c r="L33" s="2"/>
      <c r="M33" s="2"/>
      <c r="N33" s="16"/>
    </row>
    <row r="34">
      <c r="A34" s="81"/>
      <c r="B34" s="2"/>
      <c r="C34" s="2"/>
      <c r="D34" s="2"/>
      <c r="E34" s="2"/>
      <c r="F34" s="2"/>
      <c r="G34" s="2"/>
      <c r="H34" s="2"/>
      <c r="I34" s="2"/>
      <c r="J34" s="2"/>
      <c r="K34" s="2"/>
      <c r="L34" s="2"/>
      <c r="M34" s="2"/>
      <c r="N34" s="16"/>
    </row>
    <row r="35">
      <c r="A35" s="81"/>
      <c r="B35" s="2"/>
      <c r="C35" s="2"/>
      <c r="D35" s="2"/>
      <c r="E35" s="2"/>
      <c r="F35" s="2"/>
      <c r="G35" s="2"/>
      <c r="H35" s="2"/>
      <c r="I35" s="2"/>
      <c r="J35" s="2"/>
      <c r="K35" s="2"/>
      <c r="L35" s="2"/>
      <c r="M35" s="2"/>
      <c r="N35" s="16"/>
    </row>
    <row r="36">
      <c r="A36" s="81"/>
      <c r="B36" s="2"/>
      <c r="C36" s="2"/>
      <c r="D36" s="2"/>
      <c r="E36" s="2"/>
      <c r="F36" s="2"/>
      <c r="G36" s="2"/>
      <c r="H36" s="2"/>
      <c r="I36" s="2"/>
      <c r="J36" s="2"/>
      <c r="K36" s="2"/>
      <c r="L36" s="2"/>
      <c r="M36" s="2"/>
      <c r="N36" s="16"/>
    </row>
    <row r="37">
      <c r="A37" s="81"/>
      <c r="B37" s="2"/>
      <c r="C37" s="2"/>
      <c r="D37" s="2"/>
      <c r="E37" s="2"/>
      <c r="F37" s="2"/>
      <c r="G37" s="2"/>
      <c r="H37" s="2"/>
      <c r="I37" s="2"/>
      <c r="J37" s="2"/>
      <c r="K37" s="2"/>
      <c r="L37" s="2"/>
      <c r="M37" s="2"/>
      <c r="N37" s="16"/>
    </row>
    <row r="38">
      <c r="A38" s="81"/>
      <c r="B38" s="2"/>
      <c r="C38" s="2"/>
      <c r="D38" s="2"/>
      <c r="E38" s="2"/>
      <c r="F38" s="2"/>
      <c r="G38" s="2"/>
      <c r="H38" s="2"/>
      <c r="I38" s="2"/>
      <c r="J38" s="2"/>
      <c r="K38" s="2"/>
      <c r="L38" s="2"/>
      <c r="M38" s="2"/>
      <c r="N38" s="16"/>
    </row>
    <row r="39">
      <c r="A39" s="81"/>
      <c r="B39" s="2"/>
      <c r="C39" s="2"/>
      <c r="D39" s="2"/>
      <c r="E39" s="2"/>
      <c r="F39" s="2"/>
      <c r="G39" s="2"/>
      <c r="H39" s="2"/>
      <c r="I39" s="2"/>
      <c r="J39" s="2"/>
      <c r="K39" s="2"/>
      <c r="L39" s="2"/>
      <c r="M39" s="2"/>
      <c r="N39" s="16"/>
    </row>
    <row r="40">
      <c r="A40" s="81"/>
      <c r="B40" s="2"/>
      <c r="C40" s="2"/>
      <c r="D40" s="2"/>
      <c r="E40" s="2"/>
      <c r="F40" s="2"/>
      <c r="G40" s="2"/>
      <c r="H40" s="2"/>
      <c r="I40" s="2"/>
      <c r="J40" s="2"/>
      <c r="K40" s="2"/>
      <c r="L40" s="2"/>
      <c r="M40" s="2"/>
      <c r="N40" s="16"/>
    </row>
    <row r="41">
      <c r="A41" s="81"/>
      <c r="B41" s="2"/>
      <c r="C41" s="2"/>
      <c r="D41" s="2"/>
      <c r="E41" s="2"/>
      <c r="F41" s="2"/>
      <c r="G41" s="2"/>
      <c r="H41" s="2"/>
      <c r="I41" s="2"/>
      <c r="J41" s="2"/>
      <c r="K41" s="2"/>
      <c r="L41" s="2"/>
      <c r="M41" s="2"/>
      <c r="N41" s="16"/>
    </row>
    <row r="42">
      <c r="A42" s="81"/>
      <c r="B42" s="2"/>
      <c r="C42" s="2"/>
      <c r="D42" s="2"/>
      <c r="E42" s="2"/>
      <c r="F42" s="2"/>
      <c r="G42" s="2"/>
      <c r="H42" s="2"/>
      <c r="I42" s="2"/>
      <c r="J42" s="2"/>
      <c r="K42" s="2"/>
      <c r="L42" s="2"/>
      <c r="M42" s="2"/>
      <c r="N42" s="16"/>
    </row>
    <row r="43">
      <c r="A43" s="81"/>
      <c r="B43" s="2"/>
      <c r="C43" s="2"/>
      <c r="D43" s="2"/>
      <c r="E43" s="2"/>
      <c r="F43" s="2"/>
      <c r="G43" s="2"/>
      <c r="H43" s="2"/>
      <c r="I43" s="2"/>
      <c r="J43" s="2"/>
      <c r="K43" s="2"/>
      <c r="L43" s="2"/>
      <c r="M43" s="2"/>
      <c r="N43" s="16"/>
    </row>
    <row r="44">
      <c r="A44" s="81"/>
      <c r="B44" s="2"/>
      <c r="C44" s="2"/>
      <c r="D44" s="2"/>
      <c r="E44" s="2"/>
      <c r="F44" s="2"/>
      <c r="G44" s="2"/>
      <c r="H44" s="2"/>
      <c r="I44" s="2"/>
      <c r="J44" s="2"/>
      <c r="K44" s="2"/>
      <c r="L44" s="2"/>
      <c r="M44" s="2"/>
      <c r="N44" s="16"/>
    </row>
    <row r="45">
      <c r="A45" s="81"/>
      <c r="B45" s="2"/>
      <c r="C45" s="2"/>
      <c r="D45" s="2"/>
      <c r="E45" s="2"/>
      <c r="F45" s="2"/>
      <c r="G45" s="2"/>
      <c r="H45" s="2"/>
      <c r="I45" s="2"/>
      <c r="J45" s="2"/>
      <c r="K45" s="2"/>
      <c r="L45" s="2"/>
      <c r="M45" s="2"/>
      <c r="N45" s="16"/>
    </row>
    <row r="46">
      <c r="A46" s="81"/>
      <c r="B46" s="2"/>
      <c r="C46" s="2"/>
      <c r="D46" s="2"/>
      <c r="E46" s="2"/>
      <c r="F46" s="2"/>
      <c r="G46" s="2"/>
      <c r="H46" s="2"/>
      <c r="I46" s="2"/>
      <c r="J46" s="2"/>
      <c r="K46" s="2"/>
      <c r="L46" s="2"/>
      <c r="M46" s="2"/>
      <c r="N46" s="16"/>
    </row>
    <row r="47">
      <c r="A47" s="81"/>
      <c r="B47" s="2"/>
      <c r="C47" s="2"/>
      <c r="D47" s="2"/>
      <c r="E47" s="2"/>
      <c r="F47" s="2"/>
      <c r="G47" s="2"/>
      <c r="H47" s="2"/>
      <c r="I47" s="2"/>
      <c r="J47" s="2"/>
      <c r="K47" s="2"/>
      <c r="L47" s="2"/>
      <c r="M47" s="2"/>
      <c r="N47" s="16"/>
    </row>
    <row r="48">
      <c r="A48" s="81"/>
      <c r="B48" s="2"/>
      <c r="C48" s="2"/>
      <c r="D48" s="2"/>
      <c r="E48" s="2"/>
      <c r="F48" s="2"/>
      <c r="G48" s="2"/>
      <c r="H48" s="2"/>
      <c r="I48" s="2"/>
      <c r="J48" s="2"/>
      <c r="K48" s="2"/>
      <c r="L48" s="2"/>
      <c r="M48" s="2"/>
      <c r="N48" s="16"/>
    </row>
    <row r="49">
      <c r="A49" s="81"/>
      <c r="B49" s="2"/>
      <c r="C49" s="2"/>
      <c r="D49" s="2"/>
      <c r="E49" s="2"/>
      <c r="F49" s="2"/>
      <c r="G49" s="2"/>
      <c r="H49" s="2"/>
      <c r="I49" s="2"/>
      <c r="J49" s="2"/>
      <c r="K49" s="2"/>
      <c r="L49" s="2"/>
      <c r="M49" s="2"/>
      <c r="N49" s="16"/>
    </row>
    <row r="50">
      <c r="A50" s="81"/>
      <c r="B50" s="2"/>
      <c r="C50" s="2"/>
      <c r="D50" s="2"/>
      <c r="E50" s="2"/>
      <c r="F50" s="2"/>
      <c r="G50" s="2"/>
      <c r="H50" s="2"/>
      <c r="I50" s="2"/>
      <c r="J50" s="2"/>
      <c r="K50" s="2"/>
      <c r="L50" s="2"/>
      <c r="M50" s="2"/>
      <c r="N50" s="16"/>
    </row>
    <row r="51">
      <c r="A51" s="81"/>
      <c r="B51" s="2"/>
      <c r="C51" s="2"/>
      <c r="D51" s="2"/>
      <c r="E51" s="2"/>
      <c r="F51" s="2"/>
      <c r="G51" s="2"/>
      <c r="H51" s="2"/>
      <c r="I51" s="2"/>
      <c r="J51" s="2"/>
      <c r="K51" s="2"/>
      <c r="L51" s="2"/>
      <c r="M51" s="2"/>
      <c r="N51" s="16"/>
    </row>
    <row r="52">
      <c r="A52" s="81"/>
      <c r="B52" s="2"/>
      <c r="C52" s="2"/>
      <c r="D52" s="2"/>
      <c r="E52" s="2"/>
      <c r="F52" s="2"/>
      <c r="G52" s="2"/>
      <c r="H52" s="2"/>
      <c r="I52" s="2"/>
      <c r="J52" s="2"/>
      <c r="K52" s="2"/>
      <c r="L52" s="2"/>
      <c r="M52" s="2"/>
      <c r="N52" s="16"/>
    </row>
    <row r="53">
      <c r="A53" s="81"/>
      <c r="B53" s="2"/>
      <c r="C53" s="2"/>
      <c r="D53" s="2"/>
      <c r="E53" s="2"/>
      <c r="F53" s="2"/>
      <c r="G53" s="2"/>
      <c r="H53" s="2"/>
      <c r="I53" s="2"/>
      <c r="J53" s="2"/>
      <c r="K53" s="2"/>
      <c r="L53" s="2"/>
      <c r="M53" s="2"/>
      <c r="N53" s="16"/>
    </row>
    <row r="54">
      <c r="A54" s="81"/>
      <c r="B54" s="2"/>
      <c r="C54" s="2"/>
      <c r="D54" s="2"/>
      <c r="E54" s="2"/>
      <c r="F54" s="2"/>
      <c r="G54" s="2"/>
      <c r="H54" s="2"/>
      <c r="I54" s="2"/>
      <c r="J54" s="2"/>
      <c r="K54" s="2"/>
      <c r="L54" s="2"/>
      <c r="M54" s="2"/>
      <c r="N54" s="16"/>
    </row>
    <row r="55">
      <c r="A55" s="81"/>
      <c r="B55" s="2"/>
      <c r="C55" s="2"/>
      <c r="D55" s="2"/>
      <c r="E55" s="2"/>
      <c r="F55" s="2"/>
      <c r="G55" s="2"/>
      <c r="H55" s="2"/>
      <c r="I55" s="2"/>
      <c r="J55" s="2"/>
      <c r="K55" s="2"/>
      <c r="L55" s="2"/>
      <c r="M55" s="2"/>
      <c r="N55" s="16"/>
    </row>
    <row r="56">
      <c r="A56" s="81"/>
      <c r="B56" s="2"/>
      <c r="C56" s="2"/>
      <c r="D56" s="2"/>
      <c r="E56" s="2"/>
      <c r="F56" s="2"/>
      <c r="G56" s="2"/>
      <c r="H56" s="2"/>
      <c r="I56" s="2"/>
      <c r="J56" s="2"/>
      <c r="K56" s="2"/>
      <c r="L56" s="2"/>
      <c r="M56" s="2"/>
      <c r="N56" s="16"/>
    </row>
    <row r="57">
      <c r="A57" s="81"/>
      <c r="B57" s="2"/>
      <c r="C57" s="2"/>
      <c r="D57" s="2"/>
      <c r="E57" s="2"/>
      <c r="F57" s="2"/>
      <c r="G57" s="2"/>
      <c r="H57" s="2"/>
      <c r="I57" s="2"/>
      <c r="J57" s="2"/>
      <c r="K57" s="2"/>
      <c r="L57" s="2"/>
      <c r="M57" s="2"/>
      <c r="N57" s="16"/>
    </row>
    <row r="58">
      <c r="A58" s="81"/>
      <c r="B58" s="2"/>
      <c r="C58" s="2"/>
      <c r="D58" s="2"/>
      <c r="E58" s="2"/>
      <c r="F58" s="2"/>
      <c r="G58" s="2"/>
      <c r="H58" s="2"/>
      <c r="I58" s="2"/>
      <c r="J58" s="2"/>
      <c r="K58" s="2"/>
      <c r="L58" s="2"/>
      <c r="M58" s="2"/>
      <c r="N58" s="16"/>
    </row>
    <row r="59">
      <c r="A59" s="81"/>
      <c r="B59" s="2"/>
      <c r="C59" s="2"/>
      <c r="D59" s="2"/>
      <c r="E59" s="2"/>
      <c r="F59" s="2"/>
      <c r="G59" s="2"/>
      <c r="H59" s="2"/>
      <c r="I59" s="2"/>
      <c r="J59" s="2"/>
      <c r="K59" s="2"/>
      <c r="L59" s="2"/>
      <c r="M59" s="2"/>
      <c r="N59" s="16"/>
    </row>
    <row r="60">
      <c r="A60" s="81"/>
      <c r="B60" s="2"/>
      <c r="C60" s="2"/>
      <c r="D60" s="2"/>
      <c r="E60" s="2"/>
      <c r="F60" s="2"/>
      <c r="G60" s="2"/>
      <c r="H60" s="2"/>
      <c r="I60" s="2"/>
      <c r="J60" s="2"/>
      <c r="K60" s="2"/>
      <c r="L60" s="2"/>
      <c r="M60" s="2"/>
      <c r="N60" s="16"/>
    </row>
    <row r="61">
      <c r="A61" s="81"/>
      <c r="B61" s="2"/>
      <c r="C61" s="2"/>
      <c r="D61" s="2"/>
      <c r="E61" s="2"/>
      <c r="F61" s="2"/>
      <c r="G61" s="2"/>
      <c r="H61" s="2"/>
      <c r="I61" s="2"/>
      <c r="J61" s="2"/>
      <c r="K61" s="2"/>
      <c r="L61" s="2"/>
      <c r="M61" s="2"/>
      <c r="N61" s="16"/>
    </row>
    <row r="62">
      <c r="A62" s="81"/>
      <c r="B62" s="2"/>
      <c r="C62" s="2"/>
      <c r="D62" s="2"/>
      <c r="E62" s="2"/>
      <c r="F62" s="2"/>
      <c r="G62" s="2"/>
      <c r="H62" s="2"/>
      <c r="I62" s="2"/>
      <c r="J62" s="2"/>
      <c r="K62" s="2"/>
      <c r="L62" s="2"/>
      <c r="M62" s="2"/>
      <c r="N62" s="16"/>
    </row>
    <row r="63">
      <c r="A63" s="81"/>
      <c r="B63" s="2"/>
      <c r="C63" s="2"/>
      <c r="D63" s="2"/>
      <c r="E63" s="2"/>
      <c r="F63" s="2"/>
      <c r="G63" s="2"/>
      <c r="H63" s="2"/>
      <c r="I63" s="2"/>
      <c r="J63" s="2"/>
      <c r="K63" s="2"/>
      <c r="L63" s="2"/>
      <c r="M63" s="2"/>
      <c r="N63" s="16"/>
    </row>
    <row r="64">
      <c r="A64" s="81"/>
      <c r="B64" s="2"/>
      <c r="C64" s="2"/>
      <c r="D64" s="2"/>
      <c r="E64" s="2"/>
      <c r="F64" s="2"/>
      <c r="G64" s="2"/>
      <c r="H64" s="2"/>
      <c r="I64" s="2"/>
      <c r="J64" s="2"/>
      <c r="K64" s="2"/>
      <c r="L64" s="2"/>
      <c r="M64" s="2"/>
      <c r="N64" s="16"/>
    </row>
    <row r="65">
      <c r="A65" s="81"/>
      <c r="B65" s="2"/>
      <c r="C65" s="2"/>
      <c r="D65" s="2"/>
      <c r="E65" s="2"/>
      <c r="F65" s="2"/>
      <c r="G65" s="2"/>
      <c r="H65" s="2"/>
      <c r="I65" s="2"/>
      <c r="J65" s="2"/>
      <c r="K65" s="2"/>
      <c r="L65" s="2"/>
      <c r="M65" s="2"/>
      <c r="N65" s="16"/>
    </row>
    <row r="66">
      <c r="A66" s="81"/>
      <c r="B66" s="2"/>
      <c r="C66" s="2"/>
      <c r="D66" s="2"/>
      <c r="E66" s="2"/>
      <c r="F66" s="2"/>
      <c r="G66" s="2"/>
      <c r="H66" s="2"/>
      <c r="I66" s="2"/>
      <c r="J66" s="2"/>
      <c r="K66" s="2"/>
      <c r="L66" s="2"/>
      <c r="M66" s="2"/>
      <c r="N66" s="16"/>
    </row>
    <row r="67">
      <c r="A67" s="81"/>
      <c r="B67" s="2"/>
      <c r="C67" s="2"/>
      <c r="D67" s="2"/>
      <c r="E67" s="2"/>
      <c r="F67" s="2"/>
      <c r="G67" s="2"/>
      <c r="H67" s="2"/>
      <c r="I67" s="2"/>
      <c r="J67" s="2"/>
      <c r="K67" s="2"/>
      <c r="L67" s="2"/>
      <c r="M67" s="2"/>
      <c r="N67" s="16"/>
    </row>
    <row r="68">
      <c r="A68" s="81"/>
      <c r="B68" s="2"/>
      <c r="C68" s="2"/>
      <c r="D68" s="2"/>
      <c r="E68" s="2"/>
      <c r="F68" s="2"/>
      <c r="G68" s="2"/>
      <c r="H68" s="2"/>
      <c r="I68" s="2"/>
      <c r="J68" s="2"/>
      <c r="K68" s="2"/>
      <c r="L68" s="2"/>
      <c r="M68" s="2"/>
      <c r="N68" s="16"/>
    </row>
    <row r="69">
      <c r="A69" s="81"/>
      <c r="B69" s="2"/>
      <c r="C69" s="2"/>
      <c r="D69" s="2"/>
      <c r="E69" s="2"/>
      <c r="F69" s="2"/>
      <c r="G69" s="2"/>
      <c r="H69" s="2"/>
      <c r="I69" s="2"/>
      <c r="J69" s="2"/>
      <c r="K69" s="2"/>
      <c r="L69" s="2"/>
      <c r="M69" s="2"/>
      <c r="N69" s="16"/>
    </row>
    <row r="70">
      <c r="A70" s="81"/>
      <c r="B70" s="2"/>
      <c r="C70" s="2"/>
      <c r="D70" s="2"/>
      <c r="E70" s="2"/>
      <c r="F70" s="2"/>
      <c r="G70" s="2"/>
      <c r="H70" s="2"/>
      <c r="I70" s="2"/>
      <c r="J70" s="2"/>
      <c r="K70" s="2"/>
      <c r="L70" s="2"/>
      <c r="M70" s="2"/>
      <c r="N70" s="16"/>
    </row>
    <row r="71">
      <c r="A71" s="81"/>
      <c r="B71" s="2"/>
      <c r="C71" s="2"/>
      <c r="D71" s="2"/>
      <c r="E71" s="2"/>
      <c r="F71" s="2"/>
      <c r="G71" s="2"/>
      <c r="H71" s="2"/>
      <c r="I71" s="2"/>
      <c r="J71" s="2"/>
      <c r="K71" s="2"/>
      <c r="L71" s="2"/>
      <c r="M71" s="2"/>
      <c r="N71" s="16"/>
    </row>
    <row r="72">
      <c r="A72" s="81"/>
      <c r="B72" s="2"/>
      <c r="C72" s="2"/>
      <c r="D72" s="2"/>
      <c r="E72" s="2"/>
      <c r="F72" s="2"/>
      <c r="G72" s="2"/>
      <c r="H72" s="2"/>
      <c r="I72" s="2"/>
      <c r="J72" s="2"/>
      <c r="K72" s="2"/>
      <c r="L72" s="2"/>
      <c r="M72" s="2"/>
      <c r="N72" s="16"/>
    </row>
    <row r="73">
      <c r="A73" s="81"/>
      <c r="B73" s="2"/>
      <c r="C73" s="2"/>
      <c r="D73" s="2"/>
      <c r="E73" s="2"/>
      <c r="F73" s="2"/>
      <c r="G73" s="2"/>
      <c r="H73" s="2"/>
      <c r="I73" s="2"/>
      <c r="J73" s="2"/>
      <c r="K73" s="2"/>
      <c r="L73" s="2"/>
      <c r="M73" s="2"/>
      <c r="N73" s="16"/>
    </row>
    <row r="74">
      <c r="A74" s="81"/>
      <c r="B74" s="2"/>
      <c r="C74" s="2"/>
      <c r="D74" s="2"/>
      <c r="E74" s="2"/>
      <c r="F74" s="2"/>
      <c r="G74" s="2"/>
      <c r="H74" s="2"/>
      <c r="I74" s="2"/>
      <c r="J74" s="2"/>
      <c r="K74" s="2"/>
      <c r="L74" s="2"/>
      <c r="M74" s="2"/>
      <c r="N74" s="16"/>
    </row>
    <row r="75">
      <c r="A75" s="81"/>
      <c r="B75" s="2"/>
      <c r="C75" s="2"/>
      <c r="D75" s="2"/>
      <c r="E75" s="2"/>
      <c r="F75" s="2"/>
      <c r="G75" s="2"/>
      <c r="H75" s="2"/>
      <c r="I75" s="2"/>
      <c r="J75" s="2"/>
      <c r="K75" s="2"/>
      <c r="L75" s="2"/>
      <c r="M75" s="2"/>
      <c r="N75" s="16"/>
    </row>
    <row r="76">
      <c r="A76" s="81"/>
      <c r="B76" s="2"/>
      <c r="C76" s="2"/>
      <c r="D76" s="2"/>
      <c r="E76" s="2"/>
      <c r="F76" s="2"/>
      <c r="G76" s="2"/>
      <c r="H76" s="2"/>
      <c r="I76" s="2"/>
      <c r="J76" s="2"/>
      <c r="K76" s="2"/>
      <c r="L76" s="2"/>
      <c r="M76" s="2"/>
      <c r="N76" s="16"/>
    </row>
    <row r="77">
      <c r="A77" s="81"/>
      <c r="B77" s="2"/>
      <c r="C77" s="2"/>
      <c r="D77" s="2"/>
      <c r="E77" s="2"/>
      <c r="F77" s="2"/>
      <c r="G77" s="2"/>
      <c r="H77" s="2"/>
      <c r="I77" s="2"/>
      <c r="J77" s="2"/>
      <c r="K77" s="2"/>
      <c r="L77" s="2"/>
      <c r="M77" s="2"/>
      <c r="N77" s="16"/>
    </row>
    <row r="78">
      <c r="A78" s="81"/>
      <c r="B78" s="2"/>
      <c r="C78" s="2"/>
      <c r="D78" s="2"/>
      <c r="E78" s="2"/>
      <c r="F78" s="2"/>
      <c r="G78" s="2"/>
      <c r="H78" s="2"/>
      <c r="I78" s="2"/>
      <c r="J78" s="2"/>
      <c r="K78" s="2"/>
      <c r="L78" s="2"/>
      <c r="M78" s="2"/>
      <c r="N78" s="16"/>
    </row>
    <row r="79">
      <c r="A79" s="81"/>
      <c r="B79" s="2"/>
      <c r="C79" s="2"/>
      <c r="D79" s="2"/>
      <c r="E79" s="2"/>
      <c r="F79" s="2"/>
      <c r="G79" s="2"/>
      <c r="H79" s="2"/>
      <c r="I79" s="2"/>
      <c r="J79" s="2"/>
      <c r="K79" s="2"/>
      <c r="L79" s="2"/>
      <c r="M79" s="2"/>
      <c r="N79" s="16"/>
    </row>
    <row r="80">
      <c r="A80" s="81"/>
      <c r="B80" s="2"/>
      <c r="C80" s="2"/>
      <c r="D80" s="2"/>
      <c r="E80" s="2"/>
      <c r="F80" s="2"/>
      <c r="G80" s="2"/>
      <c r="H80" s="2"/>
      <c r="I80" s="2"/>
      <c r="J80" s="2"/>
      <c r="K80" s="2"/>
      <c r="L80" s="2"/>
      <c r="M80" s="2"/>
      <c r="N80" s="16"/>
    </row>
    <row r="81">
      <c r="A81" s="81"/>
      <c r="B81" s="2"/>
      <c r="C81" s="2"/>
      <c r="D81" s="2"/>
      <c r="E81" s="2"/>
      <c r="F81" s="2"/>
      <c r="G81" s="2"/>
      <c r="H81" s="2"/>
      <c r="I81" s="2"/>
      <c r="J81" s="2"/>
      <c r="K81" s="2"/>
      <c r="L81" s="2"/>
      <c r="M81" s="2"/>
      <c r="N81" s="16"/>
    </row>
    <row r="82">
      <c r="A82" s="81"/>
      <c r="B82" s="2"/>
      <c r="C82" s="2"/>
      <c r="D82" s="2"/>
      <c r="E82" s="2"/>
      <c r="F82" s="2"/>
      <c r="G82" s="2"/>
      <c r="H82" s="2"/>
      <c r="I82" s="2"/>
      <c r="J82" s="2"/>
      <c r="K82" s="2"/>
      <c r="L82" s="2"/>
      <c r="M82" s="2"/>
      <c r="N82" s="16"/>
    </row>
    <row r="83">
      <c r="A83" s="81"/>
      <c r="B83" s="2"/>
      <c r="C83" s="2"/>
      <c r="D83" s="2"/>
      <c r="E83" s="2"/>
      <c r="F83" s="2"/>
      <c r="G83" s="2"/>
      <c r="H83" s="2"/>
      <c r="I83" s="2"/>
      <c r="J83" s="2"/>
      <c r="K83" s="2"/>
      <c r="L83" s="2"/>
      <c r="M83" s="2"/>
      <c r="N83" s="16"/>
    </row>
    <row r="84">
      <c r="A84" s="81"/>
      <c r="B84" s="2"/>
      <c r="C84" s="2"/>
      <c r="D84" s="2"/>
      <c r="E84" s="2"/>
      <c r="F84" s="2"/>
      <c r="G84" s="2"/>
      <c r="H84" s="2"/>
      <c r="I84" s="2"/>
      <c r="J84" s="2"/>
      <c r="K84" s="2"/>
      <c r="L84" s="2"/>
      <c r="M84" s="2"/>
      <c r="N84" s="16"/>
    </row>
    <row r="85">
      <c r="A85" s="81"/>
      <c r="B85" s="2"/>
      <c r="C85" s="2"/>
      <c r="D85" s="2"/>
      <c r="E85" s="2"/>
      <c r="F85" s="2"/>
      <c r="G85" s="2"/>
      <c r="H85" s="2"/>
      <c r="I85" s="2"/>
      <c r="J85" s="2"/>
      <c r="K85" s="2"/>
      <c r="L85" s="2"/>
      <c r="M85" s="2"/>
      <c r="N85" s="16"/>
    </row>
    <row r="86">
      <c r="A86" s="81"/>
      <c r="B86" s="2"/>
      <c r="C86" s="2"/>
      <c r="D86" s="2"/>
      <c r="E86" s="2"/>
      <c r="F86" s="2"/>
      <c r="G86" s="2"/>
      <c r="H86" s="2"/>
      <c r="I86" s="2"/>
      <c r="J86" s="2"/>
      <c r="K86" s="2"/>
      <c r="L86" s="2"/>
      <c r="M86" s="2"/>
      <c r="N86" s="16"/>
    </row>
    <row r="87">
      <c r="A87" s="81"/>
      <c r="B87" s="2"/>
      <c r="C87" s="2"/>
      <c r="D87" s="2"/>
      <c r="E87" s="2"/>
      <c r="F87" s="2"/>
      <c r="G87" s="2"/>
      <c r="H87" s="2"/>
      <c r="I87" s="2"/>
      <c r="J87" s="2"/>
      <c r="K87" s="2"/>
      <c r="L87" s="2"/>
      <c r="M87" s="2"/>
      <c r="N87" s="16"/>
    </row>
    <row r="88">
      <c r="A88" s="81"/>
      <c r="B88" s="2"/>
      <c r="C88" s="2"/>
      <c r="D88" s="2"/>
      <c r="E88" s="2"/>
      <c r="F88" s="2"/>
      <c r="G88" s="2"/>
      <c r="H88" s="2"/>
      <c r="I88" s="2"/>
      <c r="J88" s="2"/>
      <c r="K88" s="2"/>
      <c r="L88" s="2"/>
      <c r="M88" s="2"/>
      <c r="N88" s="16"/>
    </row>
    <row r="89">
      <c r="A89" s="81"/>
      <c r="B89" s="2"/>
      <c r="C89" s="2"/>
      <c r="D89" s="2"/>
      <c r="E89" s="2"/>
      <c r="F89" s="2"/>
      <c r="G89" s="2"/>
      <c r="H89" s="2"/>
      <c r="I89" s="2"/>
      <c r="J89" s="2"/>
      <c r="K89" s="2"/>
      <c r="L89" s="2"/>
      <c r="M89" s="2"/>
      <c r="N89" s="16"/>
    </row>
    <row r="90">
      <c r="A90" s="81"/>
      <c r="B90" s="2"/>
      <c r="C90" s="2"/>
      <c r="D90" s="2"/>
      <c r="E90" s="2"/>
      <c r="F90" s="2"/>
      <c r="G90" s="2"/>
      <c r="H90" s="2"/>
      <c r="I90" s="2"/>
      <c r="J90" s="2"/>
      <c r="K90" s="2"/>
      <c r="L90" s="2"/>
      <c r="M90" s="2"/>
      <c r="N90" s="16"/>
    </row>
    <row r="91">
      <c r="A91" s="81"/>
      <c r="B91" s="2"/>
      <c r="C91" s="2"/>
      <c r="D91" s="2"/>
      <c r="E91" s="2"/>
      <c r="F91" s="2"/>
      <c r="G91" s="2"/>
      <c r="H91" s="2"/>
      <c r="I91" s="2"/>
      <c r="J91" s="2"/>
      <c r="K91" s="2"/>
      <c r="L91" s="2"/>
      <c r="M91" s="2"/>
      <c r="N91" s="16"/>
    </row>
    <row r="92">
      <c r="A92" s="81"/>
      <c r="B92" s="2"/>
      <c r="C92" s="2"/>
      <c r="D92" s="2"/>
      <c r="E92" s="2"/>
      <c r="F92" s="2"/>
      <c r="G92" s="2"/>
      <c r="H92" s="2"/>
      <c r="I92" s="2"/>
      <c r="J92" s="2"/>
      <c r="K92" s="2"/>
      <c r="L92" s="2"/>
      <c r="M92" s="2"/>
      <c r="N92" s="16"/>
    </row>
    <row r="93">
      <c r="A93" s="81"/>
      <c r="B93" s="2"/>
      <c r="C93" s="2"/>
      <c r="D93" s="2"/>
      <c r="E93" s="2"/>
      <c r="F93" s="2"/>
      <c r="G93" s="2"/>
      <c r="H93" s="2"/>
      <c r="I93" s="2"/>
      <c r="J93" s="2"/>
      <c r="K93" s="2"/>
      <c r="L93" s="2"/>
      <c r="M93" s="2"/>
      <c r="N93" s="16"/>
    </row>
    <row r="94">
      <c r="A94" s="81"/>
      <c r="B94" s="2"/>
      <c r="C94" s="2"/>
      <c r="D94" s="2"/>
      <c r="E94" s="2"/>
      <c r="F94" s="2"/>
      <c r="G94" s="2"/>
      <c r="H94" s="2"/>
      <c r="I94" s="2"/>
      <c r="J94" s="2"/>
      <c r="K94" s="2"/>
      <c r="L94" s="2"/>
      <c r="M94" s="2"/>
      <c r="N94" s="16"/>
    </row>
    <row r="95">
      <c r="A95" s="81"/>
      <c r="B95" s="2"/>
      <c r="C95" s="2"/>
      <c r="D95" s="2"/>
      <c r="E95" s="2"/>
      <c r="F95" s="2"/>
      <c r="G95" s="2"/>
      <c r="H95" s="2"/>
      <c r="I95" s="2"/>
      <c r="J95" s="2"/>
      <c r="K95" s="2"/>
      <c r="L95" s="2"/>
      <c r="M95" s="2"/>
      <c r="N95" s="16"/>
    </row>
    <row r="96">
      <c r="A96" s="81"/>
      <c r="B96" s="2"/>
      <c r="C96" s="2"/>
      <c r="D96" s="2"/>
      <c r="E96" s="2"/>
      <c r="F96" s="2"/>
      <c r="G96" s="2"/>
      <c r="H96" s="2"/>
      <c r="I96" s="2"/>
      <c r="J96" s="2"/>
      <c r="K96" s="2"/>
      <c r="L96" s="2"/>
      <c r="M96" s="2"/>
      <c r="N96" s="16"/>
    </row>
    <row r="97">
      <c r="A97" s="81"/>
      <c r="B97" s="2"/>
      <c r="C97" s="2"/>
      <c r="D97" s="2"/>
      <c r="E97" s="2"/>
      <c r="F97" s="2"/>
      <c r="G97" s="2"/>
      <c r="H97" s="2"/>
      <c r="I97" s="2"/>
      <c r="J97" s="2"/>
      <c r="K97" s="2"/>
      <c r="L97" s="2"/>
      <c r="M97" s="2"/>
      <c r="N97" s="16"/>
    </row>
    <row r="98">
      <c r="A98" s="81"/>
      <c r="B98" s="2"/>
      <c r="C98" s="2"/>
      <c r="D98" s="2"/>
      <c r="E98" s="2"/>
      <c r="F98" s="2"/>
      <c r="G98" s="2"/>
      <c r="H98" s="2"/>
      <c r="I98" s="2"/>
      <c r="J98" s="2"/>
      <c r="K98" s="2"/>
      <c r="L98" s="2"/>
      <c r="M98" s="2"/>
      <c r="N98" s="16"/>
    </row>
    <row r="99">
      <c r="A99" s="81"/>
      <c r="B99" s="2"/>
      <c r="C99" s="2"/>
      <c r="D99" s="2"/>
      <c r="E99" s="2"/>
      <c r="F99" s="2"/>
      <c r="G99" s="2"/>
      <c r="H99" s="2"/>
      <c r="I99" s="2"/>
      <c r="J99" s="2"/>
      <c r="K99" s="2"/>
      <c r="L99" s="2"/>
      <c r="M99" s="2"/>
      <c r="N99" s="16"/>
    </row>
    <row r="100">
      <c r="A100" s="81"/>
      <c r="B100" s="2"/>
      <c r="C100" s="2"/>
      <c r="D100" s="2"/>
      <c r="E100" s="2"/>
      <c r="F100" s="2"/>
      <c r="G100" s="2"/>
      <c r="H100" s="2"/>
      <c r="I100" s="2"/>
      <c r="J100" s="2"/>
      <c r="K100" s="2"/>
      <c r="L100" s="2"/>
      <c r="M100" s="2"/>
      <c r="N100" s="16"/>
    </row>
    <row r="101">
      <c r="A101" s="81"/>
      <c r="B101" s="2"/>
      <c r="C101" s="2"/>
      <c r="D101" s="2"/>
      <c r="E101" s="2"/>
      <c r="F101" s="2"/>
      <c r="G101" s="2"/>
      <c r="H101" s="2"/>
      <c r="I101" s="2"/>
      <c r="J101" s="2"/>
      <c r="K101" s="2"/>
      <c r="L101" s="2"/>
      <c r="M101" s="2"/>
      <c r="N101" s="16"/>
    </row>
    <row r="102">
      <c r="A102" s="81"/>
      <c r="B102" s="2"/>
      <c r="C102" s="2"/>
      <c r="D102" s="2"/>
      <c r="E102" s="2"/>
      <c r="F102" s="2"/>
      <c r="G102" s="2"/>
      <c r="H102" s="2"/>
      <c r="I102" s="2"/>
      <c r="J102" s="2"/>
      <c r="K102" s="2"/>
      <c r="L102" s="2"/>
      <c r="M102" s="2"/>
      <c r="N102" s="16"/>
    </row>
    <row r="103">
      <c r="A103" s="81"/>
      <c r="B103" s="2"/>
      <c r="C103" s="2"/>
      <c r="D103" s="2"/>
      <c r="E103" s="2"/>
      <c r="F103" s="2"/>
      <c r="G103" s="2"/>
      <c r="H103" s="2"/>
      <c r="I103" s="2"/>
      <c r="J103" s="2"/>
      <c r="K103" s="2"/>
      <c r="L103" s="2"/>
      <c r="M103" s="2"/>
      <c r="N103" s="16"/>
    </row>
    <row r="104">
      <c r="A104" s="81"/>
      <c r="B104" s="2"/>
      <c r="C104" s="2"/>
      <c r="D104" s="2"/>
      <c r="E104" s="2"/>
      <c r="F104" s="2"/>
      <c r="G104" s="2"/>
      <c r="H104" s="2"/>
      <c r="I104" s="2"/>
      <c r="J104" s="2"/>
      <c r="K104" s="2"/>
      <c r="L104" s="2"/>
      <c r="M104" s="2"/>
      <c r="N104" s="16"/>
    </row>
    <row r="105">
      <c r="A105" s="81"/>
      <c r="B105" s="2"/>
      <c r="C105" s="2"/>
      <c r="D105" s="2"/>
      <c r="E105" s="2"/>
      <c r="F105" s="2"/>
      <c r="G105" s="2"/>
      <c r="H105" s="2"/>
      <c r="I105" s="2"/>
      <c r="J105" s="2"/>
      <c r="K105" s="2"/>
      <c r="L105" s="2"/>
      <c r="M105" s="2"/>
      <c r="N105" s="16"/>
    </row>
    <row r="106">
      <c r="A106" s="81"/>
      <c r="B106" s="2"/>
      <c r="C106" s="2"/>
      <c r="D106" s="2"/>
      <c r="E106" s="2"/>
      <c r="F106" s="2"/>
      <c r="G106" s="2"/>
      <c r="H106" s="2"/>
      <c r="I106" s="2"/>
      <c r="J106" s="2"/>
      <c r="K106" s="2"/>
      <c r="L106" s="2"/>
      <c r="M106" s="2"/>
      <c r="N106" s="16"/>
    </row>
    <row r="107">
      <c r="A107" s="81"/>
      <c r="B107" s="2"/>
      <c r="C107" s="2"/>
      <c r="D107" s="2"/>
      <c r="E107" s="2"/>
      <c r="F107" s="2"/>
      <c r="G107" s="2"/>
      <c r="H107" s="2"/>
      <c r="I107" s="2"/>
      <c r="J107" s="2"/>
      <c r="K107" s="2"/>
      <c r="L107" s="2"/>
      <c r="M107" s="2"/>
      <c r="N107" s="16"/>
    </row>
    <row r="108">
      <c r="A108" s="81"/>
      <c r="B108" s="2"/>
      <c r="C108" s="2"/>
      <c r="D108" s="2"/>
      <c r="E108" s="2"/>
      <c r="F108" s="2"/>
      <c r="G108" s="2"/>
      <c r="H108" s="2"/>
      <c r="I108" s="2"/>
      <c r="J108" s="2"/>
      <c r="K108" s="2"/>
      <c r="L108" s="2"/>
      <c r="M108" s="2"/>
      <c r="N108" s="16"/>
    </row>
    <row r="109">
      <c r="A109" s="81"/>
      <c r="B109" s="2"/>
      <c r="C109" s="2"/>
      <c r="D109" s="2"/>
      <c r="E109" s="2"/>
      <c r="F109" s="2"/>
      <c r="G109" s="2"/>
      <c r="H109" s="2"/>
      <c r="I109" s="2"/>
      <c r="J109" s="2"/>
      <c r="K109" s="2"/>
      <c r="L109" s="2"/>
      <c r="M109" s="2"/>
      <c r="N109" s="16"/>
    </row>
    <row r="110">
      <c r="A110" s="81"/>
      <c r="B110" s="2"/>
      <c r="C110" s="2"/>
      <c r="D110" s="2"/>
      <c r="E110" s="2"/>
      <c r="F110" s="2"/>
      <c r="G110" s="2"/>
      <c r="H110" s="2"/>
      <c r="I110" s="2"/>
      <c r="J110" s="2"/>
      <c r="K110" s="2"/>
      <c r="L110" s="2"/>
      <c r="M110" s="2"/>
      <c r="N110" s="16"/>
    </row>
    <row r="111">
      <c r="A111" s="81"/>
      <c r="B111" s="2"/>
      <c r="C111" s="2"/>
      <c r="D111" s="2"/>
      <c r="E111" s="2"/>
      <c r="F111" s="2"/>
      <c r="G111" s="2"/>
      <c r="H111" s="2"/>
      <c r="I111" s="2"/>
      <c r="J111" s="2"/>
      <c r="K111" s="2"/>
      <c r="L111" s="2"/>
      <c r="M111" s="2"/>
      <c r="N111" s="16"/>
    </row>
    <row r="112">
      <c r="A112" s="81"/>
      <c r="B112" s="2"/>
      <c r="C112" s="2"/>
      <c r="D112" s="2"/>
      <c r="E112" s="2"/>
      <c r="F112" s="2"/>
      <c r="G112" s="2"/>
      <c r="H112" s="2"/>
      <c r="I112" s="2"/>
      <c r="J112" s="2"/>
      <c r="K112" s="2"/>
      <c r="L112" s="2"/>
      <c r="M112" s="2"/>
      <c r="N112" s="16"/>
    </row>
    <row r="113">
      <c r="A113" s="81"/>
      <c r="B113" s="2"/>
      <c r="C113" s="2"/>
      <c r="D113" s="2"/>
      <c r="E113" s="2"/>
      <c r="F113" s="2"/>
      <c r="G113" s="2"/>
      <c r="H113" s="2"/>
      <c r="I113" s="2"/>
      <c r="J113" s="2"/>
      <c r="K113" s="2"/>
      <c r="L113" s="2"/>
      <c r="M113" s="2"/>
      <c r="N113" s="16"/>
    </row>
    <row r="114">
      <c r="A114" s="81"/>
      <c r="B114" s="2"/>
      <c r="C114" s="2"/>
      <c r="D114" s="2"/>
      <c r="E114" s="2"/>
      <c r="F114" s="2"/>
      <c r="G114" s="2"/>
      <c r="H114" s="2"/>
      <c r="I114" s="2"/>
      <c r="J114" s="2"/>
      <c r="K114" s="2"/>
      <c r="L114" s="2"/>
      <c r="M114" s="2"/>
      <c r="N114" s="16"/>
    </row>
    <row r="115">
      <c r="A115" s="81"/>
      <c r="B115" s="2"/>
      <c r="C115" s="2"/>
      <c r="D115" s="2"/>
      <c r="E115" s="2"/>
      <c r="F115" s="2"/>
      <c r="G115" s="2"/>
      <c r="H115" s="2"/>
      <c r="I115" s="2"/>
      <c r="J115" s="2"/>
      <c r="K115" s="2"/>
      <c r="L115" s="2"/>
      <c r="M115" s="2"/>
      <c r="N115" s="16"/>
    </row>
    <row r="116">
      <c r="A116" s="81"/>
      <c r="B116" s="2"/>
      <c r="C116" s="2"/>
      <c r="D116" s="2"/>
      <c r="E116" s="2"/>
      <c r="F116" s="2"/>
      <c r="G116" s="2"/>
      <c r="H116" s="2"/>
      <c r="I116" s="2"/>
      <c r="J116" s="2"/>
      <c r="K116" s="2"/>
      <c r="L116" s="2"/>
      <c r="M116" s="2"/>
      <c r="N116" s="16"/>
    </row>
    <row r="117">
      <c r="A117" s="81"/>
      <c r="B117" s="2"/>
      <c r="C117" s="2"/>
      <c r="D117" s="2"/>
      <c r="E117" s="2"/>
      <c r="F117" s="2"/>
      <c r="G117" s="2"/>
      <c r="H117" s="2"/>
      <c r="I117" s="2"/>
      <c r="J117" s="2"/>
      <c r="K117" s="2"/>
      <c r="L117" s="2"/>
      <c r="M117" s="2"/>
      <c r="N117" s="16"/>
    </row>
    <row r="118">
      <c r="A118" s="81"/>
      <c r="B118" s="2"/>
      <c r="C118" s="2"/>
      <c r="D118" s="2"/>
      <c r="E118" s="2"/>
      <c r="F118" s="2"/>
      <c r="G118" s="2"/>
      <c r="H118" s="2"/>
      <c r="I118" s="2"/>
      <c r="J118" s="2"/>
      <c r="K118" s="2"/>
      <c r="L118" s="2"/>
      <c r="M118" s="2"/>
      <c r="N118" s="16"/>
    </row>
    <row r="119">
      <c r="A119" s="81"/>
      <c r="B119" s="2"/>
      <c r="C119" s="2"/>
      <c r="D119" s="2"/>
      <c r="E119" s="2"/>
      <c r="F119" s="2"/>
      <c r="G119" s="2"/>
      <c r="H119" s="2"/>
      <c r="I119" s="2"/>
      <c r="J119" s="2"/>
      <c r="K119" s="2"/>
      <c r="L119" s="2"/>
      <c r="M119" s="2"/>
      <c r="N119" s="16"/>
    </row>
    <row r="120">
      <c r="A120" s="81"/>
      <c r="B120" s="2"/>
      <c r="C120" s="2"/>
      <c r="D120" s="2"/>
      <c r="E120" s="2"/>
      <c r="F120" s="2"/>
      <c r="G120" s="2"/>
      <c r="H120" s="2"/>
      <c r="I120" s="2"/>
      <c r="J120" s="2"/>
      <c r="K120" s="2"/>
      <c r="L120" s="2"/>
      <c r="M120" s="2"/>
      <c r="N120" s="16"/>
    </row>
    <row r="121">
      <c r="A121" s="81"/>
      <c r="B121" s="2"/>
      <c r="C121" s="2"/>
      <c r="D121" s="2"/>
      <c r="E121" s="2"/>
      <c r="F121" s="2"/>
      <c r="G121" s="2"/>
      <c r="H121" s="2"/>
      <c r="I121" s="2"/>
      <c r="J121" s="2"/>
      <c r="K121" s="2"/>
      <c r="L121" s="2"/>
      <c r="M121" s="2"/>
      <c r="N121" s="16"/>
    </row>
    <row r="122">
      <c r="A122" s="81"/>
      <c r="B122" s="2"/>
      <c r="C122" s="2"/>
      <c r="D122" s="2"/>
      <c r="E122" s="2"/>
      <c r="F122" s="2"/>
      <c r="G122" s="2"/>
      <c r="H122" s="2"/>
      <c r="I122" s="2"/>
      <c r="J122" s="2"/>
      <c r="K122" s="2"/>
      <c r="L122" s="2"/>
      <c r="M122" s="2"/>
      <c r="N122" s="16"/>
    </row>
    <row r="123">
      <c r="A123" s="81"/>
      <c r="B123" s="2"/>
      <c r="C123" s="2"/>
      <c r="D123" s="2"/>
      <c r="E123" s="2"/>
      <c r="F123" s="2"/>
      <c r="G123" s="2"/>
      <c r="H123" s="2"/>
      <c r="I123" s="2"/>
      <c r="J123" s="2"/>
      <c r="K123" s="2"/>
      <c r="L123" s="2"/>
      <c r="M123" s="2"/>
      <c r="N123" s="16"/>
    </row>
    <row r="124">
      <c r="A124" s="81"/>
      <c r="B124" s="2"/>
      <c r="C124" s="2"/>
      <c r="D124" s="2"/>
      <c r="E124" s="2"/>
      <c r="F124" s="2"/>
      <c r="G124" s="2"/>
      <c r="H124" s="2"/>
      <c r="I124" s="2"/>
      <c r="J124" s="2"/>
      <c r="K124" s="2"/>
      <c r="L124" s="2"/>
      <c r="M124" s="2"/>
      <c r="N124" s="16"/>
    </row>
    <row r="125">
      <c r="A125" s="81"/>
      <c r="B125" s="2"/>
      <c r="C125" s="2"/>
      <c r="D125" s="2"/>
      <c r="E125" s="2"/>
      <c r="F125" s="2"/>
      <c r="G125" s="2"/>
      <c r="H125" s="2"/>
      <c r="I125" s="2"/>
      <c r="J125" s="2"/>
      <c r="K125" s="2"/>
      <c r="L125" s="2"/>
      <c r="M125" s="2"/>
      <c r="N125" s="16"/>
    </row>
    <row r="126">
      <c r="A126" s="81"/>
      <c r="B126" s="2"/>
      <c r="C126" s="2"/>
      <c r="D126" s="2"/>
      <c r="E126" s="2"/>
      <c r="F126" s="2"/>
      <c r="G126" s="2"/>
      <c r="H126" s="2"/>
      <c r="I126" s="2"/>
      <c r="J126" s="2"/>
      <c r="K126" s="2"/>
      <c r="L126" s="2"/>
      <c r="M126" s="2"/>
      <c r="N126" s="16"/>
    </row>
    <row r="127">
      <c r="A127" s="81"/>
      <c r="B127" s="2"/>
      <c r="C127" s="2"/>
      <c r="D127" s="2"/>
      <c r="E127" s="2"/>
      <c r="F127" s="2"/>
      <c r="G127" s="2"/>
      <c r="H127" s="2"/>
      <c r="I127" s="2"/>
      <c r="J127" s="2"/>
      <c r="K127" s="2"/>
      <c r="L127" s="2"/>
      <c r="M127" s="2"/>
      <c r="N127" s="16"/>
    </row>
    <row r="128">
      <c r="A128" s="81"/>
      <c r="B128" s="2"/>
      <c r="C128" s="2"/>
      <c r="D128" s="2"/>
      <c r="E128" s="2"/>
      <c r="F128" s="2"/>
      <c r="G128" s="2"/>
      <c r="H128" s="2"/>
      <c r="I128" s="2"/>
      <c r="J128" s="2"/>
      <c r="K128" s="2"/>
      <c r="L128" s="2"/>
      <c r="M128" s="2"/>
      <c r="N128" s="16"/>
    </row>
    <row r="129">
      <c r="A129" s="81"/>
      <c r="B129" s="2"/>
      <c r="C129" s="2"/>
      <c r="D129" s="2"/>
      <c r="E129" s="2"/>
      <c r="F129" s="2"/>
      <c r="G129" s="2"/>
      <c r="H129" s="2"/>
      <c r="I129" s="2"/>
      <c r="J129" s="2"/>
      <c r="K129" s="2"/>
      <c r="L129" s="2"/>
      <c r="M129" s="2"/>
      <c r="N129" s="16"/>
    </row>
    <row r="130">
      <c r="A130" s="81"/>
      <c r="B130" s="2"/>
      <c r="C130" s="2"/>
      <c r="D130" s="2"/>
      <c r="E130" s="2"/>
      <c r="F130" s="2"/>
      <c r="G130" s="2"/>
      <c r="H130" s="2"/>
      <c r="I130" s="2"/>
      <c r="J130" s="2"/>
      <c r="K130" s="2"/>
      <c r="L130" s="2"/>
      <c r="M130" s="2"/>
      <c r="N130" s="16"/>
    </row>
    <row r="131">
      <c r="A131" s="81"/>
      <c r="B131" s="2"/>
      <c r="C131" s="2"/>
      <c r="D131" s="2"/>
      <c r="E131" s="2"/>
      <c r="F131" s="2"/>
      <c r="G131" s="2"/>
      <c r="H131" s="2"/>
      <c r="I131" s="2"/>
      <c r="J131" s="2"/>
      <c r="K131" s="2"/>
      <c r="L131" s="2"/>
      <c r="M131" s="2"/>
      <c r="N131" s="16"/>
    </row>
    <row r="132">
      <c r="A132" s="81"/>
      <c r="B132" s="2"/>
      <c r="C132" s="2"/>
      <c r="D132" s="2"/>
      <c r="E132" s="2"/>
      <c r="F132" s="2"/>
      <c r="G132" s="2"/>
      <c r="H132" s="2"/>
      <c r="I132" s="2"/>
      <c r="J132" s="2"/>
      <c r="K132" s="2"/>
      <c r="L132" s="2"/>
      <c r="M132" s="2"/>
      <c r="N132" s="16"/>
    </row>
    <row r="133">
      <c r="A133" s="81"/>
      <c r="B133" s="2"/>
      <c r="C133" s="2"/>
      <c r="D133" s="2"/>
      <c r="E133" s="2"/>
      <c r="F133" s="2"/>
      <c r="G133" s="2"/>
      <c r="H133" s="2"/>
      <c r="I133" s="2"/>
      <c r="J133" s="2"/>
      <c r="K133" s="2"/>
      <c r="L133" s="2"/>
      <c r="M133" s="2"/>
      <c r="N133" s="16"/>
    </row>
    <row r="134">
      <c r="A134" s="81"/>
      <c r="B134" s="2"/>
      <c r="C134" s="2"/>
      <c r="D134" s="2"/>
      <c r="E134" s="2"/>
      <c r="F134" s="2"/>
      <c r="G134" s="2"/>
      <c r="H134" s="2"/>
      <c r="I134" s="2"/>
      <c r="J134" s="2"/>
      <c r="K134" s="2"/>
      <c r="L134" s="2"/>
      <c r="M134" s="2"/>
      <c r="N134" s="16"/>
    </row>
    <row r="135">
      <c r="A135" s="81"/>
      <c r="B135" s="2"/>
      <c r="C135" s="2"/>
      <c r="D135" s="2"/>
      <c r="E135" s="2"/>
      <c r="F135" s="2"/>
      <c r="G135" s="2"/>
      <c r="H135" s="2"/>
      <c r="I135" s="2"/>
      <c r="J135" s="2"/>
      <c r="K135" s="2"/>
      <c r="L135" s="2"/>
      <c r="M135" s="2"/>
      <c r="N135" s="16"/>
    </row>
    <row r="136">
      <c r="A136" s="81"/>
      <c r="B136" s="2"/>
      <c r="C136" s="2"/>
      <c r="D136" s="2"/>
      <c r="E136" s="2"/>
      <c r="F136" s="2"/>
      <c r="G136" s="2"/>
      <c r="H136" s="2"/>
      <c r="I136" s="2"/>
      <c r="J136" s="2"/>
      <c r="K136" s="2"/>
      <c r="L136" s="2"/>
      <c r="M136" s="2"/>
      <c r="N136" s="16"/>
    </row>
    <row r="137">
      <c r="A137" s="81"/>
      <c r="B137" s="2"/>
      <c r="C137" s="2"/>
      <c r="D137" s="2"/>
      <c r="E137" s="2"/>
      <c r="F137" s="2"/>
      <c r="G137" s="2"/>
      <c r="H137" s="2"/>
      <c r="I137" s="2"/>
      <c r="J137" s="2"/>
      <c r="K137" s="2"/>
      <c r="L137" s="2"/>
      <c r="M137" s="2"/>
      <c r="N137" s="16"/>
    </row>
    <row r="138">
      <c r="A138" s="81"/>
      <c r="B138" s="2"/>
      <c r="C138" s="2"/>
      <c r="D138" s="2"/>
      <c r="E138" s="2"/>
      <c r="F138" s="2"/>
      <c r="G138" s="2"/>
      <c r="H138" s="2"/>
      <c r="I138" s="2"/>
      <c r="J138" s="2"/>
      <c r="K138" s="2"/>
      <c r="L138" s="2"/>
      <c r="M138" s="2"/>
      <c r="N138" s="16"/>
    </row>
    <row r="139">
      <c r="A139" s="81"/>
      <c r="B139" s="2"/>
      <c r="C139" s="2"/>
      <c r="D139" s="2"/>
      <c r="E139" s="2"/>
      <c r="F139" s="2"/>
      <c r="G139" s="2"/>
      <c r="H139" s="2"/>
      <c r="I139" s="2"/>
      <c r="J139" s="2"/>
      <c r="K139" s="2"/>
      <c r="L139" s="2"/>
      <c r="M139" s="2"/>
      <c r="N139" s="16"/>
    </row>
    <row r="140">
      <c r="A140" s="81"/>
      <c r="B140" s="2"/>
      <c r="C140" s="2"/>
      <c r="D140" s="2"/>
      <c r="E140" s="2"/>
      <c r="F140" s="2"/>
      <c r="G140" s="2"/>
      <c r="H140" s="2"/>
      <c r="I140" s="2"/>
      <c r="J140" s="2"/>
      <c r="K140" s="2"/>
      <c r="L140" s="2"/>
      <c r="M140" s="2"/>
      <c r="N140" s="16"/>
    </row>
    <row r="141">
      <c r="A141" s="81"/>
      <c r="B141" s="2"/>
      <c r="C141" s="2"/>
      <c r="D141" s="2"/>
      <c r="E141" s="2"/>
      <c r="F141" s="2"/>
      <c r="G141" s="2"/>
      <c r="H141" s="2"/>
      <c r="I141" s="2"/>
      <c r="J141" s="2"/>
      <c r="K141" s="2"/>
      <c r="L141" s="2"/>
      <c r="M141" s="2"/>
      <c r="N141" s="16"/>
    </row>
    <row r="142">
      <c r="A142" s="81"/>
      <c r="B142" s="2"/>
      <c r="C142" s="2"/>
      <c r="D142" s="2"/>
      <c r="E142" s="2"/>
      <c r="F142" s="2"/>
      <c r="G142" s="2"/>
      <c r="H142" s="2"/>
      <c r="I142" s="2"/>
      <c r="J142" s="2"/>
      <c r="K142" s="2"/>
      <c r="L142" s="2"/>
      <c r="M142" s="2"/>
      <c r="N142" s="16"/>
    </row>
    <row r="143">
      <c r="A143" s="81"/>
      <c r="B143" s="2"/>
      <c r="C143" s="2"/>
      <c r="D143" s="2"/>
      <c r="E143" s="2"/>
      <c r="F143" s="2"/>
      <c r="G143" s="2"/>
      <c r="H143" s="2"/>
      <c r="I143" s="2"/>
      <c r="J143" s="2"/>
      <c r="K143" s="2"/>
      <c r="L143" s="2"/>
      <c r="M143" s="2"/>
      <c r="N143" s="16"/>
    </row>
    <row r="144">
      <c r="A144" s="81"/>
      <c r="B144" s="2"/>
      <c r="C144" s="2"/>
      <c r="D144" s="2"/>
      <c r="E144" s="2"/>
      <c r="F144" s="2"/>
      <c r="G144" s="2"/>
      <c r="H144" s="2"/>
      <c r="I144" s="2"/>
      <c r="J144" s="2"/>
      <c r="K144" s="2"/>
      <c r="L144" s="2"/>
      <c r="M144" s="2"/>
      <c r="N144" s="16"/>
    </row>
    <row r="145">
      <c r="A145" s="81"/>
      <c r="B145" s="2"/>
      <c r="C145" s="2"/>
      <c r="D145" s="2"/>
      <c r="E145" s="2"/>
      <c r="F145" s="2"/>
      <c r="G145" s="2"/>
      <c r="H145" s="2"/>
      <c r="I145" s="2"/>
      <c r="J145" s="2"/>
      <c r="K145" s="2"/>
      <c r="L145" s="2"/>
      <c r="M145" s="2"/>
      <c r="N145" s="16"/>
    </row>
    <row r="146">
      <c r="A146" s="81"/>
      <c r="B146" s="2"/>
      <c r="C146" s="2"/>
      <c r="D146" s="2"/>
      <c r="E146" s="2"/>
      <c r="F146" s="2"/>
      <c r="G146" s="2"/>
      <c r="H146" s="2"/>
      <c r="I146" s="2"/>
      <c r="J146" s="2"/>
      <c r="K146" s="2"/>
      <c r="L146" s="2"/>
      <c r="M146" s="2"/>
      <c r="N146" s="16"/>
    </row>
    <row r="147">
      <c r="A147" s="81"/>
      <c r="B147" s="2"/>
      <c r="C147" s="2"/>
      <c r="D147" s="2"/>
      <c r="E147" s="2"/>
      <c r="F147" s="2"/>
      <c r="G147" s="2"/>
      <c r="H147" s="2"/>
      <c r="I147" s="2"/>
      <c r="J147" s="2"/>
      <c r="K147" s="2"/>
      <c r="L147" s="2"/>
      <c r="M147" s="2"/>
      <c r="N147" s="16"/>
    </row>
    <row r="148">
      <c r="A148" s="81"/>
      <c r="B148" s="2"/>
      <c r="C148" s="2"/>
      <c r="D148" s="2"/>
      <c r="E148" s="2"/>
      <c r="F148" s="2"/>
      <c r="G148" s="2"/>
      <c r="H148" s="2"/>
      <c r="I148" s="2"/>
      <c r="J148" s="2"/>
      <c r="K148" s="2"/>
      <c r="L148" s="2"/>
      <c r="M148" s="2"/>
      <c r="N148" s="16"/>
    </row>
    <row r="149">
      <c r="A149" s="81"/>
      <c r="B149" s="2"/>
      <c r="C149" s="2"/>
      <c r="D149" s="2"/>
      <c r="E149" s="2"/>
      <c r="F149" s="2"/>
      <c r="G149" s="2"/>
      <c r="H149" s="2"/>
      <c r="I149" s="2"/>
      <c r="J149" s="2"/>
      <c r="K149" s="2"/>
      <c r="L149" s="2"/>
      <c r="M149" s="2"/>
      <c r="N149" s="16"/>
    </row>
    <row r="150">
      <c r="A150" s="81"/>
      <c r="B150" s="2"/>
      <c r="C150" s="2"/>
      <c r="D150" s="2"/>
      <c r="E150" s="2"/>
      <c r="F150" s="2"/>
      <c r="G150" s="2"/>
      <c r="H150" s="2"/>
      <c r="I150" s="2"/>
      <c r="J150" s="2"/>
      <c r="K150" s="2"/>
      <c r="L150" s="2"/>
      <c r="M150" s="2"/>
      <c r="N150" s="16"/>
    </row>
    <row r="151">
      <c r="A151" s="81"/>
      <c r="B151" s="2"/>
      <c r="C151" s="2"/>
      <c r="D151" s="2"/>
      <c r="E151" s="2"/>
      <c r="F151" s="2"/>
      <c r="G151" s="2"/>
      <c r="H151" s="2"/>
      <c r="I151" s="2"/>
      <c r="J151" s="2"/>
      <c r="K151" s="2"/>
      <c r="L151" s="2"/>
      <c r="M151" s="2"/>
      <c r="N151" s="16"/>
    </row>
    <row r="152">
      <c r="A152" s="81"/>
      <c r="B152" s="2"/>
      <c r="C152" s="2"/>
      <c r="D152" s="2"/>
      <c r="E152" s="2"/>
      <c r="F152" s="2"/>
      <c r="G152" s="2"/>
      <c r="H152" s="2"/>
      <c r="I152" s="2"/>
      <c r="J152" s="2"/>
      <c r="K152" s="2"/>
      <c r="L152" s="2"/>
      <c r="M152" s="2"/>
      <c r="N152" s="16"/>
    </row>
    <row r="153">
      <c r="A153" s="81"/>
      <c r="B153" s="2"/>
      <c r="C153" s="2"/>
      <c r="D153" s="2"/>
      <c r="E153" s="2"/>
      <c r="F153" s="2"/>
      <c r="G153" s="2"/>
      <c r="H153" s="2"/>
      <c r="I153" s="2"/>
      <c r="J153" s="2"/>
      <c r="K153" s="2"/>
      <c r="L153" s="2"/>
      <c r="M153" s="2"/>
      <c r="N153" s="16"/>
    </row>
    <row r="154">
      <c r="A154" s="81"/>
      <c r="B154" s="2"/>
      <c r="C154" s="2"/>
      <c r="D154" s="2"/>
      <c r="E154" s="2"/>
      <c r="F154" s="2"/>
      <c r="G154" s="2"/>
      <c r="H154" s="2"/>
      <c r="I154" s="2"/>
      <c r="J154" s="2"/>
      <c r="K154" s="2"/>
      <c r="L154" s="2"/>
      <c r="M154" s="2"/>
      <c r="N154" s="16"/>
    </row>
    <row r="155">
      <c r="A155" s="81"/>
      <c r="B155" s="2"/>
      <c r="C155" s="2"/>
      <c r="D155" s="2"/>
      <c r="E155" s="2"/>
      <c r="F155" s="2"/>
      <c r="G155" s="2"/>
      <c r="H155" s="2"/>
      <c r="I155" s="2"/>
      <c r="J155" s="2"/>
      <c r="K155" s="2"/>
      <c r="L155" s="2"/>
      <c r="M155" s="2"/>
      <c r="N155" s="16"/>
    </row>
    <row r="156">
      <c r="A156" s="81"/>
      <c r="B156" s="2"/>
      <c r="C156" s="2"/>
      <c r="D156" s="2"/>
      <c r="E156" s="2"/>
      <c r="F156" s="2"/>
      <c r="G156" s="2"/>
      <c r="H156" s="2"/>
      <c r="I156" s="2"/>
      <c r="J156" s="2"/>
      <c r="K156" s="2"/>
      <c r="L156" s="2"/>
      <c r="M156" s="2"/>
      <c r="N156" s="16"/>
    </row>
    <row r="157">
      <c r="A157" s="81"/>
      <c r="B157" s="2"/>
      <c r="C157" s="2"/>
      <c r="D157" s="2"/>
      <c r="E157" s="2"/>
      <c r="F157" s="2"/>
      <c r="G157" s="2"/>
      <c r="H157" s="2"/>
      <c r="I157" s="2"/>
      <c r="J157" s="2"/>
      <c r="K157" s="2"/>
      <c r="L157" s="2"/>
      <c r="M157" s="2"/>
      <c r="N157" s="16"/>
    </row>
    <row r="158">
      <c r="A158" s="81"/>
      <c r="B158" s="2"/>
      <c r="C158" s="2"/>
      <c r="D158" s="2"/>
      <c r="E158" s="2"/>
      <c r="F158" s="2"/>
      <c r="G158" s="2"/>
      <c r="H158" s="2"/>
      <c r="I158" s="2"/>
      <c r="J158" s="2"/>
      <c r="K158" s="2"/>
      <c r="L158" s="2"/>
      <c r="M158" s="2"/>
      <c r="N158" s="16"/>
    </row>
    <row r="159">
      <c r="A159" s="81"/>
      <c r="B159" s="2"/>
      <c r="C159" s="2"/>
      <c r="D159" s="2"/>
      <c r="E159" s="2"/>
      <c r="F159" s="2"/>
      <c r="G159" s="2"/>
      <c r="H159" s="2"/>
      <c r="I159" s="2"/>
      <c r="J159" s="2"/>
      <c r="K159" s="2"/>
      <c r="L159" s="2"/>
      <c r="M159" s="2"/>
      <c r="N159" s="16"/>
    </row>
    <row r="160">
      <c r="A160" s="81"/>
      <c r="B160" s="2"/>
      <c r="C160" s="2"/>
      <c r="D160" s="2"/>
      <c r="E160" s="2"/>
      <c r="F160" s="2"/>
      <c r="G160" s="2"/>
      <c r="H160" s="2"/>
      <c r="I160" s="2"/>
      <c r="J160" s="2"/>
      <c r="K160" s="2"/>
      <c r="L160" s="2"/>
      <c r="M160" s="2"/>
      <c r="N160" s="16"/>
    </row>
    <row r="161">
      <c r="A161" s="81"/>
      <c r="B161" s="2"/>
      <c r="C161" s="2"/>
      <c r="D161" s="2"/>
      <c r="E161" s="2"/>
      <c r="F161" s="2"/>
      <c r="G161" s="2"/>
      <c r="H161" s="2"/>
      <c r="I161" s="2"/>
      <c r="J161" s="2"/>
      <c r="K161" s="2"/>
      <c r="L161" s="2"/>
      <c r="M161" s="2"/>
      <c r="N161" s="16"/>
    </row>
    <row r="162">
      <c r="A162" s="81"/>
      <c r="B162" s="2"/>
      <c r="C162" s="2"/>
      <c r="D162" s="2"/>
      <c r="E162" s="2"/>
      <c r="F162" s="2"/>
      <c r="G162" s="2"/>
      <c r="H162" s="2"/>
      <c r="I162" s="2"/>
      <c r="J162" s="2"/>
      <c r="K162" s="2"/>
      <c r="L162" s="2"/>
      <c r="M162" s="2"/>
      <c r="N162" s="16"/>
    </row>
    <row r="163">
      <c r="A163" s="81"/>
      <c r="B163" s="2"/>
      <c r="C163" s="2"/>
      <c r="D163" s="2"/>
      <c r="E163" s="2"/>
      <c r="F163" s="2"/>
      <c r="G163" s="2"/>
      <c r="H163" s="2"/>
      <c r="I163" s="2"/>
      <c r="J163" s="2"/>
      <c r="K163" s="2"/>
      <c r="L163" s="2"/>
      <c r="M163" s="2"/>
      <c r="N163" s="16"/>
    </row>
    <row r="164">
      <c r="A164" s="81"/>
      <c r="B164" s="2"/>
      <c r="C164" s="2"/>
      <c r="D164" s="2"/>
      <c r="E164" s="2"/>
      <c r="F164" s="2"/>
      <c r="G164" s="2"/>
      <c r="H164" s="2"/>
      <c r="I164" s="2"/>
      <c r="J164" s="2"/>
      <c r="K164" s="2"/>
      <c r="L164" s="2"/>
      <c r="M164" s="2"/>
      <c r="N164" s="16"/>
    </row>
    <row r="165">
      <c r="A165" s="81"/>
      <c r="B165" s="2"/>
      <c r="C165" s="2"/>
      <c r="D165" s="2"/>
      <c r="E165" s="2"/>
      <c r="F165" s="2"/>
      <c r="G165" s="2"/>
      <c r="H165" s="2"/>
      <c r="I165" s="2"/>
      <c r="J165" s="2"/>
      <c r="K165" s="2"/>
      <c r="L165" s="2"/>
      <c r="M165" s="2"/>
      <c r="N165" s="16"/>
    </row>
    <row r="166">
      <c r="A166" s="81"/>
      <c r="B166" s="2"/>
      <c r="C166" s="2"/>
      <c r="D166" s="2"/>
      <c r="E166" s="2"/>
      <c r="F166" s="2"/>
      <c r="G166" s="2"/>
      <c r="H166" s="2"/>
      <c r="I166" s="2"/>
      <c r="J166" s="2"/>
      <c r="K166" s="2"/>
      <c r="L166" s="2"/>
      <c r="M166" s="2"/>
      <c r="N166" s="16"/>
    </row>
    <row r="167">
      <c r="A167" s="81"/>
      <c r="B167" s="2"/>
      <c r="C167" s="2"/>
      <c r="D167" s="2"/>
      <c r="E167" s="2"/>
      <c r="F167" s="2"/>
      <c r="G167" s="2"/>
      <c r="H167" s="2"/>
      <c r="I167" s="2"/>
      <c r="J167" s="2"/>
      <c r="K167" s="2"/>
      <c r="L167" s="2"/>
      <c r="M167" s="2"/>
      <c r="N167" s="16"/>
    </row>
    <row r="168">
      <c r="A168" s="81"/>
      <c r="B168" s="2"/>
      <c r="C168" s="2"/>
      <c r="D168" s="2"/>
      <c r="E168" s="2"/>
      <c r="F168" s="2"/>
      <c r="G168" s="2"/>
      <c r="H168" s="2"/>
      <c r="I168" s="2"/>
      <c r="J168" s="2"/>
      <c r="K168" s="2"/>
      <c r="L168" s="2"/>
      <c r="M168" s="2"/>
      <c r="N168" s="16"/>
    </row>
    <row r="169">
      <c r="A169" s="81"/>
      <c r="B169" s="2"/>
      <c r="C169" s="2"/>
      <c r="D169" s="2"/>
      <c r="E169" s="2"/>
      <c r="F169" s="2"/>
      <c r="G169" s="2"/>
      <c r="H169" s="2"/>
      <c r="I169" s="2"/>
      <c r="J169" s="2"/>
      <c r="K169" s="2"/>
      <c r="L169" s="2"/>
      <c r="M169" s="2"/>
      <c r="N169" s="16"/>
    </row>
    <row r="170">
      <c r="A170" s="81"/>
      <c r="B170" s="2"/>
      <c r="C170" s="2"/>
      <c r="D170" s="2"/>
      <c r="E170" s="2"/>
      <c r="F170" s="2"/>
      <c r="G170" s="2"/>
      <c r="H170" s="2"/>
      <c r="I170" s="2"/>
      <c r="J170" s="2"/>
      <c r="K170" s="2"/>
      <c r="L170" s="2"/>
      <c r="M170" s="2"/>
      <c r="N170" s="16"/>
    </row>
    <row r="171">
      <c r="A171" s="81"/>
      <c r="B171" s="2"/>
      <c r="C171" s="2"/>
      <c r="D171" s="2"/>
      <c r="E171" s="2"/>
      <c r="F171" s="2"/>
      <c r="G171" s="2"/>
      <c r="H171" s="2"/>
      <c r="I171" s="2"/>
      <c r="J171" s="2"/>
      <c r="K171" s="2"/>
      <c r="L171" s="2"/>
      <c r="M171" s="2"/>
      <c r="N171" s="16"/>
    </row>
    <row r="172">
      <c r="A172" s="81"/>
      <c r="B172" s="2"/>
      <c r="C172" s="2"/>
      <c r="D172" s="2"/>
      <c r="E172" s="2"/>
      <c r="F172" s="2"/>
      <c r="G172" s="2"/>
      <c r="H172" s="2"/>
      <c r="I172" s="2"/>
      <c r="J172" s="2"/>
      <c r="K172" s="2"/>
      <c r="L172" s="2"/>
      <c r="M172" s="2"/>
      <c r="N172" s="16"/>
    </row>
    <row r="173">
      <c r="A173" s="81"/>
      <c r="B173" s="2"/>
      <c r="C173" s="2"/>
      <c r="D173" s="2"/>
      <c r="E173" s="2"/>
      <c r="F173" s="2"/>
      <c r="G173" s="2"/>
      <c r="H173" s="2"/>
      <c r="I173" s="2"/>
      <c r="J173" s="2"/>
      <c r="K173" s="2"/>
      <c r="L173" s="2"/>
      <c r="M173" s="2"/>
      <c r="N173" s="16"/>
    </row>
    <row r="174">
      <c r="A174" s="81"/>
      <c r="B174" s="2"/>
      <c r="C174" s="2"/>
      <c r="D174" s="2"/>
      <c r="E174" s="2"/>
      <c r="F174" s="2"/>
      <c r="G174" s="2"/>
      <c r="H174" s="2"/>
      <c r="I174" s="2"/>
      <c r="J174" s="2"/>
      <c r="K174" s="2"/>
      <c r="L174" s="2"/>
      <c r="M174" s="2"/>
      <c r="N174" s="16"/>
    </row>
    <row r="175">
      <c r="A175" s="81"/>
      <c r="B175" s="2"/>
      <c r="C175" s="2"/>
      <c r="D175" s="2"/>
      <c r="E175" s="2"/>
      <c r="F175" s="2"/>
      <c r="G175" s="2"/>
      <c r="H175" s="2"/>
      <c r="I175" s="2"/>
      <c r="J175" s="2"/>
      <c r="K175" s="2"/>
      <c r="L175" s="2"/>
      <c r="M175" s="2"/>
      <c r="N175" s="16"/>
    </row>
    <row r="176">
      <c r="A176" s="81"/>
      <c r="B176" s="2"/>
      <c r="C176" s="2"/>
      <c r="D176" s="2"/>
      <c r="E176" s="2"/>
      <c r="F176" s="2"/>
      <c r="G176" s="2"/>
      <c r="H176" s="2"/>
      <c r="I176" s="2"/>
      <c r="J176" s="2"/>
      <c r="K176" s="2"/>
      <c r="L176" s="2"/>
      <c r="M176" s="2"/>
      <c r="N176" s="16"/>
    </row>
    <row r="177">
      <c r="A177" s="81"/>
      <c r="B177" s="2"/>
      <c r="C177" s="2"/>
      <c r="D177" s="2"/>
      <c r="E177" s="2"/>
      <c r="F177" s="2"/>
      <c r="G177" s="2"/>
      <c r="H177" s="2"/>
      <c r="I177" s="2"/>
      <c r="J177" s="2"/>
      <c r="K177" s="2"/>
      <c r="L177" s="2"/>
      <c r="M177" s="2"/>
      <c r="N177" s="16"/>
    </row>
    <row r="178">
      <c r="A178" s="81"/>
      <c r="B178" s="2"/>
      <c r="C178" s="2"/>
      <c r="D178" s="2"/>
      <c r="E178" s="2"/>
      <c r="F178" s="2"/>
      <c r="G178" s="2"/>
      <c r="H178" s="2"/>
      <c r="I178" s="2"/>
      <c r="J178" s="2"/>
      <c r="K178" s="2"/>
      <c r="L178" s="2"/>
      <c r="M178" s="2"/>
      <c r="N178" s="16"/>
    </row>
    <row r="179">
      <c r="A179" s="81"/>
      <c r="B179" s="2"/>
      <c r="C179" s="2"/>
      <c r="D179" s="2"/>
      <c r="E179" s="2"/>
      <c r="F179" s="2"/>
      <c r="G179" s="2"/>
      <c r="H179" s="2"/>
      <c r="I179" s="2"/>
      <c r="J179" s="2"/>
      <c r="K179" s="2"/>
      <c r="L179" s="2"/>
      <c r="M179" s="2"/>
      <c r="N179" s="16"/>
    </row>
    <row r="180">
      <c r="A180" s="81"/>
      <c r="B180" s="2"/>
      <c r="C180" s="2"/>
      <c r="D180" s="2"/>
      <c r="E180" s="2"/>
      <c r="F180" s="2"/>
      <c r="G180" s="2"/>
      <c r="H180" s="2"/>
      <c r="I180" s="2"/>
      <c r="J180" s="2"/>
      <c r="K180" s="2"/>
      <c r="L180" s="2"/>
      <c r="M180" s="2"/>
      <c r="N180" s="16"/>
    </row>
    <row r="181">
      <c r="A181" s="81"/>
      <c r="B181" s="2"/>
      <c r="C181" s="2"/>
      <c r="D181" s="2"/>
      <c r="E181" s="2"/>
      <c r="F181" s="2"/>
      <c r="G181" s="2"/>
      <c r="H181" s="2"/>
      <c r="I181" s="2"/>
      <c r="J181" s="2"/>
      <c r="K181" s="2"/>
      <c r="L181" s="2"/>
      <c r="M181" s="2"/>
      <c r="N181" s="16"/>
    </row>
    <row r="182">
      <c r="A182" s="81"/>
      <c r="B182" s="2"/>
      <c r="C182" s="2"/>
      <c r="D182" s="2"/>
      <c r="E182" s="2"/>
      <c r="F182" s="2"/>
      <c r="G182" s="2"/>
      <c r="H182" s="2"/>
      <c r="I182" s="2"/>
      <c r="J182" s="2"/>
      <c r="K182" s="2"/>
      <c r="L182" s="2"/>
      <c r="M182" s="2"/>
      <c r="N182" s="16"/>
    </row>
    <row r="183">
      <c r="A183" s="81"/>
      <c r="B183" s="2"/>
      <c r="C183" s="2"/>
      <c r="D183" s="2"/>
      <c r="E183" s="2"/>
      <c r="F183" s="2"/>
      <c r="G183" s="2"/>
      <c r="H183" s="2"/>
      <c r="I183" s="2"/>
      <c r="J183" s="2"/>
      <c r="K183" s="2"/>
      <c r="L183" s="2"/>
      <c r="M183" s="2"/>
      <c r="N183" s="16"/>
    </row>
    <row r="184">
      <c r="A184" s="81"/>
      <c r="B184" s="2"/>
      <c r="C184" s="2"/>
      <c r="D184" s="2"/>
      <c r="E184" s="2"/>
      <c r="F184" s="2"/>
      <c r="G184" s="2"/>
      <c r="H184" s="2"/>
      <c r="I184" s="2"/>
      <c r="J184" s="2"/>
      <c r="K184" s="2"/>
      <c r="L184" s="2"/>
      <c r="M184" s="2"/>
      <c r="N184" s="16"/>
    </row>
    <row r="185">
      <c r="A185" s="81"/>
      <c r="B185" s="2"/>
      <c r="C185" s="2"/>
      <c r="D185" s="2"/>
      <c r="E185" s="2"/>
      <c r="F185" s="2"/>
      <c r="G185" s="2"/>
      <c r="H185" s="2"/>
      <c r="I185" s="2"/>
      <c r="J185" s="2"/>
      <c r="K185" s="2"/>
      <c r="L185" s="2"/>
      <c r="M185" s="2"/>
      <c r="N185" s="16"/>
    </row>
    <row r="186">
      <c r="A186" s="81"/>
      <c r="B186" s="2"/>
      <c r="C186" s="2"/>
      <c r="D186" s="2"/>
      <c r="E186" s="2"/>
      <c r="F186" s="2"/>
      <c r="G186" s="2"/>
      <c r="H186" s="2"/>
      <c r="I186" s="2"/>
      <c r="J186" s="2"/>
      <c r="K186" s="2"/>
      <c r="L186" s="2"/>
      <c r="M186" s="2"/>
      <c r="N186" s="16"/>
    </row>
    <row r="187">
      <c r="A187" s="81"/>
      <c r="B187" s="2"/>
      <c r="C187" s="2"/>
      <c r="D187" s="2"/>
      <c r="E187" s="2"/>
      <c r="F187" s="2"/>
      <c r="G187" s="2"/>
      <c r="H187" s="2"/>
      <c r="I187" s="2"/>
      <c r="J187" s="2"/>
      <c r="K187" s="2"/>
      <c r="L187" s="2"/>
      <c r="M187" s="2"/>
      <c r="N187" s="16"/>
    </row>
    <row r="188">
      <c r="A188" s="81"/>
      <c r="B188" s="2"/>
      <c r="C188" s="2"/>
      <c r="D188" s="2"/>
      <c r="E188" s="2"/>
      <c r="F188" s="2"/>
      <c r="G188" s="2"/>
      <c r="H188" s="2"/>
      <c r="I188" s="2"/>
      <c r="J188" s="2"/>
      <c r="K188" s="2"/>
      <c r="L188" s="2"/>
      <c r="M188" s="2"/>
      <c r="N188" s="16"/>
    </row>
    <row r="189">
      <c r="A189" s="81"/>
      <c r="B189" s="2"/>
      <c r="C189" s="2"/>
      <c r="D189" s="2"/>
      <c r="E189" s="2"/>
      <c r="F189" s="2"/>
      <c r="G189" s="2"/>
      <c r="H189" s="2"/>
      <c r="I189" s="2"/>
      <c r="J189" s="2"/>
      <c r="K189" s="2"/>
      <c r="L189" s="2"/>
      <c r="M189" s="2"/>
      <c r="N189" s="16"/>
    </row>
    <row r="190">
      <c r="A190" s="81"/>
      <c r="B190" s="2"/>
      <c r="C190" s="2"/>
      <c r="D190" s="2"/>
      <c r="E190" s="2"/>
      <c r="F190" s="2"/>
      <c r="G190" s="2"/>
      <c r="H190" s="2"/>
      <c r="I190" s="2"/>
      <c r="J190" s="2"/>
      <c r="K190" s="2"/>
      <c r="L190" s="2"/>
      <c r="M190" s="2"/>
      <c r="N190" s="16"/>
    </row>
    <row r="191">
      <c r="A191" s="81"/>
      <c r="B191" s="2"/>
      <c r="C191" s="2"/>
      <c r="D191" s="2"/>
      <c r="E191" s="2"/>
      <c r="F191" s="2"/>
      <c r="G191" s="2"/>
      <c r="H191" s="2"/>
      <c r="I191" s="2"/>
      <c r="J191" s="2"/>
      <c r="K191" s="2"/>
      <c r="L191" s="2"/>
      <c r="M191" s="2"/>
      <c r="N191" s="16"/>
    </row>
    <row r="192">
      <c r="A192" s="81"/>
      <c r="B192" s="2"/>
      <c r="C192" s="2"/>
      <c r="D192" s="2"/>
      <c r="E192" s="2"/>
      <c r="F192" s="2"/>
      <c r="G192" s="2"/>
      <c r="H192" s="2"/>
      <c r="I192" s="2"/>
      <c r="J192" s="2"/>
      <c r="K192" s="2"/>
      <c r="L192" s="2"/>
      <c r="M192" s="2"/>
      <c r="N192" s="16"/>
    </row>
    <row r="193">
      <c r="A193" s="81"/>
      <c r="B193" s="2"/>
      <c r="C193" s="2"/>
      <c r="D193" s="2"/>
      <c r="E193" s="2"/>
      <c r="F193" s="2"/>
      <c r="G193" s="2"/>
      <c r="H193" s="2"/>
      <c r="I193" s="2"/>
      <c r="J193" s="2"/>
      <c r="K193" s="2"/>
      <c r="L193" s="2"/>
      <c r="M193" s="2"/>
      <c r="N193" s="16"/>
    </row>
    <row r="194">
      <c r="A194" s="81"/>
      <c r="B194" s="2"/>
      <c r="C194" s="2"/>
      <c r="D194" s="2"/>
      <c r="E194" s="2"/>
      <c r="F194" s="2"/>
      <c r="G194" s="2"/>
      <c r="H194" s="2"/>
      <c r="I194" s="2"/>
      <c r="J194" s="2"/>
      <c r="K194" s="2"/>
      <c r="L194" s="2"/>
      <c r="M194" s="2"/>
      <c r="N194" s="16"/>
    </row>
    <row r="195">
      <c r="A195" s="81"/>
      <c r="B195" s="2"/>
      <c r="C195" s="2"/>
      <c r="D195" s="2"/>
      <c r="E195" s="2"/>
      <c r="F195" s="2"/>
      <c r="G195" s="2"/>
      <c r="H195" s="2"/>
      <c r="I195" s="2"/>
      <c r="J195" s="2"/>
      <c r="K195" s="2"/>
      <c r="L195" s="2"/>
      <c r="M195" s="2"/>
      <c r="N195" s="16"/>
    </row>
    <row r="196">
      <c r="A196" s="81"/>
      <c r="B196" s="2"/>
      <c r="C196" s="2"/>
      <c r="D196" s="2"/>
      <c r="E196" s="2"/>
      <c r="F196" s="2"/>
      <c r="G196" s="2"/>
      <c r="H196" s="2"/>
      <c r="I196" s="2"/>
      <c r="J196" s="2"/>
      <c r="K196" s="2"/>
      <c r="L196" s="2"/>
      <c r="M196" s="2"/>
      <c r="N196" s="16"/>
    </row>
    <row r="197">
      <c r="A197" s="81"/>
      <c r="B197" s="2"/>
      <c r="C197" s="2"/>
      <c r="D197" s="2"/>
      <c r="E197" s="2"/>
      <c r="F197" s="2"/>
      <c r="G197" s="2"/>
      <c r="H197" s="2"/>
      <c r="I197" s="2"/>
      <c r="J197" s="2"/>
      <c r="K197" s="2"/>
      <c r="L197" s="2"/>
      <c r="M197" s="2"/>
      <c r="N197" s="16"/>
    </row>
    <row r="198">
      <c r="A198" s="81"/>
      <c r="B198" s="2"/>
      <c r="C198" s="2"/>
      <c r="D198" s="2"/>
      <c r="E198" s="2"/>
      <c r="F198" s="2"/>
      <c r="G198" s="2"/>
      <c r="H198" s="2"/>
      <c r="I198" s="2"/>
      <c r="J198" s="2"/>
      <c r="K198" s="2"/>
      <c r="L198" s="2"/>
      <c r="M198" s="2"/>
      <c r="N198" s="16"/>
    </row>
    <row r="199">
      <c r="A199" s="81"/>
      <c r="B199" s="2"/>
      <c r="C199" s="2"/>
      <c r="D199" s="2"/>
      <c r="E199" s="2"/>
      <c r="F199" s="2"/>
      <c r="G199" s="2"/>
      <c r="H199" s="2"/>
      <c r="I199" s="2"/>
      <c r="J199" s="2"/>
      <c r="K199" s="2"/>
      <c r="L199" s="2"/>
      <c r="M199" s="2"/>
      <c r="N199" s="16"/>
    </row>
    <row r="200">
      <c r="A200" s="81"/>
      <c r="B200" s="2"/>
      <c r="C200" s="2"/>
      <c r="D200" s="2"/>
      <c r="E200" s="2"/>
      <c r="F200" s="2"/>
      <c r="G200" s="2"/>
      <c r="H200" s="2"/>
      <c r="I200" s="2"/>
      <c r="J200" s="2"/>
      <c r="K200" s="2"/>
      <c r="L200" s="2"/>
      <c r="M200" s="2"/>
      <c r="N200" s="16"/>
    </row>
    <row r="201">
      <c r="A201" s="81"/>
      <c r="B201" s="2"/>
      <c r="C201" s="2"/>
      <c r="D201" s="2"/>
      <c r="E201" s="2"/>
      <c r="F201" s="2"/>
      <c r="G201" s="2"/>
      <c r="H201" s="2"/>
      <c r="I201" s="2"/>
      <c r="J201" s="2"/>
      <c r="K201" s="2"/>
      <c r="L201" s="2"/>
      <c r="M201" s="2"/>
      <c r="N201" s="16"/>
    </row>
    <row r="202">
      <c r="A202" s="81"/>
      <c r="B202" s="2"/>
      <c r="C202" s="2"/>
      <c r="D202" s="2"/>
      <c r="E202" s="2"/>
      <c r="F202" s="2"/>
      <c r="G202" s="2"/>
      <c r="H202" s="2"/>
      <c r="I202" s="2"/>
      <c r="J202" s="2"/>
      <c r="K202" s="2"/>
      <c r="L202" s="2"/>
      <c r="M202" s="2"/>
      <c r="N202" s="16"/>
    </row>
    <row r="203">
      <c r="A203" s="81"/>
      <c r="B203" s="2"/>
      <c r="C203" s="2"/>
      <c r="D203" s="2"/>
      <c r="E203" s="2"/>
      <c r="F203" s="2"/>
      <c r="G203" s="2"/>
      <c r="H203" s="2"/>
      <c r="I203" s="2"/>
      <c r="J203" s="2"/>
      <c r="K203" s="2"/>
      <c r="L203" s="2"/>
      <c r="M203" s="2"/>
      <c r="N203" s="16"/>
    </row>
    <row r="204">
      <c r="A204" s="81"/>
      <c r="B204" s="2"/>
      <c r="C204" s="2"/>
      <c r="D204" s="2"/>
      <c r="E204" s="2"/>
      <c r="F204" s="2"/>
      <c r="G204" s="2"/>
      <c r="H204" s="2"/>
      <c r="I204" s="2"/>
      <c r="J204" s="2"/>
      <c r="K204" s="2"/>
      <c r="L204" s="2"/>
      <c r="M204" s="2"/>
      <c r="N204" s="16"/>
    </row>
    <row r="205">
      <c r="A205" s="81"/>
      <c r="B205" s="2"/>
      <c r="C205" s="2"/>
      <c r="D205" s="2"/>
      <c r="E205" s="2"/>
      <c r="F205" s="2"/>
      <c r="G205" s="2"/>
      <c r="H205" s="2"/>
      <c r="I205" s="2"/>
      <c r="J205" s="2"/>
      <c r="K205" s="2"/>
      <c r="L205" s="2"/>
      <c r="M205" s="2"/>
      <c r="N205" s="16"/>
    </row>
    <row r="206">
      <c r="A206" s="81"/>
      <c r="B206" s="2"/>
      <c r="C206" s="2"/>
      <c r="D206" s="2"/>
      <c r="E206" s="2"/>
      <c r="F206" s="2"/>
      <c r="G206" s="2"/>
      <c r="H206" s="2"/>
      <c r="I206" s="2"/>
      <c r="J206" s="2"/>
      <c r="K206" s="2"/>
      <c r="L206" s="2"/>
      <c r="M206" s="2"/>
      <c r="N206" s="16"/>
    </row>
    <row r="207">
      <c r="A207" s="81"/>
      <c r="B207" s="2"/>
      <c r="C207" s="2"/>
      <c r="D207" s="2"/>
      <c r="E207" s="2"/>
      <c r="F207" s="2"/>
      <c r="G207" s="2"/>
      <c r="H207" s="2"/>
      <c r="I207" s="2"/>
      <c r="J207" s="2"/>
      <c r="K207" s="2"/>
      <c r="L207" s="2"/>
      <c r="M207" s="2"/>
      <c r="N207" s="16"/>
    </row>
    <row r="208">
      <c r="A208" s="81"/>
      <c r="B208" s="2"/>
      <c r="C208" s="2"/>
      <c r="D208" s="2"/>
      <c r="E208" s="2"/>
      <c r="F208" s="2"/>
      <c r="G208" s="2"/>
      <c r="H208" s="2"/>
      <c r="I208" s="2"/>
      <c r="J208" s="2"/>
      <c r="K208" s="2"/>
      <c r="L208" s="2"/>
      <c r="M208" s="2"/>
      <c r="N208" s="16"/>
    </row>
    <row r="209">
      <c r="A209" s="81"/>
      <c r="B209" s="2"/>
      <c r="C209" s="2"/>
      <c r="D209" s="2"/>
      <c r="E209" s="2"/>
      <c r="F209" s="2"/>
      <c r="G209" s="2"/>
      <c r="H209" s="2"/>
      <c r="I209" s="2"/>
      <c r="J209" s="2"/>
      <c r="K209" s="2"/>
      <c r="L209" s="2"/>
      <c r="M209" s="2"/>
      <c r="N209" s="16"/>
    </row>
    <row r="210">
      <c r="A210" s="81"/>
      <c r="B210" s="2"/>
      <c r="C210" s="2"/>
      <c r="D210" s="2"/>
      <c r="E210" s="2"/>
      <c r="F210" s="2"/>
      <c r="G210" s="2"/>
      <c r="H210" s="2"/>
      <c r="I210" s="2"/>
      <c r="J210" s="2"/>
      <c r="K210" s="2"/>
      <c r="L210" s="2"/>
      <c r="M210" s="2"/>
      <c r="N210" s="16"/>
    </row>
    <row r="211">
      <c r="A211" s="81"/>
      <c r="B211" s="2"/>
      <c r="C211" s="2"/>
      <c r="D211" s="2"/>
      <c r="E211" s="2"/>
      <c r="F211" s="2"/>
      <c r="G211" s="2"/>
      <c r="H211" s="2"/>
      <c r="I211" s="2"/>
      <c r="J211" s="2"/>
      <c r="K211" s="2"/>
      <c r="L211" s="2"/>
      <c r="M211" s="2"/>
      <c r="N211" s="16"/>
    </row>
    <row r="212">
      <c r="A212" s="81"/>
      <c r="B212" s="2"/>
      <c r="C212" s="2"/>
      <c r="D212" s="2"/>
      <c r="E212" s="2"/>
      <c r="F212" s="2"/>
      <c r="G212" s="2"/>
      <c r="H212" s="2"/>
      <c r="I212" s="2"/>
      <c r="J212" s="2"/>
      <c r="K212" s="2"/>
      <c r="L212" s="2"/>
      <c r="M212" s="2"/>
      <c r="N212" s="16"/>
    </row>
    <row r="213">
      <c r="A213" s="81"/>
      <c r="B213" s="2"/>
      <c r="C213" s="2"/>
      <c r="D213" s="2"/>
      <c r="E213" s="2"/>
      <c r="F213" s="2"/>
      <c r="G213" s="2"/>
      <c r="H213" s="2"/>
      <c r="I213" s="2"/>
      <c r="J213" s="2"/>
      <c r="K213" s="2"/>
      <c r="L213" s="2"/>
      <c r="M213" s="2"/>
      <c r="N213" s="16"/>
    </row>
    <row r="214">
      <c r="A214" s="81"/>
      <c r="B214" s="2"/>
      <c r="C214" s="2"/>
      <c r="D214" s="2"/>
      <c r="E214" s="2"/>
      <c r="F214" s="2"/>
      <c r="G214" s="2"/>
      <c r="H214" s="2"/>
      <c r="I214" s="2"/>
      <c r="J214" s="2"/>
      <c r="K214" s="2"/>
      <c r="L214" s="2"/>
      <c r="M214" s="2"/>
      <c r="N214" s="16"/>
    </row>
    <row r="215">
      <c r="A215" s="81"/>
      <c r="B215" s="2"/>
      <c r="C215" s="2"/>
      <c r="D215" s="2"/>
      <c r="E215" s="2"/>
      <c r="F215" s="2"/>
      <c r="G215" s="2"/>
      <c r="H215" s="2"/>
      <c r="I215" s="2"/>
      <c r="J215" s="2"/>
      <c r="K215" s="2"/>
      <c r="L215" s="2"/>
      <c r="M215" s="2"/>
      <c r="N215" s="16"/>
    </row>
    <row r="216">
      <c r="A216" s="81"/>
      <c r="B216" s="2"/>
      <c r="C216" s="2"/>
      <c r="D216" s="2"/>
      <c r="E216" s="2"/>
      <c r="F216" s="2"/>
      <c r="G216" s="2"/>
      <c r="H216" s="2"/>
      <c r="I216" s="2"/>
      <c r="J216" s="2"/>
      <c r="K216" s="2"/>
      <c r="L216" s="2"/>
      <c r="M216" s="2"/>
      <c r="N216" s="16"/>
    </row>
    <row r="217">
      <c r="A217" s="81"/>
      <c r="B217" s="2"/>
      <c r="C217" s="2"/>
      <c r="D217" s="2"/>
      <c r="E217" s="2"/>
      <c r="F217" s="2"/>
      <c r="G217" s="2"/>
      <c r="H217" s="2"/>
      <c r="I217" s="2"/>
      <c r="J217" s="2"/>
      <c r="K217" s="2"/>
      <c r="L217" s="2"/>
      <c r="M217" s="2"/>
      <c r="N217" s="16"/>
    </row>
    <row r="218">
      <c r="A218" s="81"/>
      <c r="B218" s="2"/>
      <c r="C218" s="2"/>
      <c r="D218" s="2"/>
      <c r="E218" s="2"/>
      <c r="F218" s="2"/>
      <c r="G218" s="2"/>
      <c r="H218" s="2"/>
      <c r="I218" s="2"/>
      <c r="J218" s="2"/>
      <c r="K218" s="2"/>
      <c r="L218" s="2"/>
      <c r="M218" s="2"/>
      <c r="N218" s="16"/>
    </row>
    <row r="219">
      <c r="A219" s="81"/>
      <c r="B219" s="2"/>
      <c r="C219" s="2"/>
      <c r="D219" s="2"/>
      <c r="E219" s="2"/>
      <c r="F219" s="2"/>
      <c r="G219" s="2"/>
      <c r="H219" s="2"/>
      <c r="I219" s="2"/>
      <c r="J219" s="2"/>
      <c r="K219" s="2"/>
      <c r="L219" s="2"/>
      <c r="M219" s="2"/>
      <c r="N219" s="16"/>
    </row>
    <row r="220">
      <c r="A220" s="81"/>
      <c r="B220" s="2"/>
      <c r="C220" s="2"/>
      <c r="D220" s="2"/>
      <c r="E220" s="2"/>
      <c r="F220" s="2"/>
      <c r="G220" s="2"/>
      <c r="H220" s="2"/>
      <c r="I220" s="2"/>
      <c r="J220" s="2"/>
      <c r="K220" s="2"/>
      <c r="L220" s="2"/>
      <c r="M220" s="2"/>
      <c r="N220" s="16"/>
    </row>
    <row r="221">
      <c r="A221" s="81"/>
      <c r="B221" s="2"/>
      <c r="C221" s="2"/>
      <c r="D221" s="2"/>
      <c r="E221" s="2"/>
      <c r="F221" s="2"/>
      <c r="G221" s="2"/>
      <c r="H221" s="2"/>
      <c r="I221" s="2"/>
      <c r="J221" s="2"/>
      <c r="K221" s="2"/>
      <c r="L221" s="2"/>
      <c r="M221" s="2"/>
      <c r="N221" s="16"/>
    </row>
    <row r="222">
      <c r="A222" s="81"/>
      <c r="B222" s="2"/>
      <c r="C222" s="2"/>
      <c r="D222" s="2"/>
      <c r="E222" s="2"/>
      <c r="F222" s="2"/>
      <c r="G222" s="2"/>
      <c r="H222" s="2"/>
      <c r="I222" s="2"/>
      <c r="J222" s="2"/>
      <c r="K222" s="2"/>
      <c r="L222" s="2"/>
      <c r="M222" s="2"/>
      <c r="N222" s="16"/>
    </row>
    <row r="223">
      <c r="A223" s="81"/>
      <c r="B223" s="2"/>
      <c r="C223" s="2"/>
      <c r="D223" s="2"/>
      <c r="E223" s="2"/>
      <c r="F223" s="2"/>
      <c r="G223" s="2"/>
      <c r="H223" s="2"/>
      <c r="I223" s="2"/>
      <c r="J223" s="2"/>
      <c r="K223" s="2"/>
      <c r="L223" s="2"/>
      <c r="M223" s="2"/>
      <c r="N223" s="16"/>
    </row>
    <row r="224">
      <c r="A224" s="81"/>
      <c r="B224" s="2"/>
      <c r="C224" s="2"/>
      <c r="D224" s="2"/>
      <c r="E224" s="2"/>
      <c r="F224" s="2"/>
      <c r="G224" s="2"/>
      <c r="H224" s="2"/>
      <c r="I224" s="2"/>
      <c r="J224" s="2"/>
      <c r="K224" s="2"/>
      <c r="L224" s="2"/>
      <c r="M224" s="2"/>
      <c r="N224" s="16"/>
    </row>
    <row r="225">
      <c r="A225" s="81"/>
      <c r="B225" s="2"/>
      <c r="C225" s="2"/>
      <c r="D225" s="2"/>
      <c r="E225" s="2"/>
      <c r="F225" s="2"/>
      <c r="G225" s="2"/>
      <c r="H225" s="2"/>
      <c r="I225" s="2"/>
      <c r="J225" s="2"/>
      <c r="K225" s="2"/>
      <c r="L225" s="2"/>
      <c r="M225" s="2"/>
      <c r="N225" s="16"/>
    </row>
    <row r="226">
      <c r="A226" s="81"/>
      <c r="B226" s="2"/>
      <c r="C226" s="2"/>
      <c r="D226" s="2"/>
      <c r="E226" s="2"/>
      <c r="F226" s="2"/>
      <c r="G226" s="2"/>
      <c r="H226" s="2"/>
      <c r="I226" s="2"/>
      <c r="J226" s="2"/>
      <c r="K226" s="2"/>
      <c r="L226" s="2"/>
      <c r="M226" s="2"/>
      <c r="N226" s="16"/>
    </row>
    <row r="227">
      <c r="A227" s="81"/>
      <c r="B227" s="2"/>
      <c r="C227" s="2"/>
      <c r="D227" s="2"/>
      <c r="E227" s="2"/>
      <c r="F227" s="2"/>
      <c r="G227" s="2"/>
      <c r="H227" s="2"/>
      <c r="I227" s="2"/>
      <c r="J227" s="2"/>
      <c r="K227" s="2"/>
      <c r="L227" s="2"/>
      <c r="M227" s="2"/>
      <c r="N227" s="16"/>
    </row>
    <row r="228">
      <c r="A228" s="81"/>
      <c r="B228" s="2"/>
      <c r="C228" s="2"/>
      <c r="D228" s="2"/>
      <c r="E228" s="2"/>
      <c r="F228" s="2"/>
      <c r="G228" s="2"/>
      <c r="H228" s="2"/>
      <c r="I228" s="2"/>
      <c r="J228" s="2"/>
      <c r="K228" s="2"/>
      <c r="L228" s="2"/>
      <c r="M228" s="2"/>
      <c r="N228" s="16"/>
    </row>
    <row r="229">
      <c r="A229" s="81"/>
      <c r="B229" s="2"/>
      <c r="C229" s="2"/>
      <c r="D229" s="2"/>
      <c r="E229" s="2"/>
      <c r="F229" s="2"/>
      <c r="G229" s="2"/>
      <c r="H229" s="2"/>
      <c r="I229" s="2"/>
      <c r="J229" s="2"/>
      <c r="K229" s="2"/>
      <c r="L229" s="2"/>
      <c r="M229" s="2"/>
      <c r="N229" s="16"/>
    </row>
    <row r="230">
      <c r="A230" s="81"/>
      <c r="B230" s="2"/>
      <c r="C230" s="2"/>
      <c r="D230" s="2"/>
      <c r="E230" s="2"/>
      <c r="F230" s="2"/>
      <c r="G230" s="2"/>
      <c r="H230" s="2"/>
      <c r="I230" s="2"/>
      <c r="J230" s="2"/>
      <c r="K230" s="2"/>
      <c r="L230" s="2"/>
      <c r="M230" s="2"/>
      <c r="N230" s="16"/>
    </row>
    <row r="231">
      <c r="A231" s="81"/>
      <c r="B231" s="2"/>
      <c r="C231" s="2"/>
      <c r="D231" s="2"/>
      <c r="E231" s="2"/>
      <c r="F231" s="2"/>
      <c r="G231" s="2"/>
      <c r="H231" s="2"/>
      <c r="I231" s="2"/>
      <c r="J231" s="2"/>
      <c r="K231" s="2"/>
      <c r="L231" s="2"/>
      <c r="M231" s="2"/>
      <c r="N231" s="16"/>
    </row>
    <row r="232">
      <c r="A232" s="81"/>
      <c r="B232" s="2"/>
      <c r="C232" s="2"/>
      <c r="D232" s="2"/>
      <c r="E232" s="2"/>
      <c r="F232" s="2"/>
      <c r="G232" s="2"/>
      <c r="H232" s="2"/>
      <c r="I232" s="2"/>
      <c r="J232" s="2"/>
      <c r="K232" s="2"/>
      <c r="L232" s="2"/>
      <c r="M232" s="2"/>
      <c r="N232" s="16"/>
    </row>
    <row r="233">
      <c r="A233" s="81"/>
      <c r="B233" s="2"/>
      <c r="C233" s="2"/>
      <c r="D233" s="2"/>
      <c r="E233" s="2"/>
      <c r="F233" s="2"/>
      <c r="G233" s="2"/>
      <c r="H233" s="2"/>
      <c r="I233" s="2"/>
      <c r="J233" s="2"/>
      <c r="K233" s="2"/>
      <c r="L233" s="2"/>
      <c r="M233" s="2"/>
      <c r="N233" s="16"/>
    </row>
    <row r="234">
      <c r="A234" s="81"/>
      <c r="B234" s="2"/>
      <c r="C234" s="2"/>
      <c r="D234" s="2"/>
      <c r="E234" s="2"/>
      <c r="F234" s="2"/>
      <c r="G234" s="2"/>
      <c r="H234" s="2"/>
      <c r="I234" s="2"/>
      <c r="J234" s="2"/>
      <c r="K234" s="2"/>
      <c r="L234" s="2"/>
      <c r="M234" s="2"/>
      <c r="N234" s="16"/>
    </row>
    <row r="235">
      <c r="A235" s="81"/>
      <c r="B235" s="2"/>
      <c r="C235" s="2"/>
      <c r="D235" s="2"/>
      <c r="E235" s="2"/>
      <c r="F235" s="2"/>
      <c r="G235" s="2"/>
      <c r="H235" s="2"/>
      <c r="I235" s="2"/>
      <c r="J235" s="2"/>
      <c r="K235" s="2"/>
      <c r="L235" s="2"/>
      <c r="M235" s="2"/>
      <c r="N235" s="16"/>
    </row>
    <row r="236">
      <c r="A236" s="81"/>
      <c r="B236" s="2"/>
      <c r="C236" s="2"/>
      <c r="D236" s="2"/>
      <c r="E236" s="2"/>
      <c r="F236" s="2"/>
      <c r="G236" s="2"/>
      <c r="H236" s="2"/>
      <c r="I236" s="2"/>
      <c r="J236" s="2"/>
      <c r="K236" s="2"/>
      <c r="L236" s="2"/>
      <c r="M236" s="2"/>
      <c r="N236" s="16"/>
    </row>
    <row r="237">
      <c r="A237" s="81"/>
      <c r="B237" s="2"/>
      <c r="C237" s="2"/>
      <c r="D237" s="2"/>
      <c r="E237" s="2"/>
      <c r="F237" s="2"/>
      <c r="G237" s="2"/>
      <c r="H237" s="2"/>
      <c r="I237" s="2"/>
      <c r="J237" s="2"/>
      <c r="K237" s="2"/>
      <c r="L237" s="2"/>
      <c r="M237" s="2"/>
      <c r="N237" s="16"/>
    </row>
    <row r="238">
      <c r="A238" s="81"/>
      <c r="B238" s="2"/>
      <c r="C238" s="2"/>
      <c r="D238" s="2"/>
      <c r="E238" s="2"/>
      <c r="F238" s="2"/>
      <c r="G238" s="2"/>
      <c r="H238" s="2"/>
      <c r="I238" s="2"/>
      <c r="J238" s="2"/>
      <c r="K238" s="2"/>
      <c r="L238" s="2"/>
      <c r="M238" s="2"/>
      <c r="N238" s="16"/>
    </row>
    <row r="239">
      <c r="A239" s="81"/>
      <c r="B239" s="2"/>
      <c r="C239" s="2"/>
      <c r="D239" s="2"/>
      <c r="E239" s="2"/>
      <c r="F239" s="2"/>
      <c r="G239" s="2"/>
      <c r="H239" s="2"/>
      <c r="I239" s="2"/>
      <c r="J239" s="2"/>
      <c r="K239" s="2"/>
      <c r="L239" s="2"/>
      <c r="M239" s="2"/>
      <c r="N239" s="16"/>
    </row>
    <row r="240">
      <c r="A240" s="81"/>
      <c r="B240" s="2"/>
      <c r="C240" s="2"/>
      <c r="D240" s="2"/>
      <c r="E240" s="2"/>
      <c r="F240" s="2"/>
      <c r="G240" s="2"/>
      <c r="H240" s="2"/>
      <c r="I240" s="2"/>
      <c r="J240" s="2"/>
      <c r="K240" s="2"/>
      <c r="L240" s="2"/>
      <c r="M240" s="2"/>
      <c r="N240" s="16"/>
    </row>
    <row r="241">
      <c r="A241" s="81"/>
      <c r="B241" s="2"/>
      <c r="C241" s="2"/>
      <c r="D241" s="2"/>
      <c r="E241" s="2"/>
      <c r="F241" s="2"/>
      <c r="G241" s="2"/>
      <c r="H241" s="2"/>
      <c r="I241" s="2"/>
      <c r="J241" s="2"/>
      <c r="K241" s="2"/>
      <c r="L241" s="2"/>
      <c r="M241" s="2"/>
      <c r="N241" s="16"/>
    </row>
    <row r="242">
      <c r="A242" s="81"/>
      <c r="B242" s="2"/>
      <c r="C242" s="2"/>
      <c r="D242" s="2"/>
      <c r="E242" s="2"/>
      <c r="F242" s="2"/>
      <c r="G242" s="2"/>
      <c r="H242" s="2"/>
      <c r="I242" s="2"/>
      <c r="J242" s="2"/>
      <c r="K242" s="2"/>
      <c r="L242" s="2"/>
      <c r="M242" s="2"/>
      <c r="N242" s="16"/>
    </row>
    <row r="243">
      <c r="A243" s="81"/>
      <c r="B243" s="2"/>
      <c r="C243" s="2"/>
      <c r="D243" s="2"/>
      <c r="E243" s="2"/>
      <c r="F243" s="2"/>
      <c r="G243" s="2"/>
      <c r="H243" s="2"/>
      <c r="I243" s="2"/>
      <c r="J243" s="2"/>
      <c r="K243" s="2"/>
      <c r="L243" s="2"/>
      <c r="M243" s="2"/>
      <c r="N243" s="16"/>
    </row>
    <row r="244">
      <c r="A244" s="81"/>
      <c r="B244" s="2"/>
      <c r="C244" s="2"/>
      <c r="D244" s="2"/>
      <c r="E244" s="2"/>
      <c r="F244" s="2"/>
      <c r="G244" s="2"/>
      <c r="H244" s="2"/>
      <c r="I244" s="2"/>
      <c r="J244" s="2"/>
      <c r="K244" s="2"/>
      <c r="L244" s="2"/>
      <c r="M244" s="2"/>
      <c r="N244" s="16"/>
    </row>
    <row r="245">
      <c r="A245" s="81"/>
      <c r="B245" s="2"/>
      <c r="C245" s="2"/>
      <c r="D245" s="2"/>
      <c r="E245" s="2"/>
      <c r="F245" s="2"/>
      <c r="G245" s="2"/>
      <c r="H245" s="2"/>
      <c r="I245" s="2"/>
      <c r="J245" s="2"/>
      <c r="K245" s="2"/>
      <c r="L245" s="2"/>
      <c r="M245" s="2"/>
      <c r="N245" s="16"/>
    </row>
    <row r="246">
      <c r="A246" s="81"/>
      <c r="B246" s="2"/>
      <c r="C246" s="2"/>
      <c r="D246" s="2"/>
      <c r="E246" s="2"/>
      <c r="F246" s="2"/>
      <c r="G246" s="2"/>
      <c r="H246" s="2"/>
      <c r="I246" s="2"/>
      <c r="J246" s="2"/>
      <c r="K246" s="2"/>
      <c r="L246" s="2"/>
      <c r="M246" s="2"/>
      <c r="N246" s="16"/>
    </row>
    <row r="247">
      <c r="A247" s="81"/>
      <c r="B247" s="2"/>
      <c r="C247" s="2"/>
      <c r="D247" s="2"/>
      <c r="E247" s="2"/>
      <c r="F247" s="2"/>
      <c r="G247" s="2"/>
      <c r="H247" s="2"/>
      <c r="I247" s="2"/>
      <c r="J247" s="2"/>
      <c r="K247" s="2"/>
      <c r="L247" s="2"/>
      <c r="M247" s="2"/>
      <c r="N247" s="16"/>
    </row>
    <row r="248">
      <c r="A248" s="81"/>
      <c r="B248" s="2"/>
      <c r="C248" s="2"/>
      <c r="D248" s="2"/>
      <c r="E248" s="2"/>
      <c r="F248" s="2"/>
      <c r="G248" s="2"/>
      <c r="H248" s="2"/>
      <c r="I248" s="2"/>
      <c r="J248" s="2"/>
      <c r="K248" s="2"/>
      <c r="L248" s="2"/>
      <c r="M248" s="2"/>
      <c r="N248" s="16"/>
    </row>
    <row r="249">
      <c r="A249" s="81"/>
      <c r="B249" s="2"/>
      <c r="C249" s="2"/>
      <c r="D249" s="2"/>
      <c r="E249" s="2"/>
      <c r="F249" s="2"/>
      <c r="G249" s="2"/>
      <c r="H249" s="2"/>
      <c r="I249" s="2"/>
      <c r="J249" s="2"/>
      <c r="K249" s="2"/>
      <c r="L249" s="2"/>
      <c r="M249" s="2"/>
      <c r="N249" s="16"/>
    </row>
    <row r="250">
      <c r="A250" s="81"/>
      <c r="B250" s="2"/>
      <c r="C250" s="2"/>
      <c r="D250" s="2"/>
      <c r="E250" s="2"/>
      <c r="F250" s="2"/>
      <c r="G250" s="2"/>
      <c r="H250" s="2"/>
      <c r="I250" s="2"/>
      <c r="J250" s="2"/>
      <c r="K250" s="2"/>
      <c r="L250" s="2"/>
      <c r="M250" s="2"/>
      <c r="N250" s="16"/>
    </row>
    <row r="251">
      <c r="A251" s="81"/>
      <c r="B251" s="2"/>
      <c r="C251" s="2"/>
      <c r="D251" s="2"/>
      <c r="E251" s="2"/>
      <c r="F251" s="2"/>
      <c r="G251" s="2"/>
      <c r="H251" s="2"/>
      <c r="I251" s="2"/>
      <c r="J251" s="2"/>
      <c r="K251" s="2"/>
      <c r="L251" s="2"/>
      <c r="M251" s="2"/>
      <c r="N251" s="16"/>
    </row>
    <row r="252">
      <c r="A252" s="81"/>
      <c r="B252" s="2"/>
      <c r="C252" s="2"/>
      <c r="D252" s="2"/>
      <c r="E252" s="2"/>
      <c r="F252" s="2"/>
      <c r="G252" s="2"/>
      <c r="H252" s="2"/>
      <c r="I252" s="2"/>
      <c r="J252" s="2"/>
      <c r="K252" s="2"/>
      <c r="L252" s="2"/>
      <c r="M252" s="2"/>
      <c r="N252" s="16"/>
    </row>
    <row r="253">
      <c r="A253" s="81"/>
      <c r="B253" s="2"/>
      <c r="C253" s="2"/>
      <c r="D253" s="2"/>
      <c r="E253" s="2"/>
      <c r="F253" s="2"/>
      <c r="G253" s="2"/>
      <c r="H253" s="2"/>
      <c r="I253" s="2"/>
      <c r="J253" s="2"/>
      <c r="K253" s="2"/>
      <c r="L253" s="2"/>
      <c r="M253" s="2"/>
      <c r="N253" s="16"/>
    </row>
    <row r="254">
      <c r="A254" s="81"/>
      <c r="B254" s="2"/>
      <c r="C254" s="2"/>
      <c r="D254" s="2"/>
      <c r="E254" s="2"/>
      <c r="F254" s="2"/>
      <c r="G254" s="2"/>
      <c r="H254" s="2"/>
      <c r="I254" s="2"/>
      <c r="J254" s="2"/>
      <c r="K254" s="2"/>
      <c r="L254" s="2"/>
      <c r="M254" s="2"/>
      <c r="N254" s="16"/>
    </row>
    <row r="255">
      <c r="A255" s="81"/>
      <c r="B255" s="2"/>
      <c r="C255" s="2"/>
      <c r="D255" s="2"/>
      <c r="E255" s="2"/>
      <c r="F255" s="2"/>
      <c r="G255" s="2"/>
      <c r="H255" s="2"/>
      <c r="I255" s="2"/>
      <c r="J255" s="2"/>
      <c r="K255" s="2"/>
      <c r="L255" s="2"/>
      <c r="M255" s="2"/>
      <c r="N255" s="16"/>
    </row>
    <row r="256">
      <c r="A256" s="81"/>
      <c r="B256" s="2"/>
      <c r="C256" s="2"/>
      <c r="D256" s="2"/>
      <c r="E256" s="2"/>
      <c r="F256" s="2"/>
      <c r="G256" s="2"/>
      <c r="H256" s="2"/>
      <c r="I256" s="2"/>
      <c r="J256" s="2"/>
      <c r="K256" s="2"/>
      <c r="L256" s="2"/>
      <c r="M256" s="2"/>
      <c r="N256" s="16"/>
    </row>
    <row r="257">
      <c r="A257" s="81"/>
      <c r="B257" s="2"/>
      <c r="C257" s="2"/>
      <c r="D257" s="2"/>
      <c r="E257" s="2"/>
      <c r="F257" s="2"/>
      <c r="G257" s="2"/>
      <c r="H257" s="2"/>
      <c r="I257" s="2"/>
      <c r="J257" s="2"/>
      <c r="K257" s="2"/>
      <c r="L257" s="2"/>
      <c r="M257" s="2"/>
      <c r="N257" s="16"/>
    </row>
    <row r="258">
      <c r="A258" s="81"/>
      <c r="B258" s="2"/>
      <c r="C258" s="2"/>
      <c r="D258" s="2"/>
      <c r="E258" s="2"/>
      <c r="F258" s="2"/>
      <c r="G258" s="2"/>
      <c r="H258" s="2"/>
      <c r="I258" s="2"/>
      <c r="J258" s="2"/>
      <c r="K258" s="2"/>
      <c r="L258" s="2"/>
      <c r="M258" s="2"/>
      <c r="N258" s="16"/>
    </row>
    <row r="259">
      <c r="A259" s="81"/>
      <c r="B259" s="2"/>
      <c r="C259" s="2"/>
      <c r="D259" s="2"/>
      <c r="E259" s="2"/>
      <c r="F259" s="2"/>
      <c r="G259" s="2"/>
      <c r="H259" s="2"/>
      <c r="I259" s="2"/>
      <c r="J259" s="2"/>
      <c r="K259" s="2"/>
      <c r="L259" s="2"/>
      <c r="M259" s="2"/>
      <c r="N259" s="16"/>
    </row>
    <row r="260">
      <c r="A260" s="81"/>
      <c r="B260" s="2"/>
      <c r="C260" s="2"/>
      <c r="D260" s="2"/>
      <c r="E260" s="2"/>
      <c r="F260" s="2"/>
      <c r="G260" s="2"/>
      <c r="H260" s="2"/>
      <c r="I260" s="2"/>
      <c r="J260" s="2"/>
      <c r="K260" s="2"/>
      <c r="L260" s="2"/>
      <c r="M260" s="2"/>
      <c r="N260" s="16"/>
    </row>
    <row r="261">
      <c r="A261" s="81"/>
      <c r="B261" s="2"/>
      <c r="C261" s="2"/>
      <c r="D261" s="2"/>
      <c r="E261" s="2"/>
      <c r="F261" s="2"/>
      <c r="G261" s="2"/>
      <c r="H261" s="2"/>
      <c r="I261" s="2"/>
      <c r="J261" s="2"/>
      <c r="K261" s="2"/>
      <c r="L261" s="2"/>
      <c r="M261" s="2"/>
      <c r="N261" s="16"/>
    </row>
    <row r="262">
      <c r="A262" s="81"/>
      <c r="B262" s="2"/>
      <c r="C262" s="2"/>
      <c r="D262" s="2"/>
      <c r="E262" s="2"/>
      <c r="F262" s="2"/>
      <c r="G262" s="2"/>
      <c r="H262" s="2"/>
      <c r="I262" s="2"/>
      <c r="J262" s="2"/>
      <c r="K262" s="2"/>
      <c r="L262" s="2"/>
      <c r="M262" s="2"/>
      <c r="N262" s="16"/>
    </row>
    <row r="263">
      <c r="A263" s="81"/>
      <c r="B263" s="2"/>
      <c r="C263" s="2"/>
      <c r="D263" s="2"/>
      <c r="E263" s="2"/>
      <c r="F263" s="2"/>
      <c r="G263" s="2"/>
      <c r="H263" s="2"/>
      <c r="I263" s="2"/>
      <c r="J263" s="2"/>
      <c r="K263" s="2"/>
      <c r="L263" s="2"/>
      <c r="M263" s="2"/>
      <c r="N263" s="16"/>
    </row>
    <row r="264">
      <c r="A264" s="81"/>
      <c r="B264" s="2"/>
      <c r="C264" s="2"/>
      <c r="D264" s="2"/>
      <c r="E264" s="2"/>
      <c r="F264" s="2"/>
      <c r="G264" s="2"/>
      <c r="H264" s="2"/>
      <c r="I264" s="2"/>
      <c r="J264" s="2"/>
      <c r="K264" s="2"/>
      <c r="L264" s="2"/>
      <c r="M264" s="2"/>
      <c r="N264" s="16"/>
    </row>
    <row r="265">
      <c r="A265" s="81"/>
      <c r="B265" s="2"/>
      <c r="C265" s="2"/>
      <c r="D265" s="2"/>
      <c r="E265" s="2"/>
      <c r="F265" s="2"/>
      <c r="G265" s="2"/>
      <c r="H265" s="2"/>
      <c r="I265" s="2"/>
      <c r="J265" s="2"/>
      <c r="K265" s="2"/>
      <c r="L265" s="2"/>
      <c r="M265" s="2"/>
      <c r="N265" s="16"/>
    </row>
    <row r="266">
      <c r="A266" s="81"/>
      <c r="B266" s="2"/>
      <c r="C266" s="2"/>
      <c r="D266" s="2"/>
      <c r="E266" s="2"/>
      <c r="F266" s="2"/>
      <c r="G266" s="2"/>
      <c r="H266" s="2"/>
      <c r="I266" s="2"/>
      <c r="J266" s="2"/>
      <c r="K266" s="2"/>
      <c r="L266" s="2"/>
      <c r="M266" s="2"/>
      <c r="N266" s="16"/>
    </row>
    <row r="267">
      <c r="A267" s="81"/>
      <c r="B267" s="2"/>
      <c r="C267" s="2"/>
      <c r="D267" s="2"/>
      <c r="E267" s="2"/>
      <c r="F267" s="2"/>
      <c r="G267" s="2"/>
      <c r="H267" s="2"/>
      <c r="I267" s="2"/>
      <c r="J267" s="2"/>
      <c r="K267" s="2"/>
      <c r="L267" s="2"/>
      <c r="M267" s="2"/>
      <c r="N267" s="16"/>
    </row>
    <row r="268">
      <c r="A268" s="81"/>
      <c r="B268" s="2"/>
      <c r="C268" s="2"/>
      <c r="D268" s="2"/>
      <c r="E268" s="2"/>
      <c r="F268" s="2"/>
      <c r="G268" s="2"/>
      <c r="H268" s="2"/>
      <c r="I268" s="2"/>
      <c r="J268" s="2"/>
      <c r="K268" s="2"/>
      <c r="L268" s="2"/>
      <c r="M268" s="2"/>
      <c r="N268" s="16"/>
    </row>
    <row r="269">
      <c r="A269" s="81"/>
      <c r="B269" s="2"/>
      <c r="C269" s="2"/>
      <c r="D269" s="2"/>
      <c r="E269" s="2"/>
      <c r="F269" s="2"/>
      <c r="G269" s="2"/>
      <c r="H269" s="2"/>
      <c r="I269" s="2"/>
      <c r="J269" s="2"/>
      <c r="K269" s="2"/>
      <c r="L269" s="2"/>
      <c r="M269" s="2"/>
      <c r="N269" s="16"/>
    </row>
    <row r="270">
      <c r="A270" s="81"/>
      <c r="B270" s="2"/>
      <c r="C270" s="2"/>
      <c r="D270" s="2"/>
      <c r="E270" s="2"/>
      <c r="F270" s="2"/>
      <c r="G270" s="2"/>
      <c r="H270" s="2"/>
      <c r="I270" s="2"/>
      <c r="J270" s="2"/>
      <c r="K270" s="2"/>
      <c r="L270" s="2"/>
      <c r="M270" s="2"/>
      <c r="N270" s="16"/>
    </row>
    <row r="271">
      <c r="A271" s="81"/>
      <c r="B271" s="2"/>
      <c r="C271" s="2"/>
      <c r="D271" s="2"/>
      <c r="E271" s="2"/>
      <c r="F271" s="2"/>
      <c r="G271" s="2"/>
      <c r="H271" s="2"/>
      <c r="I271" s="2"/>
      <c r="J271" s="2"/>
      <c r="K271" s="2"/>
      <c r="L271" s="2"/>
      <c r="M271" s="2"/>
      <c r="N271" s="16"/>
    </row>
    <row r="272">
      <c r="A272" s="81"/>
      <c r="B272" s="2"/>
      <c r="C272" s="2"/>
      <c r="D272" s="2"/>
      <c r="E272" s="2"/>
      <c r="F272" s="2"/>
      <c r="G272" s="2"/>
      <c r="H272" s="2"/>
      <c r="I272" s="2"/>
      <c r="J272" s="2"/>
      <c r="K272" s="2"/>
      <c r="L272" s="2"/>
      <c r="M272" s="2"/>
      <c r="N272" s="16"/>
    </row>
    <row r="273">
      <c r="A273" s="81"/>
      <c r="B273" s="2"/>
      <c r="C273" s="2"/>
      <c r="D273" s="2"/>
      <c r="E273" s="2"/>
      <c r="F273" s="2"/>
      <c r="G273" s="2"/>
      <c r="H273" s="2"/>
      <c r="I273" s="2"/>
      <c r="J273" s="2"/>
      <c r="K273" s="2"/>
      <c r="L273" s="2"/>
      <c r="M273" s="2"/>
      <c r="N273" s="16"/>
    </row>
    <row r="274">
      <c r="A274" s="81"/>
      <c r="B274" s="2"/>
      <c r="C274" s="2"/>
      <c r="D274" s="2"/>
      <c r="E274" s="2"/>
      <c r="F274" s="2"/>
      <c r="G274" s="2"/>
      <c r="H274" s="2"/>
      <c r="I274" s="2"/>
      <c r="J274" s="2"/>
      <c r="K274" s="2"/>
      <c r="L274" s="2"/>
      <c r="M274" s="2"/>
      <c r="N274" s="16"/>
    </row>
    <row r="275">
      <c r="A275" s="81"/>
      <c r="B275" s="2"/>
      <c r="C275" s="2"/>
      <c r="D275" s="2"/>
      <c r="E275" s="2"/>
      <c r="F275" s="2"/>
      <c r="G275" s="2"/>
      <c r="H275" s="2"/>
      <c r="I275" s="2"/>
      <c r="J275" s="2"/>
      <c r="K275" s="2"/>
      <c r="L275" s="2"/>
      <c r="M275" s="2"/>
      <c r="N275" s="16"/>
    </row>
    <row r="276">
      <c r="A276" s="81"/>
      <c r="B276" s="2"/>
      <c r="C276" s="2"/>
      <c r="D276" s="2"/>
      <c r="E276" s="2"/>
      <c r="F276" s="2"/>
      <c r="G276" s="2"/>
      <c r="H276" s="2"/>
      <c r="I276" s="2"/>
      <c r="J276" s="2"/>
      <c r="K276" s="2"/>
      <c r="L276" s="2"/>
      <c r="M276" s="2"/>
      <c r="N276" s="16"/>
    </row>
    <row r="277">
      <c r="A277" s="81"/>
      <c r="B277" s="2"/>
      <c r="C277" s="2"/>
      <c r="D277" s="2"/>
      <c r="E277" s="2"/>
      <c r="F277" s="2"/>
      <c r="G277" s="2"/>
      <c r="H277" s="2"/>
      <c r="I277" s="2"/>
      <c r="J277" s="2"/>
      <c r="K277" s="2"/>
      <c r="L277" s="2"/>
      <c r="M277" s="2"/>
      <c r="N277" s="16"/>
    </row>
    <row r="278">
      <c r="A278" s="81"/>
      <c r="B278" s="2"/>
      <c r="C278" s="2"/>
      <c r="D278" s="2"/>
      <c r="E278" s="2"/>
      <c r="F278" s="2"/>
      <c r="G278" s="2"/>
      <c r="H278" s="2"/>
      <c r="I278" s="2"/>
      <c r="J278" s="2"/>
      <c r="K278" s="2"/>
      <c r="L278" s="2"/>
      <c r="M278" s="2"/>
      <c r="N278" s="16"/>
    </row>
    <row r="279">
      <c r="A279" s="81"/>
      <c r="B279" s="2"/>
      <c r="C279" s="2"/>
      <c r="D279" s="2"/>
      <c r="E279" s="2"/>
      <c r="F279" s="2"/>
      <c r="G279" s="2"/>
      <c r="H279" s="2"/>
      <c r="I279" s="2"/>
      <c r="J279" s="2"/>
      <c r="K279" s="2"/>
      <c r="L279" s="2"/>
      <c r="M279" s="2"/>
      <c r="N279" s="16"/>
    </row>
    <row r="280">
      <c r="A280" s="81"/>
      <c r="B280" s="2"/>
      <c r="C280" s="2"/>
      <c r="D280" s="2"/>
      <c r="E280" s="2"/>
      <c r="F280" s="2"/>
      <c r="G280" s="2"/>
      <c r="H280" s="2"/>
      <c r="I280" s="2"/>
      <c r="J280" s="2"/>
      <c r="K280" s="2"/>
      <c r="L280" s="2"/>
      <c r="M280" s="2"/>
      <c r="N280" s="16"/>
    </row>
    <row r="281">
      <c r="A281" s="81"/>
      <c r="B281" s="2"/>
      <c r="C281" s="2"/>
      <c r="D281" s="2"/>
      <c r="E281" s="2"/>
      <c r="F281" s="2"/>
      <c r="G281" s="2"/>
      <c r="H281" s="2"/>
      <c r="I281" s="2"/>
      <c r="J281" s="2"/>
      <c r="K281" s="2"/>
      <c r="L281" s="2"/>
      <c r="M281" s="2"/>
      <c r="N281" s="16"/>
    </row>
    <row r="282">
      <c r="A282" s="81"/>
      <c r="B282" s="2"/>
      <c r="C282" s="2"/>
      <c r="D282" s="2"/>
      <c r="E282" s="2"/>
      <c r="F282" s="2"/>
      <c r="G282" s="2"/>
      <c r="H282" s="2"/>
      <c r="I282" s="2"/>
      <c r="J282" s="2"/>
      <c r="K282" s="2"/>
      <c r="L282" s="2"/>
      <c r="M282" s="2"/>
      <c r="N282" s="16"/>
    </row>
    <row r="283">
      <c r="A283" s="81"/>
      <c r="B283" s="2"/>
      <c r="C283" s="2"/>
      <c r="D283" s="2"/>
      <c r="E283" s="2"/>
      <c r="F283" s="2"/>
      <c r="G283" s="2"/>
      <c r="H283" s="2"/>
      <c r="I283" s="2"/>
      <c r="J283" s="2"/>
      <c r="K283" s="2"/>
      <c r="L283" s="2"/>
      <c r="M283" s="2"/>
      <c r="N283" s="16"/>
    </row>
    <row r="284">
      <c r="A284" s="81"/>
      <c r="B284" s="2"/>
      <c r="C284" s="2"/>
      <c r="D284" s="2"/>
      <c r="E284" s="2"/>
      <c r="F284" s="2"/>
      <c r="G284" s="2"/>
      <c r="H284" s="2"/>
      <c r="I284" s="2"/>
      <c r="J284" s="2"/>
      <c r="K284" s="2"/>
      <c r="L284" s="2"/>
      <c r="M284" s="2"/>
      <c r="N284" s="16"/>
    </row>
    <row r="285">
      <c r="A285" s="81"/>
      <c r="B285" s="2"/>
      <c r="C285" s="2"/>
      <c r="D285" s="2"/>
      <c r="E285" s="2"/>
      <c r="F285" s="2"/>
      <c r="G285" s="2"/>
      <c r="H285" s="2"/>
      <c r="I285" s="2"/>
      <c r="J285" s="2"/>
      <c r="K285" s="2"/>
      <c r="L285" s="2"/>
      <c r="M285" s="2"/>
      <c r="N285" s="16"/>
    </row>
    <row r="286">
      <c r="A286" s="81"/>
      <c r="B286" s="2"/>
      <c r="C286" s="2"/>
      <c r="D286" s="2"/>
      <c r="E286" s="2"/>
      <c r="F286" s="2"/>
      <c r="G286" s="2"/>
      <c r="H286" s="2"/>
      <c r="I286" s="2"/>
      <c r="J286" s="2"/>
      <c r="K286" s="2"/>
      <c r="L286" s="2"/>
      <c r="M286" s="2"/>
      <c r="N286" s="16"/>
    </row>
    <row r="287">
      <c r="A287" s="81"/>
      <c r="B287" s="2"/>
      <c r="C287" s="2"/>
      <c r="D287" s="2"/>
      <c r="E287" s="2"/>
      <c r="F287" s="2"/>
      <c r="G287" s="2"/>
      <c r="H287" s="2"/>
      <c r="I287" s="2"/>
      <c r="J287" s="2"/>
      <c r="K287" s="2"/>
      <c r="L287" s="2"/>
      <c r="M287" s="2"/>
      <c r="N287" s="16"/>
    </row>
    <row r="288">
      <c r="A288" s="81"/>
      <c r="B288" s="2"/>
      <c r="C288" s="2"/>
      <c r="D288" s="2"/>
      <c r="E288" s="2"/>
      <c r="F288" s="2"/>
      <c r="G288" s="2"/>
      <c r="H288" s="2"/>
      <c r="I288" s="2"/>
      <c r="J288" s="2"/>
      <c r="K288" s="2"/>
      <c r="L288" s="2"/>
      <c r="M288" s="2"/>
      <c r="N288" s="16"/>
    </row>
    <row r="289">
      <c r="A289" s="81"/>
      <c r="B289" s="2"/>
      <c r="C289" s="2"/>
      <c r="D289" s="2"/>
      <c r="E289" s="2"/>
      <c r="F289" s="2"/>
      <c r="G289" s="2"/>
      <c r="H289" s="2"/>
      <c r="I289" s="2"/>
      <c r="J289" s="2"/>
      <c r="K289" s="2"/>
      <c r="L289" s="2"/>
      <c r="M289" s="2"/>
      <c r="N289" s="16"/>
    </row>
    <row r="290">
      <c r="A290" s="81"/>
      <c r="B290" s="2"/>
      <c r="C290" s="2"/>
      <c r="D290" s="2"/>
      <c r="E290" s="2"/>
      <c r="F290" s="2"/>
      <c r="G290" s="2"/>
      <c r="H290" s="2"/>
      <c r="I290" s="2"/>
      <c r="J290" s="2"/>
      <c r="K290" s="2"/>
      <c r="L290" s="2"/>
      <c r="M290" s="2"/>
      <c r="N290" s="16"/>
    </row>
    <row r="291">
      <c r="A291" s="81"/>
      <c r="B291" s="2"/>
      <c r="C291" s="2"/>
      <c r="D291" s="2"/>
      <c r="E291" s="2"/>
      <c r="F291" s="2"/>
      <c r="G291" s="2"/>
      <c r="H291" s="2"/>
      <c r="I291" s="2"/>
      <c r="J291" s="2"/>
      <c r="K291" s="2"/>
      <c r="L291" s="2"/>
      <c r="M291" s="2"/>
      <c r="N291" s="16"/>
    </row>
    <row r="292">
      <c r="A292" s="81"/>
      <c r="B292" s="2"/>
      <c r="C292" s="2"/>
      <c r="D292" s="2"/>
      <c r="E292" s="2"/>
      <c r="F292" s="2"/>
      <c r="G292" s="2"/>
      <c r="H292" s="2"/>
      <c r="I292" s="2"/>
      <c r="J292" s="2"/>
      <c r="K292" s="2"/>
      <c r="L292" s="2"/>
      <c r="M292" s="2"/>
      <c r="N292" s="16"/>
    </row>
    <row r="293">
      <c r="A293" s="81"/>
      <c r="B293" s="2"/>
      <c r="C293" s="2"/>
      <c r="D293" s="2"/>
      <c r="E293" s="2"/>
      <c r="F293" s="2"/>
      <c r="G293" s="2"/>
      <c r="H293" s="2"/>
      <c r="I293" s="2"/>
      <c r="J293" s="2"/>
      <c r="K293" s="2"/>
      <c r="L293" s="2"/>
      <c r="M293" s="2"/>
      <c r="N293" s="16"/>
    </row>
    <row r="294">
      <c r="A294" s="81"/>
      <c r="B294" s="2"/>
      <c r="C294" s="2"/>
      <c r="D294" s="2"/>
      <c r="E294" s="2"/>
      <c r="F294" s="2"/>
      <c r="G294" s="2"/>
      <c r="H294" s="2"/>
      <c r="I294" s="2"/>
      <c r="J294" s="2"/>
      <c r="K294" s="2"/>
      <c r="L294" s="2"/>
      <c r="M294" s="2"/>
      <c r="N294" s="16"/>
    </row>
    <row r="295">
      <c r="A295" s="81"/>
      <c r="B295" s="2"/>
      <c r="C295" s="2"/>
      <c r="D295" s="2"/>
      <c r="E295" s="2"/>
      <c r="F295" s="2"/>
      <c r="G295" s="2"/>
      <c r="H295" s="2"/>
      <c r="I295" s="2"/>
      <c r="J295" s="2"/>
      <c r="K295" s="2"/>
      <c r="L295" s="2"/>
      <c r="M295" s="2"/>
      <c r="N295" s="16"/>
    </row>
    <row r="296">
      <c r="A296" s="81"/>
      <c r="B296" s="2"/>
      <c r="C296" s="2"/>
      <c r="D296" s="2"/>
      <c r="E296" s="2"/>
      <c r="F296" s="2"/>
      <c r="G296" s="2"/>
      <c r="H296" s="2"/>
      <c r="I296" s="2"/>
      <c r="J296" s="2"/>
      <c r="K296" s="2"/>
      <c r="L296" s="2"/>
      <c r="M296" s="2"/>
      <c r="N296" s="16"/>
    </row>
    <row r="297">
      <c r="A297" s="81"/>
      <c r="B297" s="2"/>
      <c r="C297" s="2"/>
      <c r="D297" s="2"/>
      <c r="E297" s="2"/>
      <c r="F297" s="2"/>
      <c r="G297" s="2"/>
      <c r="H297" s="2"/>
      <c r="I297" s="2"/>
      <c r="J297" s="2"/>
      <c r="K297" s="2"/>
      <c r="L297" s="2"/>
      <c r="M297" s="2"/>
      <c r="N297" s="16"/>
    </row>
    <row r="298">
      <c r="A298" s="81"/>
      <c r="B298" s="2"/>
      <c r="C298" s="2"/>
      <c r="D298" s="2"/>
      <c r="E298" s="2"/>
      <c r="F298" s="2"/>
      <c r="G298" s="2"/>
      <c r="H298" s="2"/>
      <c r="I298" s="2"/>
      <c r="J298" s="2"/>
      <c r="K298" s="2"/>
      <c r="L298" s="2"/>
      <c r="M298" s="2"/>
      <c r="N298" s="16"/>
    </row>
    <row r="299">
      <c r="A299" s="81"/>
      <c r="B299" s="2"/>
      <c r="C299" s="2"/>
      <c r="D299" s="2"/>
      <c r="E299" s="2"/>
      <c r="F299" s="2"/>
      <c r="G299" s="2"/>
      <c r="H299" s="2"/>
      <c r="I299" s="2"/>
      <c r="J299" s="2"/>
      <c r="K299" s="2"/>
      <c r="L299" s="2"/>
      <c r="M299" s="2"/>
      <c r="N299" s="16"/>
    </row>
    <row r="300">
      <c r="A300" s="81"/>
      <c r="B300" s="2"/>
      <c r="C300" s="2"/>
      <c r="D300" s="2"/>
      <c r="E300" s="2"/>
      <c r="F300" s="2"/>
      <c r="G300" s="2"/>
      <c r="H300" s="2"/>
      <c r="I300" s="2"/>
      <c r="J300" s="2"/>
      <c r="K300" s="2"/>
      <c r="L300" s="2"/>
      <c r="M300" s="2"/>
      <c r="N300" s="16"/>
    </row>
    <row r="301">
      <c r="A301" s="81"/>
      <c r="B301" s="2"/>
      <c r="C301" s="2"/>
      <c r="D301" s="2"/>
      <c r="E301" s="2"/>
      <c r="F301" s="2"/>
      <c r="G301" s="2"/>
      <c r="H301" s="2"/>
      <c r="I301" s="2"/>
      <c r="J301" s="2"/>
      <c r="K301" s="2"/>
      <c r="L301" s="2"/>
      <c r="M301" s="2"/>
      <c r="N301" s="16"/>
    </row>
    <row r="302">
      <c r="A302" s="81"/>
      <c r="B302" s="2"/>
      <c r="C302" s="2"/>
      <c r="D302" s="2"/>
      <c r="E302" s="2"/>
      <c r="F302" s="2"/>
      <c r="G302" s="2"/>
      <c r="H302" s="2"/>
      <c r="I302" s="2"/>
      <c r="J302" s="2"/>
      <c r="K302" s="2"/>
      <c r="L302" s="2"/>
      <c r="M302" s="2"/>
      <c r="N302" s="16"/>
    </row>
    <row r="303">
      <c r="A303" s="81"/>
      <c r="B303" s="2"/>
      <c r="C303" s="2"/>
      <c r="D303" s="2"/>
      <c r="E303" s="2"/>
      <c r="F303" s="2"/>
      <c r="G303" s="2"/>
      <c r="H303" s="2"/>
      <c r="I303" s="2"/>
      <c r="J303" s="2"/>
      <c r="K303" s="2"/>
      <c r="L303" s="2"/>
      <c r="M303" s="2"/>
      <c r="N303" s="16"/>
    </row>
    <row r="304">
      <c r="A304" s="81"/>
      <c r="B304" s="2"/>
      <c r="C304" s="2"/>
      <c r="D304" s="2"/>
      <c r="E304" s="2"/>
      <c r="F304" s="2"/>
      <c r="G304" s="2"/>
      <c r="H304" s="2"/>
      <c r="I304" s="2"/>
      <c r="J304" s="2"/>
      <c r="K304" s="2"/>
      <c r="L304" s="2"/>
      <c r="M304" s="2"/>
      <c r="N304" s="16"/>
    </row>
    <row r="305">
      <c r="A305" s="81"/>
      <c r="B305" s="2"/>
      <c r="C305" s="2"/>
      <c r="D305" s="2"/>
      <c r="E305" s="2"/>
      <c r="F305" s="2"/>
      <c r="G305" s="2"/>
      <c r="H305" s="2"/>
      <c r="I305" s="2"/>
      <c r="J305" s="2"/>
      <c r="K305" s="2"/>
      <c r="L305" s="2"/>
      <c r="M305" s="2"/>
      <c r="N305" s="16"/>
    </row>
    <row r="306">
      <c r="A306" s="81"/>
      <c r="B306" s="2"/>
      <c r="C306" s="2"/>
      <c r="D306" s="2"/>
      <c r="E306" s="2"/>
      <c r="F306" s="2"/>
      <c r="G306" s="2"/>
      <c r="H306" s="2"/>
      <c r="I306" s="2"/>
      <c r="J306" s="2"/>
      <c r="K306" s="2"/>
      <c r="L306" s="2"/>
      <c r="M306" s="2"/>
      <c r="N306" s="16"/>
    </row>
    <row r="307">
      <c r="A307" s="81"/>
      <c r="B307" s="2"/>
      <c r="C307" s="2"/>
      <c r="D307" s="2"/>
      <c r="E307" s="2"/>
      <c r="F307" s="2"/>
      <c r="G307" s="2"/>
      <c r="H307" s="2"/>
      <c r="I307" s="2"/>
      <c r="J307" s="2"/>
      <c r="K307" s="2"/>
      <c r="L307" s="2"/>
      <c r="M307" s="2"/>
      <c r="N307" s="16"/>
    </row>
    <row r="308">
      <c r="A308" s="81"/>
      <c r="B308" s="2"/>
      <c r="C308" s="2"/>
      <c r="D308" s="2"/>
      <c r="E308" s="2"/>
      <c r="F308" s="2"/>
      <c r="G308" s="2"/>
      <c r="H308" s="2"/>
      <c r="I308" s="2"/>
      <c r="J308" s="2"/>
      <c r="K308" s="2"/>
      <c r="L308" s="2"/>
      <c r="M308" s="2"/>
      <c r="N308" s="16"/>
    </row>
    <row r="309">
      <c r="A309" s="81"/>
      <c r="B309" s="2"/>
      <c r="C309" s="2"/>
      <c r="D309" s="2"/>
      <c r="E309" s="2"/>
      <c r="F309" s="2"/>
      <c r="G309" s="2"/>
      <c r="H309" s="2"/>
      <c r="I309" s="2"/>
      <c r="J309" s="2"/>
      <c r="K309" s="2"/>
      <c r="L309" s="2"/>
      <c r="M309" s="2"/>
      <c r="N309" s="16"/>
    </row>
    <row r="310">
      <c r="A310" s="81"/>
      <c r="B310" s="2"/>
      <c r="C310" s="2"/>
      <c r="D310" s="2"/>
      <c r="E310" s="2"/>
      <c r="F310" s="2"/>
      <c r="G310" s="2"/>
      <c r="H310" s="2"/>
      <c r="I310" s="2"/>
      <c r="J310" s="2"/>
      <c r="K310" s="2"/>
      <c r="L310" s="2"/>
      <c r="M310" s="2"/>
      <c r="N310" s="16"/>
    </row>
    <row r="311">
      <c r="A311" s="81"/>
      <c r="B311" s="2"/>
      <c r="C311" s="2"/>
      <c r="D311" s="2"/>
      <c r="E311" s="2"/>
      <c r="F311" s="2"/>
      <c r="G311" s="2"/>
      <c r="H311" s="2"/>
      <c r="I311" s="2"/>
      <c r="J311" s="2"/>
      <c r="K311" s="2"/>
      <c r="L311" s="2"/>
      <c r="M311" s="2"/>
      <c r="N311" s="16"/>
    </row>
    <row r="312">
      <c r="A312" s="81"/>
      <c r="B312" s="2"/>
      <c r="C312" s="2"/>
      <c r="D312" s="2"/>
      <c r="E312" s="2"/>
      <c r="F312" s="2"/>
      <c r="G312" s="2"/>
      <c r="H312" s="2"/>
      <c r="I312" s="2"/>
      <c r="J312" s="2"/>
      <c r="K312" s="2"/>
      <c r="L312" s="2"/>
      <c r="M312" s="2"/>
      <c r="N312" s="16"/>
    </row>
    <row r="313">
      <c r="A313" s="81"/>
      <c r="B313" s="2"/>
      <c r="C313" s="2"/>
      <c r="D313" s="2"/>
      <c r="E313" s="2"/>
      <c r="F313" s="2"/>
      <c r="G313" s="2"/>
      <c r="H313" s="2"/>
      <c r="I313" s="2"/>
      <c r="J313" s="2"/>
      <c r="K313" s="2"/>
      <c r="L313" s="2"/>
      <c r="M313" s="2"/>
      <c r="N313" s="16"/>
    </row>
    <row r="314">
      <c r="A314" s="81"/>
      <c r="B314" s="2"/>
      <c r="C314" s="2"/>
      <c r="D314" s="2"/>
      <c r="E314" s="2"/>
      <c r="F314" s="2"/>
      <c r="G314" s="2"/>
      <c r="H314" s="2"/>
      <c r="I314" s="2"/>
      <c r="J314" s="2"/>
      <c r="K314" s="2"/>
      <c r="L314" s="2"/>
      <c r="M314" s="2"/>
      <c r="N314" s="16"/>
    </row>
    <row r="315">
      <c r="A315" s="81"/>
      <c r="B315" s="2"/>
      <c r="C315" s="2"/>
      <c r="D315" s="2"/>
      <c r="E315" s="2"/>
      <c r="F315" s="2"/>
      <c r="G315" s="2"/>
      <c r="H315" s="2"/>
      <c r="I315" s="2"/>
      <c r="J315" s="2"/>
      <c r="K315" s="2"/>
      <c r="L315" s="2"/>
      <c r="M315" s="2"/>
      <c r="N315" s="16"/>
    </row>
    <row r="316">
      <c r="A316" s="81"/>
      <c r="B316" s="2"/>
      <c r="C316" s="2"/>
      <c r="D316" s="2"/>
      <c r="E316" s="2"/>
      <c r="F316" s="2"/>
      <c r="G316" s="2"/>
      <c r="H316" s="2"/>
      <c r="I316" s="2"/>
      <c r="J316" s="2"/>
      <c r="K316" s="2"/>
      <c r="L316" s="2"/>
      <c r="M316" s="2"/>
      <c r="N316" s="16"/>
    </row>
    <row r="317">
      <c r="A317" s="81"/>
      <c r="B317" s="2"/>
      <c r="C317" s="2"/>
      <c r="D317" s="2"/>
      <c r="E317" s="2"/>
      <c r="F317" s="2"/>
      <c r="G317" s="2"/>
      <c r="H317" s="2"/>
      <c r="I317" s="2"/>
      <c r="J317" s="2"/>
      <c r="K317" s="2"/>
      <c r="L317" s="2"/>
      <c r="M317" s="2"/>
      <c r="N317" s="16"/>
    </row>
    <row r="318">
      <c r="A318" s="81"/>
      <c r="B318" s="2"/>
      <c r="C318" s="2"/>
      <c r="D318" s="2"/>
      <c r="E318" s="2"/>
      <c r="F318" s="2"/>
      <c r="G318" s="2"/>
      <c r="H318" s="2"/>
      <c r="I318" s="2"/>
      <c r="J318" s="2"/>
      <c r="K318" s="2"/>
      <c r="L318" s="2"/>
      <c r="M318" s="2"/>
      <c r="N318" s="16"/>
    </row>
    <row r="319">
      <c r="A319" s="81"/>
      <c r="B319" s="2"/>
      <c r="C319" s="2"/>
      <c r="D319" s="2"/>
      <c r="E319" s="2"/>
      <c r="F319" s="2"/>
      <c r="G319" s="2"/>
      <c r="H319" s="2"/>
      <c r="I319" s="2"/>
      <c r="J319" s="2"/>
      <c r="K319" s="2"/>
      <c r="L319" s="2"/>
      <c r="M319" s="2"/>
      <c r="N319" s="16"/>
    </row>
    <row r="320">
      <c r="A320" s="81"/>
      <c r="B320" s="2"/>
      <c r="C320" s="2"/>
      <c r="D320" s="2"/>
      <c r="E320" s="2"/>
      <c r="F320" s="2"/>
      <c r="G320" s="2"/>
      <c r="H320" s="2"/>
      <c r="I320" s="2"/>
      <c r="J320" s="2"/>
      <c r="K320" s="2"/>
      <c r="L320" s="2"/>
      <c r="M320" s="2"/>
      <c r="N320" s="16"/>
    </row>
    <row r="321">
      <c r="A321" s="81"/>
      <c r="B321" s="2"/>
      <c r="C321" s="2"/>
      <c r="D321" s="2"/>
      <c r="E321" s="2"/>
      <c r="F321" s="2"/>
      <c r="G321" s="2"/>
      <c r="H321" s="2"/>
      <c r="I321" s="2"/>
      <c r="J321" s="2"/>
      <c r="K321" s="2"/>
      <c r="L321" s="2"/>
      <c r="M321" s="2"/>
      <c r="N321" s="16"/>
    </row>
    <row r="322">
      <c r="A322" s="81"/>
      <c r="B322" s="2"/>
      <c r="C322" s="2"/>
      <c r="D322" s="2"/>
      <c r="E322" s="2"/>
      <c r="F322" s="2"/>
      <c r="G322" s="2"/>
      <c r="H322" s="2"/>
      <c r="I322" s="2"/>
      <c r="J322" s="2"/>
      <c r="K322" s="2"/>
      <c r="L322" s="2"/>
      <c r="M322" s="2"/>
      <c r="N322" s="16"/>
    </row>
    <row r="323">
      <c r="A323" s="81"/>
      <c r="B323" s="2"/>
      <c r="C323" s="2"/>
      <c r="D323" s="2"/>
      <c r="E323" s="2"/>
      <c r="F323" s="2"/>
      <c r="G323" s="2"/>
      <c r="H323" s="2"/>
      <c r="I323" s="2"/>
      <c r="J323" s="2"/>
      <c r="K323" s="2"/>
      <c r="L323" s="2"/>
      <c r="M323" s="2"/>
      <c r="N323" s="16"/>
    </row>
    <row r="324">
      <c r="A324" s="81"/>
      <c r="B324" s="2"/>
      <c r="C324" s="2"/>
      <c r="D324" s="2"/>
      <c r="E324" s="2"/>
      <c r="F324" s="2"/>
      <c r="G324" s="2"/>
      <c r="H324" s="2"/>
      <c r="I324" s="2"/>
      <c r="J324" s="2"/>
      <c r="K324" s="2"/>
      <c r="L324" s="2"/>
      <c r="M324" s="2"/>
      <c r="N324" s="16"/>
    </row>
    <row r="325">
      <c r="A325" s="81"/>
      <c r="B325" s="2"/>
      <c r="C325" s="2"/>
      <c r="D325" s="2"/>
      <c r="E325" s="2"/>
      <c r="F325" s="2"/>
      <c r="G325" s="2"/>
      <c r="H325" s="2"/>
      <c r="I325" s="2"/>
      <c r="J325" s="2"/>
      <c r="K325" s="2"/>
      <c r="L325" s="2"/>
      <c r="M325" s="2"/>
      <c r="N325" s="16"/>
    </row>
    <row r="326">
      <c r="A326" s="81"/>
      <c r="B326" s="2"/>
      <c r="C326" s="2"/>
      <c r="D326" s="2"/>
      <c r="E326" s="2"/>
      <c r="F326" s="2"/>
      <c r="G326" s="2"/>
      <c r="H326" s="2"/>
      <c r="I326" s="2"/>
      <c r="J326" s="2"/>
      <c r="K326" s="2"/>
      <c r="L326" s="2"/>
      <c r="M326" s="2"/>
      <c r="N326" s="16"/>
    </row>
    <row r="327">
      <c r="A327" s="81"/>
      <c r="B327" s="2"/>
      <c r="C327" s="2"/>
      <c r="D327" s="2"/>
      <c r="E327" s="2"/>
      <c r="F327" s="2"/>
      <c r="G327" s="2"/>
      <c r="H327" s="2"/>
      <c r="I327" s="2"/>
      <c r="J327" s="2"/>
      <c r="K327" s="2"/>
      <c r="L327" s="2"/>
      <c r="M327" s="2"/>
      <c r="N327" s="16"/>
    </row>
    <row r="328">
      <c r="A328" s="81"/>
      <c r="B328" s="2"/>
      <c r="C328" s="2"/>
      <c r="D328" s="2"/>
      <c r="E328" s="2"/>
      <c r="F328" s="2"/>
      <c r="G328" s="2"/>
      <c r="H328" s="2"/>
      <c r="I328" s="2"/>
      <c r="J328" s="2"/>
      <c r="K328" s="2"/>
      <c r="L328" s="2"/>
      <c r="M328" s="2"/>
      <c r="N328" s="16"/>
    </row>
    <row r="329">
      <c r="A329" s="81"/>
      <c r="B329" s="2"/>
      <c r="C329" s="2"/>
      <c r="D329" s="2"/>
      <c r="E329" s="2"/>
      <c r="F329" s="2"/>
      <c r="G329" s="2"/>
      <c r="H329" s="2"/>
      <c r="I329" s="2"/>
      <c r="J329" s="2"/>
      <c r="K329" s="2"/>
      <c r="L329" s="2"/>
      <c r="M329" s="2"/>
      <c r="N329" s="16"/>
    </row>
    <row r="330">
      <c r="A330" s="81"/>
      <c r="B330" s="2"/>
      <c r="C330" s="2"/>
      <c r="D330" s="2"/>
      <c r="E330" s="2"/>
      <c r="F330" s="2"/>
      <c r="G330" s="2"/>
      <c r="H330" s="2"/>
      <c r="I330" s="2"/>
      <c r="J330" s="2"/>
      <c r="K330" s="2"/>
      <c r="L330" s="2"/>
      <c r="M330" s="2"/>
      <c r="N330" s="16"/>
    </row>
    <row r="331">
      <c r="A331" s="81"/>
      <c r="B331" s="2"/>
      <c r="C331" s="2"/>
      <c r="D331" s="2"/>
      <c r="E331" s="2"/>
      <c r="F331" s="2"/>
      <c r="G331" s="2"/>
      <c r="H331" s="2"/>
      <c r="I331" s="2"/>
      <c r="J331" s="2"/>
      <c r="K331" s="2"/>
      <c r="L331" s="2"/>
      <c r="M331" s="2"/>
      <c r="N331" s="16"/>
    </row>
    <row r="332">
      <c r="A332" s="81"/>
      <c r="B332" s="2"/>
      <c r="C332" s="2"/>
      <c r="D332" s="2"/>
      <c r="E332" s="2"/>
      <c r="F332" s="2"/>
      <c r="G332" s="2"/>
      <c r="H332" s="2"/>
      <c r="I332" s="2"/>
      <c r="J332" s="2"/>
      <c r="K332" s="2"/>
      <c r="L332" s="2"/>
      <c r="M332" s="2"/>
      <c r="N332" s="16"/>
    </row>
    <row r="333">
      <c r="A333" s="81"/>
      <c r="B333" s="2"/>
      <c r="C333" s="2"/>
      <c r="D333" s="2"/>
      <c r="E333" s="2"/>
      <c r="F333" s="2"/>
      <c r="G333" s="2"/>
      <c r="H333" s="2"/>
      <c r="I333" s="2"/>
      <c r="J333" s="2"/>
      <c r="K333" s="2"/>
      <c r="L333" s="2"/>
      <c r="M333" s="2"/>
      <c r="N333" s="16"/>
    </row>
    <row r="334">
      <c r="A334" s="81"/>
      <c r="B334" s="2"/>
      <c r="C334" s="2"/>
      <c r="D334" s="2"/>
      <c r="E334" s="2"/>
      <c r="F334" s="2"/>
      <c r="G334" s="2"/>
      <c r="H334" s="2"/>
      <c r="I334" s="2"/>
      <c r="J334" s="2"/>
      <c r="K334" s="2"/>
      <c r="L334" s="2"/>
      <c r="M334" s="2"/>
      <c r="N334" s="16"/>
    </row>
    <row r="335">
      <c r="A335" s="81"/>
      <c r="B335" s="2"/>
      <c r="C335" s="2"/>
      <c r="D335" s="2"/>
      <c r="E335" s="2"/>
      <c r="F335" s="2"/>
      <c r="G335" s="2"/>
      <c r="H335" s="2"/>
      <c r="I335" s="2"/>
      <c r="J335" s="2"/>
      <c r="K335" s="2"/>
      <c r="L335" s="2"/>
      <c r="M335" s="2"/>
      <c r="N335" s="16"/>
    </row>
    <row r="336">
      <c r="A336" s="81"/>
      <c r="B336" s="2"/>
      <c r="C336" s="2"/>
      <c r="D336" s="2"/>
      <c r="E336" s="2"/>
      <c r="F336" s="2"/>
      <c r="G336" s="2"/>
      <c r="H336" s="2"/>
      <c r="I336" s="2"/>
      <c r="J336" s="2"/>
      <c r="K336" s="2"/>
      <c r="L336" s="2"/>
      <c r="M336" s="2"/>
      <c r="N336" s="16"/>
    </row>
    <row r="337">
      <c r="A337" s="81"/>
      <c r="B337" s="2"/>
      <c r="C337" s="2"/>
      <c r="D337" s="2"/>
      <c r="E337" s="2"/>
      <c r="F337" s="2"/>
      <c r="G337" s="2"/>
      <c r="H337" s="2"/>
      <c r="I337" s="2"/>
      <c r="J337" s="2"/>
      <c r="K337" s="2"/>
      <c r="L337" s="2"/>
      <c r="M337" s="2"/>
      <c r="N337" s="16"/>
    </row>
    <row r="338">
      <c r="A338" s="81"/>
      <c r="B338" s="2"/>
      <c r="C338" s="2"/>
      <c r="D338" s="2"/>
      <c r="E338" s="2"/>
      <c r="F338" s="2"/>
      <c r="G338" s="2"/>
      <c r="H338" s="2"/>
      <c r="I338" s="2"/>
      <c r="J338" s="2"/>
      <c r="K338" s="2"/>
      <c r="L338" s="2"/>
      <c r="M338" s="2"/>
      <c r="N338" s="16"/>
    </row>
    <row r="339">
      <c r="A339" s="81"/>
      <c r="B339" s="2"/>
      <c r="C339" s="2"/>
      <c r="D339" s="2"/>
      <c r="E339" s="2"/>
      <c r="F339" s="2"/>
      <c r="G339" s="2"/>
      <c r="H339" s="2"/>
      <c r="I339" s="2"/>
      <c r="J339" s="2"/>
      <c r="K339" s="2"/>
      <c r="L339" s="2"/>
      <c r="M339" s="2"/>
      <c r="N339" s="16"/>
    </row>
    <row r="340">
      <c r="A340" s="81"/>
      <c r="B340" s="2"/>
      <c r="C340" s="2"/>
      <c r="D340" s="2"/>
      <c r="E340" s="2"/>
      <c r="F340" s="2"/>
      <c r="G340" s="2"/>
      <c r="H340" s="2"/>
      <c r="I340" s="2"/>
      <c r="J340" s="2"/>
      <c r="K340" s="2"/>
      <c r="L340" s="2"/>
      <c r="M340" s="2"/>
      <c r="N340" s="16"/>
    </row>
    <row r="341">
      <c r="A341" s="81"/>
      <c r="B341" s="2"/>
      <c r="C341" s="2"/>
      <c r="D341" s="2"/>
      <c r="E341" s="2"/>
      <c r="F341" s="2"/>
      <c r="G341" s="2"/>
      <c r="H341" s="2"/>
      <c r="I341" s="2"/>
      <c r="J341" s="2"/>
      <c r="K341" s="2"/>
      <c r="L341" s="2"/>
      <c r="M341" s="2"/>
      <c r="N341" s="16"/>
    </row>
    <row r="342">
      <c r="A342" s="81"/>
      <c r="B342" s="2"/>
      <c r="C342" s="2"/>
      <c r="D342" s="2"/>
      <c r="E342" s="2"/>
      <c r="F342" s="2"/>
      <c r="G342" s="2"/>
      <c r="H342" s="2"/>
      <c r="I342" s="2"/>
      <c r="J342" s="2"/>
      <c r="K342" s="2"/>
      <c r="L342" s="2"/>
      <c r="M342" s="2"/>
      <c r="N342" s="16"/>
    </row>
    <row r="343">
      <c r="A343" s="81"/>
      <c r="B343" s="2"/>
      <c r="C343" s="2"/>
      <c r="D343" s="2"/>
      <c r="E343" s="2"/>
      <c r="F343" s="2"/>
      <c r="G343" s="2"/>
      <c r="H343" s="2"/>
      <c r="I343" s="2"/>
      <c r="J343" s="2"/>
      <c r="K343" s="2"/>
      <c r="L343" s="2"/>
      <c r="M343" s="2"/>
      <c r="N343" s="16"/>
    </row>
    <row r="344">
      <c r="A344" s="81"/>
      <c r="B344" s="2"/>
      <c r="C344" s="2"/>
      <c r="D344" s="2"/>
      <c r="E344" s="2"/>
      <c r="F344" s="2"/>
      <c r="G344" s="2"/>
      <c r="H344" s="2"/>
      <c r="I344" s="2"/>
      <c r="J344" s="2"/>
      <c r="K344" s="2"/>
      <c r="L344" s="2"/>
      <c r="M344" s="2"/>
      <c r="N344" s="16"/>
    </row>
    <row r="345">
      <c r="A345" s="81"/>
      <c r="B345" s="2"/>
      <c r="C345" s="2"/>
      <c r="D345" s="2"/>
      <c r="E345" s="2"/>
      <c r="F345" s="2"/>
      <c r="G345" s="2"/>
      <c r="H345" s="2"/>
      <c r="I345" s="2"/>
      <c r="J345" s="2"/>
      <c r="K345" s="2"/>
      <c r="L345" s="2"/>
      <c r="M345" s="2"/>
      <c r="N345" s="16"/>
    </row>
    <row r="346">
      <c r="A346" s="81"/>
      <c r="B346" s="2"/>
      <c r="C346" s="2"/>
      <c r="D346" s="2"/>
      <c r="E346" s="2"/>
      <c r="F346" s="2"/>
      <c r="G346" s="2"/>
      <c r="H346" s="2"/>
      <c r="I346" s="2"/>
      <c r="J346" s="2"/>
      <c r="K346" s="2"/>
      <c r="L346" s="2"/>
      <c r="M346" s="2"/>
      <c r="N346" s="16"/>
    </row>
    <row r="347">
      <c r="A347" s="81"/>
      <c r="B347" s="2"/>
      <c r="C347" s="2"/>
      <c r="D347" s="2"/>
      <c r="E347" s="2"/>
      <c r="F347" s="2"/>
      <c r="G347" s="2"/>
      <c r="H347" s="2"/>
      <c r="I347" s="2"/>
      <c r="J347" s="2"/>
      <c r="K347" s="2"/>
      <c r="L347" s="2"/>
      <c r="M347" s="2"/>
      <c r="N347" s="16"/>
    </row>
    <row r="348">
      <c r="A348" s="81"/>
      <c r="B348" s="2"/>
      <c r="C348" s="2"/>
      <c r="D348" s="2"/>
      <c r="E348" s="2"/>
      <c r="F348" s="2"/>
      <c r="G348" s="2"/>
      <c r="H348" s="2"/>
      <c r="I348" s="2"/>
      <c r="J348" s="2"/>
      <c r="K348" s="2"/>
      <c r="L348" s="2"/>
      <c r="M348" s="2"/>
      <c r="N348" s="16"/>
    </row>
    <row r="349">
      <c r="A349" s="81"/>
      <c r="B349" s="2"/>
      <c r="C349" s="2"/>
      <c r="D349" s="2"/>
      <c r="E349" s="2"/>
      <c r="F349" s="2"/>
      <c r="G349" s="2"/>
      <c r="H349" s="2"/>
      <c r="I349" s="2"/>
      <c r="J349" s="2"/>
      <c r="K349" s="2"/>
      <c r="L349" s="2"/>
      <c r="M349" s="2"/>
      <c r="N349" s="16"/>
    </row>
    <row r="350">
      <c r="A350" s="81"/>
      <c r="B350" s="2"/>
      <c r="C350" s="2"/>
      <c r="D350" s="2"/>
      <c r="E350" s="2"/>
      <c r="F350" s="2"/>
      <c r="G350" s="2"/>
      <c r="H350" s="2"/>
      <c r="I350" s="2"/>
      <c r="J350" s="2"/>
      <c r="K350" s="2"/>
      <c r="L350" s="2"/>
      <c r="M350" s="2"/>
      <c r="N350" s="16"/>
    </row>
    <row r="351">
      <c r="A351" s="81"/>
      <c r="B351" s="2"/>
      <c r="C351" s="2"/>
      <c r="D351" s="2"/>
      <c r="E351" s="2"/>
      <c r="F351" s="2"/>
      <c r="G351" s="2"/>
      <c r="H351" s="2"/>
      <c r="I351" s="2"/>
      <c r="J351" s="2"/>
      <c r="K351" s="2"/>
      <c r="L351" s="2"/>
      <c r="M351" s="2"/>
      <c r="N351" s="16"/>
    </row>
    <row r="352">
      <c r="A352" s="81"/>
      <c r="B352" s="2"/>
      <c r="C352" s="2"/>
      <c r="D352" s="2"/>
      <c r="E352" s="2"/>
      <c r="F352" s="2"/>
      <c r="G352" s="2"/>
      <c r="H352" s="2"/>
      <c r="I352" s="2"/>
      <c r="J352" s="2"/>
      <c r="K352" s="2"/>
      <c r="L352" s="2"/>
      <c r="M352" s="2"/>
      <c r="N352" s="16"/>
    </row>
    <row r="353">
      <c r="A353" s="81"/>
      <c r="B353" s="2"/>
      <c r="C353" s="2"/>
      <c r="D353" s="2"/>
      <c r="E353" s="2"/>
      <c r="F353" s="2"/>
      <c r="G353" s="2"/>
      <c r="H353" s="2"/>
      <c r="I353" s="2"/>
      <c r="J353" s="2"/>
      <c r="K353" s="2"/>
      <c r="L353" s="2"/>
      <c r="M353" s="2"/>
      <c r="N353" s="16"/>
    </row>
    <row r="354">
      <c r="A354" s="81"/>
      <c r="B354" s="2"/>
      <c r="C354" s="2"/>
      <c r="D354" s="2"/>
      <c r="E354" s="2"/>
      <c r="F354" s="2"/>
      <c r="G354" s="2"/>
      <c r="H354" s="2"/>
      <c r="I354" s="2"/>
      <c r="J354" s="2"/>
      <c r="K354" s="2"/>
      <c r="L354" s="2"/>
      <c r="M354" s="2"/>
      <c r="N354" s="16"/>
    </row>
    <row r="355">
      <c r="A355" s="81"/>
      <c r="B355" s="2"/>
      <c r="C355" s="2"/>
      <c r="D355" s="2"/>
      <c r="E355" s="2"/>
      <c r="F355" s="2"/>
      <c r="G355" s="2"/>
      <c r="H355" s="2"/>
      <c r="I355" s="2"/>
      <c r="J355" s="2"/>
      <c r="K355" s="2"/>
      <c r="L355" s="2"/>
      <c r="M355" s="2"/>
      <c r="N355" s="16"/>
    </row>
    <row r="356">
      <c r="A356" s="81"/>
      <c r="B356" s="2"/>
      <c r="C356" s="2"/>
      <c r="D356" s="2"/>
      <c r="E356" s="2"/>
      <c r="F356" s="2"/>
      <c r="G356" s="2"/>
      <c r="H356" s="2"/>
      <c r="I356" s="2"/>
      <c r="J356" s="2"/>
      <c r="K356" s="2"/>
      <c r="L356" s="2"/>
      <c r="M356" s="2"/>
      <c r="N356" s="16"/>
    </row>
    <row r="357">
      <c r="A357" s="81"/>
      <c r="B357" s="2"/>
      <c r="C357" s="2"/>
      <c r="D357" s="2"/>
      <c r="E357" s="2"/>
      <c r="F357" s="2"/>
      <c r="G357" s="2"/>
      <c r="H357" s="2"/>
      <c r="I357" s="2"/>
      <c r="J357" s="2"/>
      <c r="K357" s="2"/>
      <c r="L357" s="2"/>
      <c r="M357" s="2"/>
      <c r="N357" s="16"/>
    </row>
    <row r="358">
      <c r="A358" s="81"/>
      <c r="B358" s="2"/>
      <c r="C358" s="2"/>
      <c r="D358" s="2"/>
      <c r="E358" s="2"/>
      <c r="F358" s="2"/>
      <c r="G358" s="2"/>
      <c r="H358" s="2"/>
      <c r="I358" s="2"/>
      <c r="J358" s="2"/>
      <c r="K358" s="2"/>
      <c r="L358" s="2"/>
      <c r="M358" s="2"/>
      <c r="N358" s="16"/>
    </row>
    <row r="359">
      <c r="A359" s="81"/>
      <c r="B359" s="2"/>
      <c r="C359" s="2"/>
      <c r="D359" s="2"/>
      <c r="E359" s="2"/>
      <c r="F359" s="2"/>
      <c r="G359" s="2"/>
      <c r="H359" s="2"/>
      <c r="I359" s="2"/>
      <c r="J359" s="2"/>
      <c r="K359" s="2"/>
      <c r="L359" s="2"/>
      <c r="M359" s="2"/>
      <c r="N359" s="16"/>
    </row>
    <row r="360">
      <c r="A360" s="81"/>
      <c r="B360" s="2"/>
      <c r="C360" s="2"/>
      <c r="D360" s="2"/>
      <c r="E360" s="2"/>
      <c r="F360" s="2"/>
      <c r="G360" s="2"/>
      <c r="H360" s="2"/>
      <c r="I360" s="2"/>
      <c r="J360" s="2"/>
      <c r="K360" s="2"/>
      <c r="L360" s="2"/>
      <c r="M360" s="2"/>
      <c r="N360" s="16"/>
    </row>
    <row r="361">
      <c r="A361" s="81"/>
      <c r="B361" s="2"/>
      <c r="C361" s="2"/>
      <c r="D361" s="2"/>
      <c r="E361" s="2"/>
      <c r="F361" s="2"/>
      <c r="G361" s="2"/>
      <c r="H361" s="2"/>
      <c r="I361" s="2"/>
      <c r="J361" s="2"/>
      <c r="K361" s="2"/>
      <c r="L361" s="2"/>
      <c r="M361" s="2"/>
      <c r="N361" s="16"/>
    </row>
    <row r="362">
      <c r="A362" s="81"/>
      <c r="B362" s="2"/>
      <c r="C362" s="2"/>
      <c r="D362" s="2"/>
      <c r="E362" s="2"/>
      <c r="F362" s="2"/>
      <c r="G362" s="2"/>
      <c r="H362" s="2"/>
      <c r="I362" s="2"/>
      <c r="J362" s="2"/>
      <c r="K362" s="2"/>
      <c r="L362" s="2"/>
      <c r="M362" s="2"/>
      <c r="N362" s="16"/>
    </row>
    <row r="363">
      <c r="A363" s="81"/>
      <c r="B363" s="2"/>
      <c r="C363" s="2"/>
      <c r="D363" s="2"/>
      <c r="E363" s="2"/>
      <c r="F363" s="2"/>
      <c r="G363" s="2"/>
      <c r="H363" s="2"/>
      <c r="I363" s="2"/>
      <c r="J363" s="2"/>
      <c r="K363" s="2"/>
      <c r="L363" s="2"/>
      <c r="M363" s="2"/>
      <c r="N363" s="16"/>
    </row>
    <row r="364">
      <c r="A364" s="81"/>
      <c r="B364" s="2"/>
      <c r="C364" s="2"/>
      <c r="D364" s="2"/>
      <c r="E364" s="2"/>
      <c r="F364" s="2"/>
      <c r="G364" s="2"/>
      <c r="H364" s="2"/>
      <c r="I364" s="2"/>
      <c r="J364" s="2"/>
      <c r="K364" s="2"/>
      <c r="L364" s="2"/>
      <c r="M364" s="2"/>
      <c r="N364" s="16"/>
    </row>
    <row r="365">
      <c r="A365" s="81"/>
      <c r="B365" s="2"/>
      <c r="C365" s="2"/>
      <c r="D365" s="2"/>
      <c r="E365" s="2"/>
      <c r="F365" s="2"/>
      <c r="G365" s="2"/>
      <c r="H365" s="2"/>
      <c r="I365" s="2"/>
      <c r="J365" s="2"/>
      <c r="K365" s="2"/>
      <c r="L365" s="2"/>
      <c r="M365" s="2"/>
      <c r="N365" s="16"/>
    </row>
    <row r="366">
      <c r="A366" s="81"/>
      <c r="B366" s="2"/>
      <c r="C366" s="2"/>
      <c r="D366" s="2"/>
      <c r="E366" s="2"/>
      <c r="F366" s="2"/>
      <c r="G366" s="2"/>
      <c r="H366" s="2"/>
      <c r="I366" s="2"/>
      <c r="J366" s="2"/>
      <c r="K366" s="2"/>
      <c r="L366" s="2"/>
      <c r="M366" s="2"/>
      <c r="N366" s="16"/>
    </row>
    <row r="367">
      <c r="A367" s="81"/>
      <c r="B367" s="2"/>
      <c r="C367" s="2"/>
      <c r="D367" s="2"/>
      <c r="E367" s="2"/>
      <c r="F367" s="2"/>
      <c r="G367" s="2"/>
      <c r="H367" s="2"/>
      <c r="I367" s="2"/>
      <c r="J367" s="2"/>
      <c r="K367" s="2"/>
      <c r="L367" s="2"/>
      <c r="M367" s="2"/>
      <c r="N367" s="16"/>
    </row>
    <row r="368">
      <c r="A368" s="81"/>
      <c r="B368" s="2"/>
      <c r="C368" s="2"/>
      <c r="D368" s="2"/>
      <c r="E368" s="2"/>
      <c r="F368" s="2"/>
      <c r="G368" s="2"/>
      <c r="H368" s="2"/>
      <c r="I368" s="2"/>
      <c r="J368" s="2"/>
      <c r="K368" s="2"/>
      <c r="L368" s="2"/>
      <c r="M368" s="2"/>
      <c r="N368" s="16"/>
    </row>
    <row r="369">
      <c r="A369" s="81"/>
      <c r="B369" s="2"/>
      <c r="C369" s="2"/>
      <c r="D369" s="2"/>
      <c r="E369" s="2"/>
      <c r="F369" s="2"/>
      <c r="G369" s="2"/>
      <c r="H369" s="2"/>
      <c r="I369" s="2"/>
      <c r="J369" s="2"/>
      <c r="K369" s="2"/>
      <c r="L369" s="2"/>
      <c r="M369" s="2"/>
      <c r="N369" s="16"/>
    </row>
    <row r="370">
      <c r="A370" s="81"/>
      <c r="B370" s="2"/>
      <c r="C370" s="2"/>
      <c r="D370" s="2"/>
      <c r="E370" s="2"/>
      <c r="F370" s="2"/>
      <c r="G370" s="2"/>
      <c r="H370" s="2"/>
      <c r="I370" s="2"/>
      <c r="J370" s="2"/>
      <c r="K370" s="2"/>
      <c r="L370" s="2"/>
      <c r="M370" s="2"/>
      <c r="N370" s="16"/>
    </row>
    <row r="371">
      <c r="A371" s="81"/>
      <c r="B371" s="2"/>
      <c r="C371" s="2"/>
      <c r="D371" s="2"/>
      <c r="E371" s="2"/>
      <c r="F371" s="2"/>
      <c r="G371" s="2"/>
      <c r="H371" s="2"/>
      <c r="I371" s="2"/>
      <c r="J371" s="2"/>
      <c r="K371" s="2"/>
      <c r="L371" s="2"/>
      <c r="M371" s="2"/>
      <c r="N371" s="16"/>
    </row>
    <row r="372">
      <c r="A372" s="81"/>
      <c r="B372" s="2"/>
      <c r="C372" s="2"/>
      <c r="D372" s="2"/>
      <c r="E372" s="2"/>
      <c r="F372" s="2"/>
      <c r="G372" s="2"/>
      <c r="H372" s="2"/>
      <c r="I372" s="2"/>
      <c r="J372" s="2"/>
      <c r="K372" s="2"/>
      <c r="L372" s="2"/>
      <c r="M372" s="2"/>
      <c r="N372" s="16"/>
    </row>
    <row r="373">
      <c r="A373" s="81"/>
      <c r="B373" s="2"/>
      <c r="C373" s="2"/>
      <c r="D373" s="2"/>
      <c r="E373" s="2"/>
      <c r="F373" s="2"/>
      <c r="G373" s="2"/>
      <c r="H373" s="2"/>
      <c r="I373" s="2"/>
      <c r="J373" s="2"/>
      <c r="K373" s="2"/>
      <c r="L373" s="2"/>
      <c r="M373" s="2"/>
      <c r="N373" s="16"/>
    </row>
    <row r="374">
      <c r="A374" s="81"/>
      <c r="B374" s="2"/>
      <c r="C374" s="2"/>
      <c r="D374" s="2"/>
      <c r="E374" s="2"/>
      <c r="F374" s="2"/>
      <c r="G374" s="2"/>
      <c r="H374" s="2"/>
      <c r="I374" s="2"/>
      <c r="J374" s="2"/>
      <c r="K374" s="2"/>
      <c r="L374" s="2"/>
      <c r="M374" s="2"/>
      <c r="N374" s="16"/>
    </row>
    <row r="375">
      <c r="A375" s="81"/>
      <c r="B375" s="2"/>
      <c r="C375" s="2"/>
      <c r="D375" s="2"/>
      <c r="E375" s="2"/>
      <c r="F375" s="2"/>
      <c r="G375" s="2"/>
      <c r="H375" s="2"/>
      <c r="I375" s="2"/>
      <c r="J375" s="2"/>
      <c r="K375" s="2"/>
      <c r="L375" s="2"/>
      <c r="M375" s="2"/>
      <c r="N375" s="16"/>
    </row>
    <row r="376">
      <c r="A376" s="81"/>
      <c r="B376" s="2"/>
      <c r="C376" s="2"/>
      <c r="D376" s="2"/>
      <c r="E376" s="2"/>
      <c r="F376" s="2"/>
      <c r="G376" s="2"/>
      <c r="H376" s="2"/>
      <c r="I376" s="2"/>
      <c r="J376" s="2"/>
      <c r="K376" s="2"/>
      <c r="L376" s="2"/>
      <c r="M376" s="2"/>
      <c r="N376" s="16"/>
    </row>
    <row r="377">
      <c r="A377" s="81"/>
      <c r="B377" s="2"/>
      <c r="C377" s="2"/>
      <c r="D377" s="2"/>
      <c r="E377" s="2"/>
      <c r="F377" s="2"/>
      <c r="G377" s="2"/>
      <c r="H377" s="2"/>
      <c r="I377" s="2"/>
      <c r="J377" s="2"/>
      <c r="K377" s="2"/>
      <c r="L377" s="2"/>
      <c r="M377" s="2"/>
      <c r="N377" s="16"/>
    </row>
    <row r="378">
      <c r="A378" s="81"/>
      <c r="B378" s="2"/>
      <c r="C378" s="2"/>
      <c r="D378" s="2"/>
      <c r="E378" s="2"/>
      <c r="F378" s="2"/>
      <c r="G378" s="2"/>
      <c r="H378" s="2"/>
      <c r="I378" s="2"/>
      <c r="J378" s="2"/>
      <c r="K378" s="2"/>
      <c r="L378" s="2"/>
      <c r="M378" s="2"/>
      <c r="N378" s="16"/>
    </row>
    <row r="379">
      <c r="A379" s="81"/>
      <c r="B379" s="2"/>
      <c r="C379" s="2"/>
      <c r="D379" s="2"/>
      <c r="E379" s="2"/>
      <c r="F379" s="2"/>
      <c r="G379" s="2"/>
      <c r="H379" s="2"/>
      <c r="I379" s="2"/>
      <c r="J379" s="2"/>
      <c r="K379" s="2"/>
      <c r="L379" s="2"/>
      <c r="M379" s="2"/>
      <c r="N379" s="16"/>
    </row>
    <row r="380">
      <c r="A380" s="81"/>
      <c r="B380" s="2"/>
      <c r="C380" s="2"/>
      <c r="D380" s="2"/>
      <c r="E380" s="2"/>
      <c r="F380" s="2"/>
      <c r="G380" s="2"/>
      <c r="H380" s="2"/>
      <c r="I380" s="2"/>
      <c r="J380" s="2"/>
      <c r="K380" s="2"/>
      <c r="L380" s="2"/>
      <c r="M380" s="2"/>
      <c r="N380" s="16"/>
    </row>
    <row r="381">
      <c r="A381" s="81"/>
      <c r="B381" s="2"/>
      <c r="C381" s="2"/>
      <c r="D381" s="2"/>
      <c r="E381" s="2"/>
      <c r="F381" s="2"/>
      <c r="G381" s="2"/>
      <c r="H381" s="2"/>
      <c r="I381" s="2"/>
      <c r="J381" s="2"/>
      <c r="K381" s="2"/>
      <c r="L381" s="2"/>
      <c r="M381" s="2"/>
      <c r="N381" s="16"/>
    </row>
    <row r="382">
      <c r="A382" s="81"/>
      <c r="B382" s="2"/>
      <c r="C382" s="2"/>
      <c r="D382" s="2"/>
      <c r="E382" s="2"/>
      <c r="F382" s="2"/>
      <c r="G382" s="2"/>
      <c r="H382" s="2"/>
      <c r="I382" s="2"/>
      <c r="J382" s="2"/>
      <c r="K382" s="2"/>
      <c r="L382" s="2"/>
      <c r="M382" s="2"/>
      <c r="N382" s="16"/>
    </row>
    <row r="383">
      <c r="A383" s="81"/>
      <c r="B383" s="2"/>
      <c r="C383" s="2"/>
      <c r="D383" s="2"/>
      <c r="E383" s="2"/>
      <c r="F383" s="2"/>
      <c r="G383" s="2"/>
      <c r="H383" s="2"/>
      <c r="I383" s="2"/>
      <c r="J383" s="2"/>
      <c r="K383" s="2"/>
      <c r="L383" s="2"/>
      <c r="M383" s="2"/>
      <c r="N383" s="16"/>
    </row>
    <row r="384">
      <c r="A384" s="81"/>
      <c r="B384" s="2"/>
      <c r="C384" s="2"/>
      <c r="D384" s="2"/>
      <c r="E384" s="2"/>
      <c r="F384" s="2"/>
      <c r="G384" s="2"/>
      <c r="H384" s="2"/>
      <c r="I384" s="2"/>
      <c r="J384" s="2"/>
      <c r="K384" s="2"/>
      <c r="L384" s="2"/>
      <c r="M384" s="2"/>
      <c r="N384" s="16"/>
    </row>
    <row r="385">
      <c r="A385" s="81"/>
      <c r="B385" s="2"/>
      <c r="C385" s="2"/>
      <c r="D385" s="2"/>
      <c r="E385" s="2"/>
      <c r="F385" s="2"/>
      <c r="G385" s="2"/>
      <c r="H385" s="2"/>
      <c r="I385" s="2"/>
      <c r="J385" s="2"/>
      <c r="K385" s="2"/>
      <c r="L385" s="2"/>
      <c r="M385" s="2"/>
      <c r="N385" s="16"/>
    </row>
    <row r="386">
      <c r="A386" s="81"/>
      <c r="B386" s="2"/>
      <c r="C386" s="2"/>
      <c r="D386" s="2"/>
      <c r="E386" s="2"/>
      <c r="F386" s="2"/>
      <c r="G386" s="2"/>
      <c r="H386" s="2"/>
      <c r="I386" s="2"/>
      <c r="J386" s="2"/>
      <c r="K386" s="2"/>
      <c r="L386" s="2"/>
      <c r="M386" s="2"/>
      <c r="N386" s="16"/>
    </row>
    <row r="387">
      <c r="A387" s="81"/>
      <c r="B387" s="2"/>
      <c r="C387" s="2"/>
      <c r="D387" s="2"/>
      <c r="E387" s="2"/>
      <c r="F387" s="2"/>
      <c r="G387" s="2"/>
      <c r="H387" s="2"/>
      <c r="I387" s="2"/>
      <c r="J387" s="2"/>
      <c r="K387" s="2"/>
      <c r="L387" s="2"/>
      <c r="M387" s="2"/>
      <c r="N387" s="16"/>
    </row>
    <row r="388">
      <c r="A388" s="81"/>
      <c r="B388" s="2"/>
      <c r="C388" s="2"/>
      <c r="D388" s="2"/>
      <c r="E388" s="2"/>
      <c r="F388" s="2"/>
      <c r="G388" s="2"/>
      <c r="H388" s="2"/>
      <c r="I388" s="2"/>
      <c r="J388" s="2"/>
      <c r="K388" s="2"/>
      <c r="L388" s="2"/>
      <c r="M388" s="2"/>
      <c r="N388" s="16"/>
    </row>
    <row r="389">
      <c r="A389" s="81"/>
      <c r="B389" s="2"/>
      <c r="C389" s="2"/>
      <c r="D389" s="2"/>
      <c r="E389" s="2"/>
      <c r="F389" s="2"/>
      <c r="G389" s="2"/>
      <c r="H389" s="2"/>
      <c r="I389" s="2"/>
      <c r="J389" s="2"/>
      <c r="K389" s="2"/>
      <c r="L389" s="2"/>
      <c r="M389" s="2"/>
      <c r="N389" s="16"/>
    </row>
    <row r="390">
      <c r="A390" s="81"/>
      <c r="B390" s="2"/>
      <c r="C390" s="2"/>
      <c r="D390" s="2"/>
      <c r="E390" s="2"/>
      <c r="F390" s="2"/>
      <c r="G390" s="2"/>
      <c r="H390" s="2"/>
      <c r="I390" s="2"/>
      <c r="J390" s="2"/>
      <c r="K390" s="2"/>
      <c r="L390" s="2"/>
      <c r="M390" s="2"/>
      <c r="N390" s="16"/>
    </row>
    <row r="391">
      <c r="A391" s="81"/>
      <c r="B391" s="2"/>
      <c r="C391" s="2"/>
      <c r="D391" s="2"/>
      <c r="E391" s="2"/>
      <c r="F391" s="2"/>
      <c r="G391" s="2"/>
      <c r="H391" s="2"/>
      <c r="I391" s="2"/>
      <c r="J391" s="2"/>
      <c r="K391" s="2"/>
      <c r="L391" s="2"/>
      <c r="M391" s="2"/>
      <c r="N391" s="16"/>
    </row>
    <row r="392">
      <c r="A392" s="81"/>
      <c r="B392" s="2"/>
      <c r="C392" s="2"/>
      <c r="D392" s="2"/>
      <c r="E392" s="2"/>
      <c r="F392" s="2"/>
      <c r="G392" s="2"/>
      <c r="H392" s="2"/>
      <c r="I392" s="2"/>
      <c r="J392" s="2"/>
      <c r="K392" s="2"/>
      <c r="L392" s="2"/>
      <c r="M392" s="2"/>
      <c r="N392" s="16"/>
    </row>
    <row r="393">
      <c r="A393" s="81"/>
      <c r="B393" s="2"/>
      <c r="C393" s="2"/>
      <c r="D393" s="2"/>
      <c r="E393" s="2"/>
      <c r="F393" s="2"/>
      <c r="G393" s="2"/>
      <c r="H393" s="2"/>
      <c r="I393" s="2"/>
      <c r="J393" s="2"/>
      <c r="K393" s="2"/>
      <c r="L393" s="2"/>
      <c r="M393" s="2"/>
      <c r="N393" s="16"/>
    </row>
    <row r="394">
      <c r="A394" s="81"/>
      <c r="B394" s="2"/>
      <c r="C394" s="2"/>
      <c r="D394" s="2"/>
      <c r="E394" s="2"/>
      <c r="F394" s="2"/>
      <c r="G394" s="2"/>
      <c r="H394" s="2"/>
      <c r="I394" s="2"/>
      <c r="J394" s="2"/>
      <c r="K394" s="2"/>
      <c r="L394" s="2"/>
      <c r="M394" s="2"/>
      <c r="N394" s="16"/>
    </row>
    <row r="395">
      <c r="A395" s="81"/>
      <c r="B395" s="2"/>
      <c r="C395" s="2"/>
      <c r="D395" s="2"/>
      <c r="E395" s="2"/>
      <c r="F395" s="2"/>
      <c r="G395" s="2"/>
      <c r="H395" s="2"/>
      <c r="I395" s="2"/>
      <c r="J395" s="2"/>
      <c r="K395" s="2"/>
      <c r="L395" s="2"/>
      <c r="M395" s="2"/>
      <c r="N395" s="16"/>
    </row>
    <row r="396">
      <c r="A396" s="81"/>
      <c r="B396" s="2"/>
      <c r="C396" s="2"/>
      <c r="D396" s="2"/>
      <c r="E396" s="2"/>
      <c r="F396" s="2"/>
      <c r="G396" s="2"/>
      <c r="H396" s="2"/>
      <c r="I396" s="2"/>
      <c r="J396" s="2"/>
      <c r="K396" s="2"/>
      <c r="L396" s="2"/>
      <c r="M396" s="2"/>
      <c r="N396" s="16"/>
    </row>
    <row r="397">
      <c r="A397" s="81"/>
      <c r="B397" s="2"/>
      <c r="C397" s="2"/>
      <c r="D397" s="2"/>
      <c r="E397" s="2"/>
      <c r="F397" s="2"/>
      <c r="G397" s="2"/>
      <c r="H397" s="2"/>
      <c r="I397" s="2"/>
      <c r="J397" s="2"/>
      <c r="K397" s="2"/>
      <c r="L397" s="2"/>
      <c r="M397" s="2"/>
      <c r="N397" s="16"/>
    </row>
    <row r="398">
      <c r="A398" s="81"/>
      <c r="B398" s="2"/>
      <c r="C398" s="2"/>
      <c r="D398" s="2"/>
      <c r="E398" s="2"/>
      <c r="F398" s="2"/>
      <c r="G398" s="2"/>
      <c r="H398" s="2"/>
      <c r="I398" s="2"/>
      <c r="J398" s="2"/>
      <c r="K398" s="2"/>
      <c r="L398" s="2"/>
      <c r="M398" s="2"/>
      <c r="N398" s="16"/>
    </row>
    <row r="399">
      <c r="A399" s="81"/>
      <c r="B399" s="2"/>
      <c r="C399" s="2"/>
      <c r="D399" s="2"/>
      <c r="E399" s="2"/>
      <c r="F399" s="2"/>
      <c r="G399" s="2"/>
      <c r="H399" s="2"/>
      <c r="I399" s="2"/>
      <c r="J399" s="2"/>
      <c r="K399" s="2"/>
      <c r="L399" s="2"/>
      <c r="M399" s="2"/>
      <c r="N399" s="16"/>
    </row>
    <row r="400">
      <c r="A400" s="81"/>
      <c r="B400" s="2"/>
      <c r="C400" s="2"/>
      <c r="D400" s="2"/>
      <c r="E400" s="2"/>
      <c r="F400" s="2"/>
      <c r="G400" s="2"/>
      <c r="H400" s="2"/>
      <c r="I400" s="2"/>
      <c r="J400" s="2"/>
      <c r="K400" s="2"/>
      <c r="L400" s="2"/>
      <c r="M400" s="2"/>
      <c r="N400" s="16"/>
    </row>
    <row r="401">
      <c r="A401" s="81"/>
      <c r="B401" s="2"/>
      <c r="C401" s="2"/>
      <c r="D401" s="2"/>
      <c r="E401" s="2"/>
      <c r="F401" s="2"/>
      <c r="G401" s="2"/>
      <c r="H401" s="2"/>
      <c r="I401" s="2"/>
      <c r="J401" s="2"/>
      <c r="K401" s="2"/>
      <c r="L401" s="2"/>
      <c r="M401" s="2"/>
      <c r="N401" s="16"/>
    </row>
    <row r="402">
      <c r="A402" s="81"/>
      <c r="B402" s="2"/>
      <c r="C402" s="2"/>
      <c r="D402" s="2"/>
      <c r="E402" s="2"/>
      <c r="F402" s="2"/>
      <c r="G402" s="2"/>
      <c r="H402" s="2"/>
      <c r="I402" s="2"/>
      <c r="J402" s="2"/>
      <c r="K402" s="2"/>
      <c r="L402" s="2"/>
      <c r="M402" s="2"/>
      <c r="N402" s="16"/>
    </row>
    <row r="403">
      <c r="A403" s="81"/>
      <c r="B403" s="2"/>
      <c r="C403" s="2"/>
      <c r="D403" s="2"/>
      <c r="E403" s="2"/>
      <c r="F403" s="2"/>
      <c r="G403" s="2"/>
      <c r="H403" s="2"/>
      <c r="I403" s="2"/>
      <c r="J403" s="2"/>
      <c r="K403" s="2"/>
      <c r="L403" s="2"/>
      <c r="M403" s="2"/>
      <c r="N403" s="16"/>
    </row>
    <row r="404">
      <c r="A404" s="81"/>
      <c r="B404" s="2"/>
      <c r="C404" s="2"/>
      <c r="D404" s="2"/>
      <c r="E404" s="2"/>
      <c r="F404" s="2"/>
      <c r="G404" s="2"/>
      <c r="H404" s="2"/>
      <c r="I404" s="2"/>
      <c r="J404" s="2"/>
      <c r="K404" s="2"/>
      <c r="L404" s="2"/>
      <c r="M404" s="2"/>
      <c r="N404" s="16"/>
    </row>
    <row r="405">
      <c r="A405" s="81"/>
      <c r="B405" s="2"/>
      <c r="C405" s="2"/>
      <c r="D405" s="2"/>
      <c r="E405" s="2"/>
      <c r="F405" s="2"/>
      <c r="G405" s="2"/>
      <c r="H405" s="2"/>
      <c r="I405" s="2"/>
      <c r="J405" s="2"/>
      <c r="K405" s="2"/>
      <c r="L405" s="2"/>
      <c r="M405" s="2"/>
      <c r="N405" s="16"/>
    </row>
    <row r="406">
      <c r="A406" s="81"/>
      <c r="B406" s="2"/>
      <c r="C406" s="2"/>
      <c r="D406" s="2"/>
      <c r="E406" s="2"/>
      <c r="F406" s="2"/>
      <c r="G406" s="2"/>
      <c r="H406" s="2"/>
      <c r="I406" s="2"/>
      <c r="J406" s="2"/>
      <c r="K406" s="2"/>
      <c r="L406" s="2"/>
      <c r="M406" s="2"/>
      <c r="N406" s="16"/>
    </row>
    <row r="407">
      <c r="A407" s="81"/>
      <c r="B407" s="2"/>
      <c r="C407" s="2"/>
      <c r="D407" s="2"/>
      <c r="E407" s="2"/>
      <c r="F407" s="2"/>
      <c r="G407" s="2"/>
      <c r="H407" s="2"/>
      <c r="I407" s="2"/>
      <c r="J407" s="2"/>
      <c r="K407" s="2"/>
      <c r="L407" s="2"/>
      <c r="M407" s="2"/>
      <c r="N407" s="16"/>
    </row>
    <row r="408">
      <c r="A408" s="81"/>
      <c r="B408" s="2"/>
      <c r="C408" s="2"/>
      <c r="D408" s="2"/>
      <c r="E408" s="2"/>
      <c r="F408" s="2"/>
      <c r="G408" s="2"/>
      <c r="H408" s="2"/>
      <c r="I408" s="2"/>
      <c r="J408" s="2"/>
      <c r="K408" s="2"/>
      <c r="L408" s="2"/>
      <c r="M408" s="2"/>
      <c r="N408" s="16"/>
    </row>
    <row r="409">
      <c r="A409" s="81"/>
      <c r="B409" s="2"/>
      <c r="C409" s="2"/>
      <c r="D409" s="2"/>
      <c r="E409" s="2"/>
      <c r="F409" s="2"/>
      <c r="G409" s="2"/>
      <c r="H409" s="2"/>
      <c r="I409" s="2"/>
      <c r="J409" s="2"/>
      <c r="K409" s="2"/>
      <c r="L409" s="2"/>
      <c r="M409" s="2"/>
      <c r="N409" s="16"/>
    </row>
    <row r="410">
      <c r="A410" s="81"/>
      <c r="B410" s="2"/>
      <c r="C410" s="2"/>
      <c r="D410" s="2"/>
      <c r="E410" s="2"/>
      <c r="F410" s="2"/>
      <c r="G410" s="2"/>
      <c r="H410" s="2"/>
      <c r="I410" s="2"/>
      <c r="J410" s="2"/>
      <c r="K410" s="2"/>
      <c r="L410" s="2"/>
      <c r="M410" s="2"/>
      <c r="N410" s="16"/>
    </row>
    <row r="411">
      <c r="A411" s="81"/>
      <c r="B411" s="2"/>
      <c r="C411" s="2"/>
      <c r="D411" s="2"/>
      <c r="E411" s="2"/>
      <c r="F411" s="2"/>
      <c r="G411" s="2"/>
      <c r="H411" s="2"/>
      <c r="I411" s="2"/>
      <c r="J411" s="2"/>
      <c r="K411" s="2"/>
      <c r="L411" s="2"/>
      <c r="M411" s="2"/>
      <c r="N411" s="16"/>
    </row>
    <row r="412">
      <c r="A412" s="81"/>
      <c r="B412" s="2"/>
      <c r="C412" s="2"/>
      <c r="D412" s="2"/>
      <c r="E412" s="2"/>
      <c r="F412" s="2"/>
      <c r="G412" s="2"/>
      <c r="H412" s="2"/>
      <c r="I412" s="2"/>
      <c r="J412" s="2"/>
      <c r="K412" s="2"/>
      <c r="L412" s="2"/>
      <c r="M412" s="2"/>
      <c r="N412" s="16"/>
    </row>
    <row r="413">
      <c r="A413" s="81"/>
      <c r="B413" s="2"/>
      <c r="C413" s="2"/>
      <c r="D413" s="2"/>
      <c r="E413" s="2"/>
      <c r="F413" s="2"/>
      <c r="G413" s="2"/>
      <c r="H413" s="2"/>
      <c r="I413" s="2"/>
      <c r="J413" s="2"/>
      <c r="K413" s="2"/>
      <c r="L413" s="2"/>
      <c r="M413" s="2"/>
      <c r="N413" s="16"/>
    </row>
    <row r="414">
      <c r="A414" s="81"/>
      <c r="B414" s="2"/>
      <c r="C414" s="2"/>
      <c r="D414" s="2"/>
      <c r="E414" s="2"/>
      <c r="F414" s="2"/>
      <c r="G414" s="2"/>
      <c r="H414" s="2"/>
      <c r="I414" s="2"/>
      <c r="J414" s="2"/>
      <c r="K414" s="2"/>
      <c r="L414" s="2"/>
      <c r="M414" s="2"/>
      <c r="N414" s="16"/>
    </row>
    <row r="415">
      <c r="A415" s="81"/>
      <c r="B415" s="2"/>
      <c r="C415" s="2"/>
      <c r="D415" s="2"/>
      <c r="E415" s="2"/>
      <c r="F415" s="2"/>
      <c r="G415" s="2"/>
      <c r="H415" s="2"/>
      <c r="I415" s="2"/>
      <c r="J415" s="2"/>
      <c r="K415" s="2"/>
      <c r="L415" s="2"/>
      <c r="M415" s="2"/>
      <c r="N415" s="16"/>
    </row>
    <row r="416">
      <c r="A416" s="81"/>
      <c r="B416" s="2"/>
      <c r="C416" s="2"/>
      <c r="D416" s="2"/>
      <c r="E416" s="2"/>
      <c r="F416" s="2"/>
      <c r="G416" s="2"/>
      <c r="H416" s="2"/>
      <c r="I416" s="2"/>
      <c r="J416" s="2"/>
      <c r="K416" s="2"/>
      <c r="L416" s="2"/>
      <c r="M416" s="2"/>
      <c r="N416" s="16"/>
    </row>
    <row r="417">
      <c r="A417" s="81"/>
      <c r="B417" s="2"/>
      <c r="C417" s="2"/>
      <c r="D417" s="2"/>
      <c r="E417" s="2"/>
      <c r="F417" s="2"/>
      <c r="G417" s="2"/>
      <c r="H417" s="2"/>
      <c r="I417" s="2"/>
      <c r="J417" s="2"/>
      <c r="K417" s="2"/>
      <c r="L417" s="2"/>
      <c r="M417" s="2"/>
      <c r="N417" s="16"/>
    </row>
    <row r="418">
      <c r="A418" s="81"/>
      <c r="B418" s="2"/>
      <c r="C418" s="2"/>
      <c r="D418" s="2"/>
      <c r="E418" s="2"/>
      <c r="F418" s="2"/>
      <c r="G418" s="2"/>
      <c r="H418" s="2"/>
      <c r="I418" s="2"/>
      <c r="J418" s="2"/>
      <c r="K418" s="2"/>
      <c r="L418" s="2"/>
      <c r="M418" s="2"/>
      <c r="N418" s="16"/>
    </row>
    <row r="419">
      <c r="A419" s="81"/>
      <c r="B419" s="2"/>
      <c r="C419" s="2"/>
      <c r="D419" s="2"/>
      <c r="E419" s="2"/>
      <c r="F419" s="2"/>
      <c r="G419" s="2"/>
      <c r="H419" s="2"/>
      <c r="I419" s="2"/>
      <c r="J419" s="2"/>
      <c r="K419" s="2"/>
      <c r="L419" s="2"/>
      <c r="M419" s="2"/>
      <c r="N419" s="16"/>
    </row>
    <row r="420">
      <c r="A420" s="81"/>
      <c r="B420" s="2"/>
      <c r="C420" s="2"/>
      <c r="D420" s="2"/>
      <c r="E420" s="2"/>
      <c r="F420" s="2"/>
      <c r="G420" s="2"/>
      <c r="H420" s="2"/>
      <c r="I420" s="2"/>
      <c r="J420" s="2"/>
      <c r="K420" s="2"/>
      <c r="L420" s="2"/>
      <c r="M420" s="2"/>
      <c r="N420" s="16"/>
    </row>
    <row r="421">
      <c r="A421" s="81"/>
      <c r="B421" s="2"/>
      <c r="C421" s="2"/>
      <c r="D421" s="2"/>
      <c r="E421" s="2"/>
      <c r="F421" s="2"/>
      <c r="G421" s="2"/>
      <c r="H421" s="2"/>
      <c r="I421" s="2"/>
      <c r="J421" s="2"/>
      <c r="K421" s="2"/>
      <c r="L421" s="2"/>
      <c r="M421" s="2"/>
      <c r="N421" s="16"/>
    </row>
    <row r="422">
      <c r="A422" s="81"/>
      <c r="B422" s="2"/>
      <c r="C422" s="2"/>
      <c r="D422" s="2"/>
      <c r="E422" s="2"/>
      <c r="F422" s="2"/>
      <c r="G422" s="2"/>
      <c r="H422" s="2"/>
      <c r="I422" s="2"/>
      <c r="J422" s="2"/>
      <c r="K422" s="2"/>
      <c r="L422" s="2"/>
      <c r="M422" s="2"/>
      <c r="N422" s="16"/>
    </row>
    <row r="423">
      <c r="A423" s="81"/>
      <c r="B423" s="2"/>
      <c r="C423" s="2"/>
      <c r="D423" s="2"/>
      <c r="E423" s="2"/>
      <c r="F423" s="2"/>
      <c r="G423" s="2"/>
      <c r="H423" s="2"/>
      <c r="I423" s="2"/>
      <c r="J423" s="2"/>
      <c r="K423" s="2"/>
      <c r="L423" s="2"/>
      <c r="M423" s="2"/>
      <c r="N423" s="16"/>
    </row>
    <row r="424">
      <c r="A424" s="81"/>
      <c r="B424" s="2"/>
      <c r="C424" s="2"/>
      <c r="D424" s="2"/>
      <c r="E424" s="2"/>
      <c r="F424" s="2"/>
      <c r="G424" s="2"/>
      <c r="H424" s="2"/>
      <c r="I424" s="2"/>
      <c r="J424" s="2"/>
      <c r="K424" s="2"/>
      <c r="L424" s="2"/>
      <c r="M424" s="2"/>
      <c r="N424" s="16"/>
    </row>
    <row r="425">
      <c r="A425" s="81"/>
      <c r="B425" s="2"/>
      <c r="C425" s="2"/>
      <c r="D425" s="2"/>
      <c r="E425" s="2"/>
      <c r="F425" s="2"/>
      <c r="G425" s="2"/>
      <c r="H425" s="2"/>
      <c r="I425" s="2"/>
      <c r="J425" s="2"/>
      <c r="K425" s="2"/>
      <c r="L425" s="2"/>
      <c r="M425" s="2"/>
      <c r="N425" s="16"/>
    </row>
    <row r="426">
      <c r="A426" s="81"/>
      <c r="B426" s="2"/>
      <c r="C426" s="2"/>
      <c r="D426" s="2"/>
      <c r="E426" s="2"/>
      <c r="F426" s="2"/>
      <c r="G426" s="2"/>
      <c r="H426" s="2"/>
      <c r="I426" s="2"/>
      <c r="J426" s="2"/>
      <c r="K426" s="2"/>
      <c r="L426" s="2"/>
      <c r="M426" s="2"/>
      <c r="N426" s="16"/>
    </row>
    <row r="427">
      <c r="A427" s="81"/>
      <c r="B427" s="2"/>
      <c r="C427" s="2"/>
      <c r="D427" s="2"/>
      <c r="E427" s="2"/>
      <c r="F427" s="2"/>
      <c r="G427" s="2"/>
      <c r="H427" s="2"/>
      <c r="I427" s="2"/>
      <c r="J427" s="2"/>
      <c r="K427" s="2"/>
      <c r="L427" s="2"/>
      <c r="M427" s="2"/>
      <c r="N427" s="16"/>
    </row>
    <row r="428">
      <c r="A428" s="81"/>
      <c r="B428" s="2"/>
      <c r="C428" s="2"/>
      <c r="D428" s="2"/>
      <c r="E428" s="2"/>
      <c r="F428" s="2"/>
      <c r="G428" s="2"/>
      <c r="H428" s="2"/>
      <c r="I428" s="2"/>
      <c r="J428" s="2"/>
      <c r="K428" s="2"/>
      <c r="L428" s="2"/>
      <c r="M428" s="2"/>
      <c r="N428" s="16"/>
    </row>
    <row r="429">
      <c r="A429" s="81"/>
      <c r="B429" s="2"/>
      <c r="C429" s="2"/>
      <c r="D429" s="2"/>
      <c r="E429" s="2"/>
      <c r="F429" s="2"/>
      <c r="G429" s="2"/>
      <c r="H429" s="2"/>
      <c r="I429" s="2"/>
      <c r="J429" s="2"/>
      <c r="K429" s="2"/>
      <c r="L429" s="2"/>
      <c r="M429" s="2"/>
      <c r="N429" s="16"/>
    </row>
    <row r="430">
      <c r="A430" s="81"/>
      <c r="B430" s="2"/>
      <c r="C430" s="2"/>
      <c r="D430" s="2"/>
      <c r="E430" s="2"/>
      <c r="F430" s="2"/>
      <c r="G430" s="2"/>
      <c r="H430" s="2"/>
      <c r="I430" s="2"/>
      <c r="J430" s="2"/>
      <c r="K430" s="2"/>
      <c r="L430" s="2"/>
      <c r="M430" s="2"/>
      <c r="N430" s="16"/>
    </row>
    <row r="431">
      <c r="A431" s="81"/>
      <c r="B431" s="2"/>
      <c r="C431" s="2"/>
      <c r="D431" s="2"/>
      <c r="E431" s="2"/>
      <c r="F431" s="2"/>
      <c r="G431" s="2"/>
      <c r="H431" s="2"/>
      <c r="I431" s="2"/>
      <c r="J431" s="2"/>
      <c r="K431" s="2"/>
      <c r="L431" s="2"/>
      <c r="M431" s="2"/>
      <c r="N431" s="16"/>
    </row>
    <row r="432">
      <c r="A432" s="81"/>
      <c r="B432" s="2"/>
      <c r="C432" s="2"/>
      <c r="D432" s="2"/>
      <c r="E432" s="2"/>
      <c r="F432" s="2"/>
      <c r="G432" s="2"/>
      <c r="H432" s="2"/>
      <c r="I432" s="2"/>
      <c r="J432" s="2"/>
      <c r="K432" s="2"/>
      <c r="L432" s="2"/>
      <c r="M432" s="2"/>
      <c r="N432" s="16"/>
    </row>
    <row r="433">
      <c r="A433" s="81"/>
      <c r="B433" s="2"/>
      <c r="C433" s="2"/>
      <c r="D433" s="2"/>
      <c r="E433" s="2"/>
      <c r="F433" s="2"/>
      <c r="G433" s="2"/>
      <c r="H433" s="2"/>
      <c r="I433" s="2"/>
      <c r="J433" s="2"/>
      <c r="K433" s="2"/>
      <c r="L433" s="2"/>
      <c r="M433" s="2"/>
      <c r="N433" s="16"/>
    </row>
    <row r="434">
      <c r="A434" s="81"/>
      <c r="B434" s="2"/>
      <c r="C434" s="2"/>
      <c r="D434" s="2"/>
      <c r="E434" s="2"/>
      <c r="F434" s="2"/>
      <c r="G434" s="2"/>
      <c r="H434" s="2"/>
      <c r="I434" s="2"/>
      <c r="J434" s="2"/>
      <c r="K434" s="2"/>
      <c r="L434" s="2"/>
      <c r="M434" s="2"/>
      <c r="N434" s="16"/>
    </row>
    <row r="435">
      <c r="A435" s="81"/>
      <c r="B435" s="2"/>
      <c r="C435" s="2"/>
      <c r="D435" s="2"/>
      <c r="E435" s="2"/>
      <c r="F435" s="2"/>
      <c r="G435" s="2"/>
      <c r="H435" s="2"/>
      <c r="I435" s="2"/>
      <c r="J435" s="2"/>
      <c r="K435" s="2"/>
      <c r="L435" s="2"/>
      <c r="M435" s="2"/>
      <c r="N435" s="16"/>
    </row>
    <row r="436">
      <c r="A436" s="81"/>
      <c r="B436" s="2"/>
      <c r="C436" s="2"/>
      <c r="D436" s="2"/>
      <c r="E436" s="2"/>
      <c r="F436" s="2"/>
      <c r="G436" s="2"/>
      <c r="H436" s="2"/>
      <c r="I436" s="2"/>
      <c r="J436" s="2"/>
      <c r="K436" s="2"/>
      <c r="L436" s="2"/>
      <c r="M436" s="2"/>
      <c r="N436" s="16"/>
    </row>
    <row r="437">
      <c r="A437" s="81"/>
      <c r="B437" s="2"/>
      <c r="C437" s="2"/>
      <c r="D437" s="2"/>
      <c r="E437" s="2"/>
      <c r="F437" s="2"/>
      <c r="G437" s="2"/>
      <c r="H437" s="2"/>
      <c r="I437" s="2"/>
      <c r="J437" s="2"/>
      <c r="K437" s="2"/>
      <c r="L437" s="2"/>
      <c r="M437" s="2"/>
      <c r="N437" s="16"/>
    </row>
    <row r="438">
      <c r="A438" s="81"/>
      <c r="B438" s="2"/>
      <c r="C438" s="2"/>
      <c r="D438" s="2"/>
      <c r="E438" s="2"/>
      <c r="F438" s="2"/>
      <c r="G438" s="2"/>
      <c r="H438" s="2"/>
      <c r="I438" s="2"/>
      <c r="J438" s="2"/>
      <c r="K438" s="2"/>
      <c r="L438" s="2"/>
      <c r="M438" s="2"/>
      <c r="N438" s="16"/>
    </row>
    <row r="439">
      <c r="A439" s="81"/>
      <c r="B439" s="2"/>
      <c r="C439" s="2"/>
      <c r="D439" s="2"/>
      <c r="E439" s="2"/>
      <c r="F439" s="2"/>
      <c r="G439" s="2"/>
      <c r="H439" s="2"/>
      <c r="I439" s="2"/>
      <c r="J439" s="2"/>
      <c r="K439" s="2"/>
      <c r="L439" s="2"/>
      <c r="M439" s="2"/>
      <c r="N439" s="16"/>
    </row>
    <row r="440">
      <c r="A440" s="81"/>
      <c r="B440" s="2"/>
      <c r="C440" s="2"/>
      <c r="D440" s="2"/>
      <c r="E440" s="2"/>
      <c r="F440" s="2"/>
      <c r="G440" s="2"/>
      <c r="H440" s="2"/>
      <c r="I440" s="2"/>
      <c r="J440" s="2"/>
      <c r="K440" s="2"/>
      <c r="L440" s="2"/>
      <c r="M440" s="2"/>
      <c r="N440" s="16"/>
    </row>
    <row r="441">
      <c r="A441" s="81"/>
      <c r="B441" s="2"/>
      <c r="C441" s="2"/>
      <c r="D441" s="2"/>
      <c r="E441" s="2"/>
      <c r="F441" s="2"/>
      <c r="G441" s="2"/>
      <c r="H441" s="2"/>
      <c r="I441" s="2"/>
      <c r="J441" s="2"/>
      <c r="K441" s="2"/>
      <c r="L441" s="2"/>
      <c r="M441" s="2"/>
      <c r="N441" s="16"/>
    </row>
    <row r="442">
      <c r="A442" s="81"/>
      <c r="B442" s="2"/>
      <c r="C442" s="2"/>
      <c r="D442" s="2"/>
      <c r="E442" s="2"/>
      <c r="F442" s="2"/>
      <c r="G442" s="2"/>
      <c r="H442" s="2"/>
      <c r="I442" s="2"/>
      <c r="J442" s="2"/>
      <c r="K442" s="2"/>
      <c r="L442" s="2"/>
      <c r="M442" s="2"/>
      <c r="N442" s="16"/>
    </row>
    <row r="443">
      <c r="A443" s="81"/>
      <c r="B443" s="2"/>
      <c r="C443" s="2"/>
      <c r="D443" s="2"/>
      <c r="E443" s="2"/>
      <c r="F443" s="2"/>
      <c r="G443" s="2"/>
      <c r="H443" s="2"/>
      <c r="I443" s="2"/>
      <c r="J443" s="2"/>
      <c r="K443" s="2"/>
      <c r="L443" s="2"/>
      <c r="M443" s="2"/>
      <c r="N443" s="16"/>
    </row>
    <row r="444">
      <c r="A444" s="81"/>
      <c r="B444" s="2"/>
      <c r="C444" s="2"/>
      <c r="D444" s="2"/>
      <c r="E444" s="2"/>
      <c r="F444" s="2"/>
      <c r="G444" s="2"/>
      <c r="H444" s="2"/>
      <c r="I444" s="2"/>
      <c r="J444" s="2"/>
      <c r="K444" s="2"/>
      <c r="L444" s="2"/>
      <c r="M444" s="2"/>
      <c r="N444" s="16"/>
    </row>
    <row r="445">
      <c r="A445" s="81"/>
      <c r="B445" s="2"/>
      <c r="C445" s="2"/>
      <c r="D445" s="2"/>
      <c r="E445" s="2"/>
      <c r="F445" s="2"/>
      <c r="G445" s="2"/>
      <c r="H445" s="2"/>
      <c r="I445" s="2"/>
      <c r="J445" s="2"/>
      <c r="K445" s="2"/>
      <c r="L445" s="2"/>
      <c r="M445" s="2"/>
      <c r="N445" s="16"/>
    </row>
    <row r="446">
      <c r="A446" s="81"/>
      <c r="B446" s="2"/>
      <c r="C446" s="2"/>
      <c r="D446" s="2"/>
      <c r="E446" s="2"/>
      <c r="F446" s="2"/>
      <c r="G446" s="2"/>
      <c r="H446" s="2"/>
      <c r="I446" s="2"/>
      <c r="J446" s="2"/>
      <c r="K446" s="2"/>
      <c r="L446" s="2"/>
      <c r="M446" s="2"/>
      <c r="N446" s="16"/>
    </row>
    <row r="447">
      <c r="A447" s="81"/>
      <c r="B447" s="2"/>
      <c r="C447" s="2"/>
      <c r="D447" s="2"/>
      <c r="E447" s="2"/>
      <c r="F447" s="2"/>
      <c r="G447" s="2"/>
      <c r="H447" s="2"/>
      <c r="I447" s="2"/>
      <c r="J447" s="2"/>
      <c r="K447" s="2"/>
      <c r="L447" s="2"/>
      <c r="M447" s="2"/>
      <c r="N447" s="16"/>
    </row>
    <row r="448">
      <c r="A448" s="81"/>
      <c r="B448" s="2"/>
      <c r="C448" s="2"/>
      <c r="D448" s="2"/>
      <c r="E448" s="2"/>
      <c r="F448" s="2"/>
      <c r="G448" s="2"/>
      <c r="H448" s="2"/>
      <c r="I448" s="2"/>
      <c r="J448" s="2"/>
      <c r="K448" s="2"/>
      <c r="L448" s="2"/>
      <c r="M448" s="2"/>
      <c r="N448" s="16"/>
    </row>
    <row r="449">
      <c r="A449" s="81"/>
      <c r="B449" s="2"/>
      <c r="C449" s="2"/>
      <c r="D449" s="2"/>
      <c r="E449" s="2"/>
      <c r="F449" s="2"/>
      <c r="G449" s="2"/>
      <c r="H449" s="2"/>
      <c r="I449" s="2"/>
      <c r="J449" s="2"/>
      <c r="K449" s="2"/>
      <c r="L449" s="2"/>
      <c r="M449" s="2"/>
      <c r="N449" s="16"/>
    </row>
    <row r="450">
      <c r="A450" s="81"/>
      <c r="B450" s="2"/>
      <c r="C450" s="2"/>
      <c r="D450" s="2"/>
      <c r="E450" s="2"/>
      <c r="F450" s="2"/>
      <c r="G450" s="2"/>
      <c r="H450" s="2"/>
      <c r="I450" s="2"/>
      <c r="J450" s="2"/>
      <c r="K450" s="2"/>
      <c r="L450" s="2"/>
      <c r="M450" s="2"/>
      <c r="N450" s="16"/>
    </row>
    <row r="451">
      <c r="A451" s="81"/>
      <c r="B451" s="2"/>
      <c r="C451" s="2"/>
      <c r="D451" s="2"/>
      <c r="E451" s="2"/>
      <c r="F451" s="2"/>
      <c r="G451" s="2"/>
      <c r="H451" s="2"/>
      <c r="I451" s="2"/>
      <c r="J451" s="2"/>
      <c r="K451" s="2"/>
      <c r="L451" s="2"/>
      <c r="M451" s="2"/>
      <c r="N451" s="16"/>
    </row>
    <row r="452">
      <c r="A452" s="81"/>
      <c r="B452" s="2"/>
      <c r="C452" s="2"/>
      <c r="D452" s="2"/>
      <c r="E452" s="2"/>
      <c r="F452" s="2"/>
      <c r="G452" s="2"/>
      <c r="H452" s="2"/>
      <c r="I452" s="2"/>
      <c r="J452" s="2"/>
      <c r="K452" s="2"/>
      <c r="L452" s="2"/>
      <c r="M452" s="2"/>
      <c r="N452" s="16"/>
    </row>
    <row r="453">
      <c r="A453" s="81"/>
      <c r="B453" s="2"/>
      <c r="C453" s="2"/>
      <c r="D453" s="2"/>
      <c r="E453" s="2"/>
      <c r="F453" s="2"/>
      <c r="G453" s="2"/>
      <c r="H453" s="2"/>
      <c r="I453" s="2"/>
      <c r="J453" s="2"/>
      <c r="K453" s="2"/>
      <c r="L453" s="2"/>
      <c r="M453" s="2"/>
      <c r="N453" s="16"/>
    </row>
    <row r="454">
      <c r="A454" s="81"/>
      <c r="B454" s="2"/>
      <c r="C454" s="2"/>
      <c r="D454" s="2"/>
      <c r="E454" s="2"/>
      <c r="F454" s="2"/>
      <c r="G454" s="2"/>
      <c r="H454" s="2"/>
      <c r="I454" s="2"/>
      <c r="J454" s="2"/>
      <c r="K454" s="2"/>
      <c r="L454" s="2"/>
      <c r="M454" s="2"/>
      <c r="N454" s="16"/>
    </row>
    <row r="455">
      <c r="A455" s="81"/>
      <c r="B455" s="2"/>
      <c r="C455" s="2"/>
      <c r="D455" s="2"/>
      <c r="E455" s="2"/>
      <c r="F455" s="2"/>
      <c r="G455" s="2"/>
      <c r="H455" s="2"/>
      <c r="I455" s="2"/>
      <c r="J455" s="2"/>
      <c r="K455" s="2"/>
      <c r="L455" s="2"/>
      <c r="M455" s="2"/>
      <c r="N455" s="16"/>
    </row>
    <row r="456">
      <c r="A456" s="81"/>
      <c r="B456" s="2"/>
      <c r="C456" s="2"/>
      <c r="D456" s="2"/>
      <c r="E456" s="2"/>
      <c r="F456" s="2"/>
      <c r="G456" s="2"/>
      <c r="H456" s="2"/>
      <c r="I456" s="2"/>
      <c r="J456" s="2"/>
      <c r="K456" s="2"/>
      <c r="L456" s="2"/>
      <c r="M456" s="2"/>
      <c r="N456" s="16"/>
    </row>
    <row r="457">
      <c r="A457" s="81"/>
      <c r="B457" s="2"/>
      <c r="C457" s="2"/>
      <c r="D457" s="2"/>
      <c r="E457" s="2"/>
      <c r="F457" s="2"/>
      <c r="G457" s="2"/>
      <c r="H457" s="2"/>
      <c r="I457" s="2"/>
      <c r="J457" s="2"/>
      <c r="K457" s="2"/>
      <c r="L457" s="2"/>
      <c r="M457" s="2"/>
      <c r="N457" s="16"/>
    </row>
    <row r="458">
      <c r="A458" s="81"/>
      <c r="B458" s="2"/>
      <c r="C458" s="2"/>
      <c r="D458" s="2"/>
      <c r="E458" s="2"/>
      <c r="F458" s="2"/>
      <c r="G458" s="2"/>
      <c r="H458" s="2"/>
      <c r="I458" s="2"/>
      <c r="J458" s="2"/>
      <c r="K458" s="2"/>
      <c r="L458" s="2"/>
      <c r="M458" s="2"/>
      <c r="N458" s="16"/>
    </row>
    <row r="459">
      <c r="A459" s="81"/>
      <c r="B459" s="2"/>
      <c r="C459" s="2"/>
      <c r="D459" s="2"/>
      <c r="E459" s="2"/>
      <c r="F459" s="2"/>
      <c r="G459" s="2"/>
      <c r="H459" s="2"/>
      <c r="I459" s="2"/>
      <c r="J459" s="2"/>
      <c r="K459" s="2"/>
      <c r="L459" s="2"/>
      <c r="M459" s="2"/>
      <c r="N459" s="16"/>
    </row>
    <row r="460">
      <c r="A460" s="81"/>
      <c r="B460" s="2"/>
      <c r="C460" s="2"/>
      <c r="D460" s="2"/>
      <c r="E460" s="2"/>
      <c r="F460" s="2"/>
      <c r="G460" s="2"/>
      <c r="H460" s="2"/>
      <c r="I460" s="2"/>
      <c r="J460" s="2"/>
      <c r="K460" s="2"/>
      <c r="L460" s="2"/>
      <c r="M460" s="2"/>
      <c r="N460" s="16"/>
    </row>
    <row r="461">
      <c r="A461" s="81"/>
      <c r="B461" s="2"/>
      <c r="C461" s="2"/>
      <c r="D461" s="2"/>
      <c r="E461" s="2"/>
      <c r="F461" s="2"/>
      <c r="G461" s="2"/>
      <c r="H461" s="2"/>
      <c r="I461" s="2"/>
      <c r="J461" s="2"/>
      <c r="K461" s="2"/>
      <c r="L461" s="2"/>
      <c r="M461" s="2"/>
      <c r="N461" s="16"/>
    </row>
    <row r="462">
      <c r="A462" s="81"/>
      <c r="B462" s="2"/>
      <c r="C462" s="2"/>
      <c r="D462" s="2"/>
      <c r="E462" s="2"/>
      <c r="F462" s="2"/>
      <c r="G462" s="2"/>
      <c r="H462" s="2"/>
      <c r="I462" s="2"/>
      <c r="J462" s="2"/>
      <c r="K462" s="2"/>
      <c r="L462" s="2"/>
      <c r="M462" s="2"/>
      <c r="N462" s="16"/>
    </row>
    <row r="463">
      <c r="A463" s="81"/>
      <c r="B463" s="2"/>
      <c r="C463" s="2"/>
      <c r="D463" s="2"/>
      <c r="E463" s="2"/>
      <c r="F463" s="2"/>
      <c r="G463" s="2"/>
      <c r="H463" s="2"/>
      <c r="I463" s="2"/>
      <c r="J463" s="2"/>
      <c r="K463" s="2"/>
      <c r="L463" s="2"/>
      <c r="M463" s="2"/>
      <c r="N463" s="16"/>
    </row>
    <row r="464">
      <c r="A464" s="81"/>
      <c r="B464" s="2"/>
      <c r="C464" s="2"/>
      <c r="D464" s="2"/>
      <c r="E464" s="2"/>
      <c r="F464" s="2"/>
      <c r="G464" s="2"/>
      <c r="H464" s="2"/>
      <c r="I464" s="2"/>
      <c r="J464" s="2"/>
      <c r="K464" s="2"/>
      <c r="L464" s="2"/>
      <c r="M464" s="2"/>
      <c r="N464" s="16"/>
    </row>
    <row r="465">
      <c r="A465" s="81"/>
      <c r="B465" s="2"/>
      <c r="C465" s="2"/>
      <c r="D465" s="2"/>
      <c r="E465" s="2"/>
      <c r="F465" s="2"/>
      <c r="G465" s="2"/>
      <c r="H465" s="2"/>
      <c r="I465" s="2"/>
      <c r="J465" s="2"/>
      <c r="K465" s="2"/>
      <c r="L465" s="2"/>
      <c r="M465" s="2"/>
      <c r="N465" s="16"/>
    </row>
    <row r="466">
      <c r="A466" s="81"/>
      <c r="B466" s="2"/>
      <c r="C466" s="2"/>
      <c r="D466" s="2"/>
      <c r="E466" s="2"/>
      <c r="F466" s="2"/>
      <c r="G466" s="2"/>
      <c r="H466" s="2"/>
      <c r="I466" s="2"/>
      <c r="J466" s="2"/>
      <c r="K466" s="2"/>
      <c r="L466" s="2"/>
      <c r="M466" s="2"/>
      <c r="N466" s="16"/>
    </row>
    <row r="467">
      <c r="A467" s="81"/>
      <c r="B467" s="2"/>
      <c r="C467" s="2"/>
      <c r="D467" s="2"/>
      <c r="E467" s="2"/>
      <c r="F467" s="2"/>
      <c r="G467" s="2"/>
      <c r="H467" s="2"/>
      <c r="I467" s="2"/>
      <c r="J467" s="2"/>
      <c r="K467" s="2"/>
      <c r="L467" s="2"/>
      <c r="M467" s="2"/>
      <c r="N467" s="16"/>
    </row>
    <row r="468">
      <c r="A468" s="81"/>
      <c r="B468" s="2"/>
      <c r="C468" s="2"/>
      <c r="D468" s="2"/>
      <c r="E468" s="2"/>
      <c r="F468" s="2"/>
      <c r="G468" s="2"/>
      <c r="H468" s="2"/>
      <c r="I468" s="2"/>
      <c r="J468" s="2"/>
      <c r="K468" s="2"/>
      <c r="L468" s="2"/>
      <c r="M468" s="2"/>
      <c r="N468" s="16"/>
    </row>
    <row r="469">
      <c r="A469" s="81"/>
      <c r="B469" s="2"/>
      <c r="C469" s="2"/>
      <c r="D469" s="2"/>
      <c r="E469" s="2"/>
      <c r="F469" s="2"/>
      <c r="G469" s="2"/>
      <c r="H469" s="2"/>
      <c r="I469" s="2"/>
      <c r="J469" s="2"/>
      <c r="K469" s="2"/>
      <c r="L469" s="2"/>
      <c r="M469" s="2"/>
      <c r="N469" s="16"/>
    </row>
    <row r="470">
      <c r="A470" s="81"/>
      <c r="B470" s="2"/>
      <c r="C470" s="2"/>
      <c r="D470" s="2"/>
      <c r="E470" s="2"/>
      <c r="F470" s="2"/>
      <c r="G470" s="2"/>
      <c r="H470" s="2"/>
      <c r="I470" s="2"/>
      <c r="J470" s="2"/>
      <c r="K470" s="2"/>
      <c r="L470" s="2"/>
      <c r="M470" s="2"/>
      <c r="N470" s="16"/>
    </row>
    <row r="471">
      <c r="A471" s="81"/>
      <c r="B471" s="2"/>
      <c r="C471" s="2"/>
      <c r="D471" s="2"/>
      <c r="E471" s="2"/>
      <c r="F471" s="2"/>
      <c r="G471" s="2"/>
      <c r="H471" s="2"/>
      <c r="I471" s="2"/>
      <c r="J471" s="2"/>
      <c r="K471" s="2"/>
      <c r="L471" s="2"/>
      <c r="M471" s="2"/>
      <c r="N471" s="16"/>
    </row>
    <row r="472">
      <c r="A472" s="81"/>
      <c r="B472" s="2"/>
      <c r="C472" s="2"/>
      <c r="D472" s="2"/>
      <c r="E472" s="2"/>
      <c r="F472" s="2"/>
      <c r="G472" s="2"/>
      <c r="H472" s="2"/>
      <c r="I472" s="2"/>
      <c r="J472" s="2"/>
      <c r="K472" s="2"/>
      <c r="L472" s="2"/>
      <c r="M472" s="2"/>
      <c r="N472" s="16"/>
    </row>
    <row r="473">
      <c r="A473" s="81"/>
      <c r="B473" s="2"/>
      <c r="C473" s="2"/>
      <c r="D473" s="2"/>
      <c r="E473" s="2"/>
      <c r="F473" s="2"/>
      <c r="G473" s="2"/>
      <c r="H473" s="2"/>
      <c r="I473" s="2"/>
      <c r="J473" s="2"/>
      <c r="K473" s="2"/>
      <c r="L473" s="2"/>
      <c r="M473" s="2"/>
      <c r="N473" s="16"/>
    </row>
    <row r="474">
      <c r="A474" s="81"/>
      <c r="B474" s="2"/>
      <c r="C474" s="2"/>
      <c r="D474" s="2"/>
      <c r="E474" s="2"/>
      <c r="F474" s="2"/>
      <c r="G474" s="2"/>
      <c r="H474" s="2"/>
      <c r="I474" s="2"/>
      <c r="J474" s="2"/>
      <c r="K474" s="2"/>
      <c r="L474" s="2"/>
      <c r="M474" s="2"/>
      <c r="N474" s="16"/>
    </row>
    <row r="475">
      <c r="A475" s="81"/>
      <c r="B475" s="2"/>
      <c r="C475" s="2"/>
      <c r="D475" s="2"/>
      <c r="E475" s="2"/>
      <c r="F475" s="2"/>
      <c r="G475" s="2"/>
      <c r="H475" s="2"/>
      <c r="I475" s="2"/>
      <c r="J475" s="2"/>
      <c r="K475" s="2"/>
      <c r="L475" s="2"/>
      <c r="M475" s="2"/>
      <c r="N475" s="16"/>
    </row>
    <row r="476">
      <c r="A476" s="81"/>
      <c r="B476" s="2"/>
      <c r="C476" s="2"/>
      <c r="D476" s="2"/>
      <c r="E476" s="2"/>
      <c r="F476" s="2"/>
      <c r="G476" s="2"/>
      <c r="H476" s="2"/>
      <c r="I476" s="2"/>
      <c r="J476" s="2"/>
      <c r="K476" s="2"/>
      <c r="L476" s="2"/>
      <c r="M476" s="2"/>
      <c r="N476" s="16"/>
    </row>
    <row r="477">
      <c r="A477" s="81"/>
      <c r="B477" s="2"/>
      <c r="C477" s="2"/>
      <c r="D477" s="2"/>
      <c r="E477" s="2"/>
      <c r="F477" s="2"/>
      <c r="G477" s="2"/>
      <c r="H477" s="2"/>
      <c r="I477" s="2"/>
      <c r="J477" s="2"/>
      <c r="K477" s="2"/>
      <c r="L477" s="2"/>
      <c r="M477" s="2"/>
      <c r="N477" s="16"/>
    </row>
    <row r="478">
      <c r="A478" s="81"/>
      <c r="B478" s="2"/>
      <c r="C478" s="2"/>
      <c r="D478" s="2"/>
      <c r="E478" s="2"/>
      <c r="F478" s="2"/>
      <c r="G478" s="2"/>
      <c r="H478" s="2"/>
      <c r="I478" s="2"/>
      <c r="J478" s="2"/>
      <c r="K478" s="2"/>
      <c r="L478" s="2"/>
      <c r="M478" s="2"/>
      <c r="N478" s="16"/>
    </row>
    <row r="479">
      <c r="A479" s="81"/>
      <c r="B479" s="2"/>
      <c r="C479" s="2"/>
      <c r="D479" s="2"/>
      <c r="E479" s="2"/>
      <c r="F479" s="2"/>
      <c r="G479" s="2"/>
      <c r="H479" s="2"/>
      <c r="I479" s="2"/>
      <c r="J479" s="2"/>
      <c r="K479" s="2"/>
      <c r="L479" s="2"/>
      <c r="M479" s="2"/>
      <c r="N479" s="16"/>
    </row>
    <row r="480">
      <c r="A480" s="81"/>
      <c r="B480" s="2"/>
      <c r="C480" s="2"/>
      <c r="D480" s="2"/>
      <c r="E480" s="2"/>
      <c r="F480" s="2"/>
      <c r="G480" s="2"/>
      <c r="H480" s="2"/>
      <c r="I480" s="2"/>
      <c r="J480" s="2"/>
      <c r="K480" s="2"/>
      <c r="L480" s="2"/>
      <c r="M480" s="2"/>
      <c r="N480" s="16"/>
    </row>
    <row r="481">
      <c r="A481" s="81"/>
      <c r="B481" s="2"/>
      <c r="C481" s="2"/>
      <c r="D481" s="2"/>
      <c r="E481" s="2"/>
      <c r="F481" s="2"/>
      <c r="G481" s="2"/>
      <c r="H481" s="2"/>
      <c r="I481" s="2"/>
      <c r="J481" s="2"/>
      <c r="K481" s="2"/>
      <c r="L481" s="2"/>
      <c r="M481" s="2"/>
      <c r="N481" s="16"/>
    </row>
    <row r="482">
      <c r="A482" s="81"/>
      <c r="B482" s="2"/>
      <c r="C482" s="2"/>
      <c r="D482" s="2"/>
      <c r="E482" s="2"/>
      <c r="F482" s="2"/>
      <c r="G482" s="2"/>
      <c r="H482" s="2"/>
      <c r="I482" s="2"/>
      <c r="J482" s="2"/>
      <c r="K482" s="2"/>
      <c r="L482" s="2"/>
      <c r="M482" s="2"/>
      <c r="N482" s="16"/>
    </row>
    <row r="483">
      <c r="A483" s="81"/>
      <c r="B483" s="2"/>
      <c r="C483" s="2"/>
      <c r="D483" s="2"/>
      <c r="E483" s="2"/>
      <c r="F483" s="2"/>
      <c r="G483" s="2"/>
      <c r="H483" s="2"/>
      <c r="I483" s="2"/>
      <c r="J483" s="2"/>
      <c r="K483" s="2"/>
      <c r="L483" s="2"/>
      <c r="M483" s="2"/>
      <c r="N483" s="16"/>
    </row>
    <row r="484">
      <c r="A484" s="81"/>
      <c r="B484" s="2"/>
      <c r="C484" s="2"/>
      <c r="D484" s="2"/>
      <c r="E484" s="2"/>
      <c r="F484" s="2"/>
      <c r="G484" s="2"/>
      <c r="H484" s="2"/>
      <c r="I484" s="2"/>
      <c r="J484" s="2"/>
      <c r="K484" s="2"/>
      <c r="L484" s="2"/>
      <c r="M484" s="2"/>
      <c r="N484" s="16"/>
    </row>
    <row r="485">
      <c r="A485" s="81"/>
      <c r="B485" s="2"/>
      <c r="C485" s="2"/>
      <c r="D485" s="2"/>
      <c r="E485" s="2"/>
      <c r="F485" s="2"/>
      <c r="G485" s="2"/>
      <c r="H485" s="2"/>
      <c r="I485" s="2"/>
      <c r="J485" s="2"/>
      <c r="K485" s="2"/>
      <c r="L485" s="2"/>
      <c r="M485" s="2"/>
      <c r="N485" s="16"/>
    </row>
    <row r="486">
      <c r="A486" s="81"/>
      <c r="B486" s="2"/>
      <c r="C486" s="2"/>
      <c r="D486" s="2"/>
      <c r="E486" s="2"/>
      <c r="F486" s="2"/>
      <c r="G486" s="2"/>
      <c r="H486" s="2"/>
      <c r="I486" s="2"/>
      <c r="J486" s="2"/>
      <c r="K486" s="2"/>
      <c r="L486" s="2"/>
      <c r="M486" s="2"/>
      <c r="N486" s="16"/>
    </row>
    <row r="487">
      <c r="A487" s="81"/>
      <c r="B487" s="2"/>
      <c r="C487" s="2"/>
      <c r="D487" s="2"/>
      <c r="E487" s="2"/>
      <c r="F487" s="2"/>
      <c r="G487" s="2"/>
      <c r="H487" s="2"/>
      <c r="I487" s="2"/>
      <c r="J487" s="2"/>
      <c r="K487" s="2"/>
      <c r="L487" s="2"/>
      <c r="M487" s="2"/>
      <c r="N487" s="16"/>
    </row>
    <row r="488">
      <c r="A488" s="81"/>
      <c r="B488" s="2"/>
      <c r="C488" s="2"/>
      <c r="D488" s="2"/>
      <c r="E488" s="2"/>
      <c r="F488" s="2"/>
      <c r="G488" s="2"/>
      <c r="H488" s="2"/>
      <c r="I488" s="2"/>
      <c r="J488" s="2"/>
      <c r="K488" s="2"/>
      <c r="L488" s="2"/>
      <c r="M488" s="2"/>
      <c r="N488" s="16"/>
    </row>
    <row r="489">
      <c r="A489" s="81"/>
      <c r="B489" s="2"/>
      <c r="C489" s="2"/>
      <c r="D489" s="2"/>
      <c r="E489" s="2"/>
      <c r="F489" s="2"/>
      <c r="G489" s="2"/>
      <c r="H489" s="2"/>
      <c r="I489" s="2"/>
      <c r="J489" s="2"/>
      <c r="K489" s="2"/>
      <c r="L489" s="2"/>
      <c r="M489" s="2"/>
      <c r="N489" s="16"/>
    </row>
    <row r="490">
      <c r="A490" s="81"/>
      <c r="B490" s="2"/>
      <c r="C490" s="2"/>
      <c r="D490" s="2"/>
      <c r="E490" s="2"/>
      <c r="F490" s="2"/>
      <c r="G490" s="2"/>
      <c r="H490" s="2"/>
      <c r="I490" s="2"/>
      <c r="J490" s="2"/>
      <c r="K490" s="2"/>
      <c r="L490" s="2"/>
      <c r="M490" s="2"/>
      <c r="N490" s="16"/>
    </row>
    <row r="491">
      <c r="A491" s="81"/>
      <c r="B491" s="2"/>
      <c r="C491" s="2"/>
      <c r="D491" s="2"/>
      <c r="E491" s="2"/>
      <c r="F491" s="2"/>
      <c r="G491" s="2"/>
      <c r="H491" s="2"/>
      <c r="I491" s="2"/>
      <c r="J491" s="2"/>
      <c r="K491" s="2"/>
      <c r="L491" s="2"/>
      <c r="M491" s="2"/>
      <c r="N491" s="16"/>
    </row>
    <row r="492">
      <c r="A492" s="81"/>
      <c r="B492" s="2"/>
      <c r="C492" s="2"/>
      <c r="D492" s="2"/>
      <c r="E492" s="2"/>
      <c r="F492" s="2"/>
      <c r="G492" s="2"/>
      <c r="H492" s="2"/>
      <c r="I492" s="2"/>
      <c r="J492" s="2"/>
      <c r="K492" s="2"/>
      <c r="L492" s="2"/>
      <c r="M492" s="2"/>
      <c r="N492" s="16"/>
    </row>
    <row r="493">
      <c r="A493" s="81"/>
      <c r="B493" s="2"/>
      <c r="C493" s="2"/>
      <c r="D493" s="2"/>
      <c r="E493" s="2"/>
      <c r="F493" s="2"/>
      <c r="G493" s="2"/>
      <c r="H493" s="2"/>
      <c r="I493" s="2"/>
      <c r="J493" s="2"/>
      <c r="K493" s="2"/>
      <c r="L493" s="2"/>
      <c r="M493" s="2"/>
      <c r="N493" s="16"/>
    </row>
    <row r="494">
      <c r="A494" s="81"/>
      <c r="B494" s="2"/>
      <c r="C494" s="2"/>
      <c r="D494" s="2"/>
      <c r="E494" s="2"/>
      <c r="F494" s="2"/>
      <c r="G494" s="2"/>
      <c r="H494" s="2"/>
      <c r="I494" s="2"/>
      <c r="J494" s="2"/>
      <c r="K494" s="2"/>
      <c r="L494" s="2"/>
      <c r="M494" s="2"/>
      <c r="N494" s="16"/>
    </row>
    <row r="495">
      <c r="A495" s="81"/>
      <c r="B495" s="2"/>
      <c r="C495" s="2"/>
      <c r="D495" s="2"/>
      <c r="E495" s="2"/>
      <c r="F495" s="2"/>
      <c r="G495" s="2"/>
      <c r="H495" s="2"/>
      <c r="I495" s="2"/>
      <c r="J495" s="2"/>
      <c r="K495" s="2"/>
      <c r="L495" s="2"/>
      <c r="M495" s="2"/>
      <c r="N495" s="16"/>
    </row>
    <row r="496">
      <c r="A496" s="81"/>
      <c r="B496" s="2"/>
      <c r="C496" s="2"/>
      <c r="D496" s="2"/>
      <c r="E496" s="2"/>
      <c r="F496" s="2"/>
      <c r="G496" s="2"/>
      <c r="H496" s="2"/>
      <c r="I496" s="2"/>
      <c r="J496" s="2"/>
      <c r="K496" s="2"/>
      <c r="L496" s="2"/>
      <c r="M496" s="2"/>
      <c r="N496" s="16"/>
    </row>
    <row r="497">
      <c r="A497" s="81"/>
      <c r="B497" s="2"/>
      <c r="C497" s="2"/>
      <c r="D497" s="2"/>
      <c r="E497" s="2"/>
      <c r="F497" s="2"/>
      <c r="G497" s="2"/>
      <c r="H497" s="2"/>
      <c r="I497" s="2"/>
      <c r="J497" s="2"/>
      <c r="K497" s="2"/>
      <c r="L497" s="2"/>
      <c r="M497" s="2"/>
      <c r="N497" s="16"/>
    </row>
    <row r="498">
      <c r="A498" s="81"/>
      <c r="B498" s="2"/>
      <c r="C498" s="2"/>
      <c r="D498" s="2"/>
      <c r="E498" s="2"/>
      <c r="F498" s="2"/>
      <c r="G498" s="2"/>
      <c r="H498" s="2"/>
      <c r="I498" s="2"/>
      <c r="J498" s="2"/>
      <c r="K498" s="2"/>
      <c r="L498" s="2"/>
      <c r="M498" s="2"/>
      <c r="N498" s="16"/>
    </row>
    <row r="499">
      <c r="A499" s="81"/>
      <c r="B499" s="2"/>
      <c r="C499" s="2"/>
      <c r="D499" s="2"/>
      <c r="E499" s="2"/>
      <c r="F499" s="2"/>
      <c r="G499" s="2"/>
      <c r="H499" s="2"/>
      <c r="I499" s="2"/>
      <c r="J499" s="2"/>
      <c r="K499" s="2"/>
      <c r="L499" s="2"/>
      <c r="M499" s="2"/>
      <c r="N499" s="16"/>
    </row>
    <row r="500">
      <c r="A500" s="81"/>
      <c r="B500" s="2"/>
      <c r="C500" s="2"/>
      <c r="D500" s="2"/>
      <c r="E500" s="2"/>
      <c r="F500" s="2"/>
      <c r="G500" s="2"/>
      <c r="H500" s="2"/>
      <c r="I500" s="2"/>
      <c r="J500" s="2"/>
      <c r="K500" s="2"/>
      <c r="L500" s="2"/>
      <c r="M500" s="2"/>
      <c r="N500" s="16"/>
    </row>
    <row r="501">
      <c r="A501" s="81"/>
      <c r="B501" s="2"/>
      <c r="C501" s="2"/>
      <c r="D501" s="2"/>
      <c r="E501" s="2"/>
      <c r="F501" s="2"/>
      <c r="G501" s="2"/>
      <c r="H501" s="2"/>
      <c r="I501" s="2"/>
      <c r="J501" s="2"/>
      <c r="K501" s="2"/>
      <c r="L501" s="2"/>
      <c r="M501" s="2"/>
      <c r="N501" s="16"/>
    </row>
    <row r="502">
      <c r="A502" s="81"/>
      <c r="B502" s="2"/>
      <c r="C502" s="2"/>
      <c r="D502" s="2"/>
      <c r="E502" s="2"/>
      <c r="F502" s="2"/>
      <c r="G502" s="2"/>
      <c r="H502" s="2"/>
      <c r="I502" s="2"/>
      <c r="J502" s="2"/>
      <c r="K502" s="2"/>
      <c r="L502" s="2"/>
      <c r="M502" s="2"/>
      <c r="N502" s="16"/>
    </row>
    <row r="503">
      <c r="A503" s="81"/>
      <c r="B503" s="2"/>
      <c r="C503" s="2"/>
      <c r="D503" s="2"/>
      <c r="E503" s="2"/>
      <c r="F503" s="2"/>
      <c r="G503" s="2"/>
      <c r="H503" s="2"/>
      <c r="I503" s="2"/>
      <c r="J503" s="2"/>
      <c r="K503" s="2"/>
      <c r="L503" s="2"/>
      <c r="M503" s="2"/>
      <c r="N503" s="16"/>
    </row>
    <row r="504">
      <c r="A504" s="81"/>
      <c r="B504" s="2"/>
      <c r="C504" s="2"/>
      <c r="D504" s="2"/>
      <c r="E504" s="2"/>
      <c r="F504" s="2"/>
      <c r="G504" s="2"/>
      <c r="H504" s="2"/>
      <c r="I504" s="2"/>
      <c r="J504" s="2"/>
      <c r="K504" s="2"/>
      <c r="L504" s="2"/>
      <c r="M504" s="2"/>
      <c r="N504" s="16"/>
    </row>
    <row r="505">
      <c r="A505" s="81"/>
      <c r="B505" s="2"/>
      <c r="C505" s="2"/>
      <c r="D505" s="2"/>
      <c r="E505" s="2"/>
      <c r="F505" s="2"/>
      <c r="G505" s="2"/>
      <c r="H505" s="2"/>
      <c r="I505" s="2"/>
      <c r="J505" s="2"/>
      <c r="K505" s="2"/>
      <c r="L505" s="2"/>
      <c r="M505" s="2"/>
      <c r="N505" s="16"/>
    </row>
    <row r="506">
      <c r="A506" s="81"/>
      <c r="B506" s="2"/>
      <c r="C506" s="2"/>
      <c r="D506" s="2"/>
      <c r="E506" s="2"/>
      <c r="F506" s="2"/>
      <c r="G506" s="2"/>
      <c r="H506" s="2"/>
      <c r="I506" s="2"/>
      <c r="J506" s="2"/>
      <c r="K506" s="2"/>
      <c r="L506" s="2"/>
      <c r="M506" s="2"/>
      <c r="N506" s="16"/>
    </row>
    <row r="507">
      <c r="A507" s="81"/>
      <c r="B507" s="2"/>
      <c r="C507" s="2"/>
      <c r="D507" s="2"/>
      <c r="E507" s="2"/>
      <c r="F507" s="2"/>
      <c r="G507" s="2"/>
      <c r="H507" s="2"/>
      <c r="I507" s="2"/>
      <c r="J507" s="2"/>
      <c r="K507" s="2"/>
      <c r="L507" s="2"/>
      <c r="M507" s="2"/>
      <c r="N507" s="16"/>
    </row>
    <row r="508">
      <c r="A508" s="81"/>
      <c r="B508" s="2"/>
      <c r="C508" s="2"/>
      <c r="D508" s="2"/>
      <c r="E508" s="2"/>
      <c r="F508" s="2"/>
      <c r="G508" s="2"/>
      <c r="H508" s="2"/>
      <c r="I508" s="2"/>
      <c r="J508" s="2"/>
      <c r="K508" s="2"/>
      <c r="L508" s="2"/>
      <c r="M508" s="2"/>
      <c r="N508" s="16"/>
    </row>
    <row r="509">
      <c r="A509" s="81"/>
      <c r="B509" s="2"/>
      <c r="C509" s="2"/>
      <c r="D509" s="2"/>
      <c r="E509" s="2"/>
      <c r="F509" s="2"/>
      <c r="G509" s="2"/>
      <c r="H509" s="2"/>
      <c r="I509" s="2"/>
      <c r="J509" s="2"/>
      <c r="K509" s="2"/>
      <c r="L509" s="2"/>
      <c r="M509" s="2"/>
      <c r="N509" s="16"/>
    </row>
    <row r="510">
      <c r="A510" s="81"/>
      <c r="B510" s="2"/>
      <c r="C510" s="2"/>
      <c r="D510" s="2"/>
      <c r="E510" s="2"/>
      <c r="F510" s="2"/>
      <c r="G510" s="2"/>
      <c r="H510" s="2"/>
      <c r="I510" s="2"/>
      <c r="J510" s="2"/>
      <c r="K510" s="2"/>
      <c r="L510" s="2"/>
      <c r="M510" s="2"/>
      <c r="N510" s="16"/>
    </row>
    <row r="511">
      <c r="A511" s="81"/>
      <c r="B511" s="2"/>
      <c r="C511" s="2"/>
      <c r="D511" s="2"/>
      <c r="E511" s="2"/>
      <c r="F511" s="2"/>
      <c r="G511" s="2"/>
      <c r="H511" s="2"/>
      <c r="I511" s="2"/>
      <c r="J511" s="2"/>
      <c r="K511" s="2"/>
      <c r="L511" s="2"/>
      <c r="M511" s="2"/>
      <c r="N511" s="16"/>
    </row>
    <row r="512">
      <c r="A512" s="81"/>
      <c r="B512" s="2"/>
      <c r="C512" s="2"/>
      <c r="D512" s="2"/>
      <c r="E512" s="2"/>
      <c r="F512" s="2"/>
      <c r="G512" s="2"/>
      <c r="H512" s="2"/>
      <c r="I512" s="2"/>
      <c r="J512" s="2"/>
      <c r="K512" s="2"/>
      <c r="L512" s="2"/>
      <c r="M512" s="2"/>
      <c r="N512" s="16"/>
    </row>
    <row r="513">
      <c r="A513" s="81"/>
      <c r="B513" s="2"/>
      <c r="C513" s="2"/>
      <c r="D513" s="2"/>
      <c r="E513" s="2"/>
      <c r="F513" s="2"/>
      <c r="G513" s="2"/>
      <c r="H513" s="2"/>
      <c r="I513" s="2"/>
      <c r="J513" s="2"/>
      <c r="K513" s="2"/>
      <c r="L513" s="2"/>
      <c r="M513" s="2"/>
      <c r="N513" s="16"/>
    </row>
    <row r="514">
      <c r="A514" s="81"/>
      <c r="B514" s="2"/>
      <c r="C514" s="2"/>
      <c r="D514" s="2"/>
      <c r="E514" s="2"/>
      <c r="F514" s="2"/>
      <c r="G514" s="2"/>
      <c r="H514" s="2"/>
      <c r="I514" s="2"/>
      <c r="J514" s="2"/>
      <c r="K514" s="2"/>
      <c r="L514" s="2"/>
      <c r="M514" s="2"/>
      <c r="N514" s="16"/>
    </row>
    <row r="515">
      <c r="A515" s="81"/>
      <c r="B515" s="2"/>
      <c r="C515" s="2"/>
      <c r="D515" s="2"/>
      <c r="E515" s="2"/>
      <c r="F515" s="2"/>
      <c r="G515" s="2"/>
      <c r="H515" s="2"/>
      <c r="I515" s="2"/>
      <c r="J515" s="2"/>
      <c r="K515" s="2"/>
      <c r="L515" s="2"/>
      <c r="M515" s="2"/>
      <c r="N515" s="16"/>
    </row>
    <row r="516">
      <c r="A516" s="81"/>
      <c r="B516" s="2"/>
      <c r="C516" s="2"/>
      <c r="D516" s="2"/>
      <c r="E516" s="2"/>
      <c r="F516" s="2"/>
      <c r="G516" s="2"/>
      <c r="H516" s="2"/>
      <c r="I516" s="2"/>
      <c r="J516" s="2"/>
      <c r="K516" s="2"/>
      <c r="L516" s="2"/>
      <c r="M516" s="2"/>
      <c r="N516" s="16"/>
    </row>
    <row r="517">
      <c r="A517" s="81"/>
      <c r="B517" s="2"/>
      <c r="C517" s="2"/>
      <c r="D517" s="2"/>
      <c r="E517" s="2"/>
      <c r="F517" s="2"/>
      <c r="G517" s="2"/>
      <c r="H517" s="2"/>
      <c r="I517" s="2"/>
      <c r="J517" s="2"/>
      <c r="K517" s="2"/>
      <c r="L517" s="2"/>
      <c r="M517" s="2"/>
      <c r="N517" s="16"/>
    </row>
    <row r="518">
      <c r="A518" s="81"/>
      <c r="B518" s="2"/>
      <c r="C518" s="2"/>
      <c r="D518" s="2"/>
      <c r="E518" s="2"/>
      <c r="F518" s="2"/>
      <c r="G518" s="2"/>
      <c r="H518" s="2"/>
      <c r="I518" s="2"/>
      <c r="J518" s="2"/>
      <c r="K518" s="2"/>
      <c r="L518" s="2"/>
      <c r="M518" s="2"/>
      <c r="N518" s="16"/>
    </row>
    <row r="519">
      <c r="A519" s="81"/>
      <c r="B519" s="2"/>
      <c r="C519" s="2"/>
      <c r="D519" s="2"/>
      <c r="E519" s="2"/>
      <c r="F519" s="2"/>
      <c r="G519" s="2"/>
      <c r="H519" s="2"/>
      <c r="I519" s="2"/>
      <c r="J519" s="2"/>
      <c r="K519" s="2"/>
      <c r="L519" s="2"/>
      <c r="M519" s="2"/>
      <c r="N519" s="16"/>
    </row>
    <row r="520">
      <c r="A520" s="81"/>
      <c r="B520" s="2"/>
      <c r="C520" s="2"/>
      <c r="D520" s="2"/>
      <c r="E520" s="2"/>
      <c r="F520" s="2"/>
      <c r="G520" s="2"/>
      <c r="H520" s="2"/>
      <c r="I520" s="2"/>
      <c r="J520" s="2"/>
      <c r="K520" s="2"/>
      <c r="L520" s="2"/>
      <c r="M520" s="2"/>
      <c r="N520" s="16"/>
    </row>
    <row r="521">
      <c r="A521" s="81"/>
      <c r="B521" s="2"/>
      <c r="C521" s="2"/>
      <c r="D521" s="2"/>
      <c r="E521" s="2"/>
      <c r="F521" s="2"/>
      <c r="G521" s="2"/>
      <c r="H521" s="2"/>
      <c r="I521" s="2"/>
      <c r="J521" s="2"/>
      <c r="K521" s="2"/>
      <c r="L521" s="2"/>
      <c r="M521" s="2"/>
      <c r="N521" s="16"/>
    </row>
    <row r="522">
      <c r="A522" s="81"/>
      <c r="B522" s="2"/>
      <c r="C522" s="2"/>
      <c r="D522" s="2"/>
      <c r="E522" s="2"/>
      <c r="F522" s="2"/>
      <c r="G522" s="2"/>
      <c r="H522" s="2"/>
      <c r="I522" s="2"/>
      <c r="J522" s="2"/>
      <c r="K522" s="2"/>
      <c r="L522" s="2"/>
      <c r="M522" s="2"/>
      <c r="N522" s="16"/>
    </row>
    <row r="523">
      <c r="A523" s="81"/>
      <c r="B523" s="2"/>
      <c r="C523" s="2"/>
      <c r="D523" s="2"/>
      <c r="E523" s="2"/>
      <c r="F523" s="2"/>
      <c r="G523" s="2"/>
      <c r="H523" s="2"/>
      <c r="I523" s="2"/>
      <c r="J523" s="2"/>
      <c r="K523" s="2"/>
      <c r="L523" s="2"/>
      <c r="M523" s="2"/>
      <c r="N523" s="16"/>
    </row>
    <row r="524">
      <c r="A524" s="81"/>
      <c r="B524" s="2"/>
      <c r="C524" s="2"/>
      <c r="D524" s="2"/>
      <c r="E524" s="2"/>
      <c r="F524" s="2"/>
      <c r="G524" s="2"/>
      <c r="H524" s="2"/>
      <c r="I524" s="2"/>
      <c r="J524" s="2"/>
      <c r="K524" s="2"/>
      <c r="L524" s="2"/>
      <c r="M524" s="2"/>
      <c r="N524" s="16"/>
    </row>
    <row r="525">
      <c r="A525" s="81"/>
      <c r="B525" s="2"/>
      <c r="C525" s="2"/>
      <c r="D525" s="2"/>
      <c r="E525" s="2"/>
      <c r="F525" s="2"/>
      <c r="G525" s="2"/>
      <c r="H525" s="2"/>
      <c r="I525" s="2"/>
      <c r="J525" s="2"/>
      <c r="K525" s="2"/>
      <c r="L525" s="2"/>
      <c r="M525" s="2"/>
      <c r="N525" s="16"/>
    </row>
    <row r="526">
      <c r="A526" s="81"/>
      <c r="B526" s="2"/>
      <c r="C526" s="2"/>
      <c r="D526" s="2"/>
      <c r="E526" s="2"/>
      <c r="F526" s="2"/>
      <c r="G526" s="2"/>
      <c r="H526" s="2"/>
      <c r="I526" s="2"/>
      <c r="J526" s="2"/>
      <c r="K526" s="2"/>
      <c r="L526" s="2"/>
      <c r="M526" s="2"/>
      <c r="N526" s="16"/>
    </row>
    <row r="527">
      <c r="A527" s="81"/>
      <c r="B527" s="2"/>
      <c r="C527" s="2"/>
      <c r="D527" s="2"/>
      <c r="E527" s="2"/>
      <c r="F527" s="2"/>
      <c r="G527" s="2"/>
      <c r="H527" s="2"/>
      <c r="I527" s="2"/>
      <c r="J527" s="2"/>
      <c r="K527" s="2"/>
      <c r="L527" s="2"/>
      <c r="M527" s="2"/>
      <c r="N527" s="16"/>
    </row>
    <row r="528">
      <c r="A528" s="81"/>
      <c r="B528" s="2"/>
      <c r="C528" s="2"/>
      <c r="D528" s="2"/>
      <c r="E528" s="2"/>
      <c r="F528" s="2"/>
      <c r="G528" s="2"/>
      <c r="H528" s="2"/>
      <c r="I528" s="2"/>
      <c r="J528" s="2"/>
      <c r="K528" s="2"/>
      <c r="L528" s="2"/>
      <c r="M528" s="2"/>
      <c r="N528" s="16"/>
    </row>
    <row r="529">
      <c r="A529" s="81"/>
      <c r="B529" s="2"/>
      <c r="C529" s="2"/>
      <c r="D529" s="2"/>
      <c r="E529" s="2"/>
      <c r="F529" s="2"/>
      <c r="G529" s="2"/>
      <c r="H529" s="2"/>
      <c r="I529" s="2"/>
      <c r="J529" s="2"/>
      <c r="K529" s="2"/>
      <c r="L529" s="2"/>
      <c r="M529" s="2"/>
      <c r="N529" s="16"/>
    </row>
    <row r="530">
      <c r="A530" s="81"/>
      <c r="B530" s="2"/>
      <c r="C530" s="2"/>
      <c r="D530" s="2"/>
      <c r="E530" s="2"/>
      <c r="F530" s="2"/>
      <c r="G530" s="2"/>
      <c r="H530" s="2"/>
      <c r="I530" s="2"/>
      <c r="J530" s="2"/>
      <c r="K530" s="2"/>
      <c r="L530" s="2"/>
      <c r="M530" s="2"/>
      <c r="N530" s="16"/>
    </row>
    <row r="531">
      <c r="A531" s="81"/>
      <c r="B531" s="2"/>
      <c r="C531" s="2"/>
      <c r="D531" s="2"/>
      <c r="E531" s="2"/>
      <c r="F531" s="2"/>
      <c r="G531" s="2"/>
      <c r="H531" s="2"/>
      <c r="I531" s="2"/>
      <c r="J531" s="2"/>
      <c r="K531" s="2"/>
      <c r="L531" s="2"/>
      <c r="M531" s="2"/>
      <c r="N531" s="16"/>
    </row>
    <row r="532">
      <c r="A532" s="81"/>
      <c r="B532" s="2"/>
      <c r="C532" s="2"/>
      <c r="D532" s="2"/>
      <c r="E532" s="2"/>
      <c r="F532" s="2"/>
      <c r="G532" s="2"/>
      <c r="H532" s="2"/>
      <c r="I532" s="2"/>
      <c r="J532" s="2"/>
      <c r="K532" s="2"/>
      <c r="L532" s="2"/>
      <c r="M532" s="2"/>
      <c r="N532" s="16"/>
    </row>
    <row r="533">
      <c r="A533" s="81"/>
      <c r="B533" s="2"/>
      <c r="C533" s="2"/>
      <c r="D533" s="2"/>
      <c r="E533" s="2"/>
      <c r="F533" s="2"/>
      <c r="G533" s="2"/>
      <c r="H533" s="2"/>
      <c r="I533" s="2"/>
      <c r="J533" s="2"/>
      <c r="K533" s="2"/>
      <c r="L533" s="2"/>
      <c r="M533" s="2"/>
      <c r="N533" s="16"/>
    </row>
    <row r="534">
      <c r="A534" s="81"/>
      <c r="B534" s="2"/>
      <c r="C534" s="2"/>
      <c r="D534" s="2"/>
      <c r="E534" s="2"/>
      <c r="F534" s="2"/>
      <c r="G534" s="2"/>
      <c r="H534" s="2"/>
      <c r="I534" s="2"/>
      <c r="J534" s="2"/>
      <c r="K534" s="2"/>
      <c r="L534" s="2"/>
      <c r="M534" s="2"/>
      <c r="N534" s="16"/>
    </row>
    <row r="535">
      <c r="A535" s="81"/>
      <c r="B535" s="2"/>
      <c r="C535" s="2"/>
      <c r="D535" s="2"/>
      <c r="E535" s="2"/>
      <c r="F535" s="2"/>
      <c r="G535" s="2"/>
      <c r="H535" s="2"/>
      <c r="I535" s="2"/>
      <c r="J535" s="2"/>
      <c r="K535" s="2"/>
      <c r="L535" s="2"/>
      <c r="M535" s="2"/>
      <c r="N535" s="16"/>
    </row>
  </sheetData>
  <drawing r:id="rId1"/>
</worksheet>
</file>