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EST_17.04.2025\ALCO_SENEDLER\Spesifikasiya\"/>
    </mc:Choice>
  </mc:AlternateContent>
  <bookViews>
    <workbookView xWindow="0" yWindow="0" windowWidth="23040" windowHeight="9192" activeTab="2"/>
  </bookViews>
  <sheets>
    <sheet name="Sheet1" sheetId="1" r:id="rId1"/>
    <sheet name="Sheet2" sheetId="2" r:id="rId2"/>
    <sheet name="Standart" sheetId="3" r:id="rId3"/>
    <sheet name="Premium" sheetId="4" r:id="rId4"/>
    <sheet name="OEM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6" l="1"/>
  <c r="N14" i="6"/>
  <c r="N13" i="6"/>
  <c r="R15" i="6"/>
  <c r="R14" i="6"/>
  <c r="R13" i="6"/>
  <c r="V15" i="6"/>
  <c r="V14" i="6"/>
  <c r="V13" i="6"/>
  <c r="Z15" i="6"/>
  <c r="Z14" i="6"/>
  <c r="Z13" i="6"/>
  <c r="AD15" i="6"/>
  <c r="AD14" i="6"/>
  <c r="AD13" i="6"/>
  <c r="AH15" i="6"/>
  <c r="AH14" i="6"/>
  <c r="AH13" i="6"/>
  <c r="AL15" i="6"/>
  <c r="AL14" i="6"/>
  <c r="AL13" i="6"/>
  <c r="AP15" i="6"/>
  <c r="AP14" i="6"/>
  <c r="AP13" i="6"/>
  <c r="AT15" i="6"/>
  <c r="AT14" i="6"/>
  <c r="AT13" i="6"/>
  <c r="AX15" i="6"/>
  <c r="AX14" i="6"/>
  <c r="AX13" i="6"/>
  <c r="BB15" i="6"/>
  <c r="BB14" i="6"/>
  <c r="BB13" i="6"/>
  <c r="BF15" i="6"/>
  <c r="BF14" i="6"/>
  <c r="BF13" i="6"/>
  <c r="I15" i="6"/>
  <c r="I14" i="6"/>
  <c r="I13" i="6"/>
  <c r="BF17" i="6"/>
  <c r="BB17" i="6"/>
  <c r="AX17" i="6"/>
  <c r="AT17" i="6"/>
  <c r="AP17" i="6"/>
  <c r="AL17" i="6"/>
  <c r="AH17" i="6"/>
  <c r="AD17" i="6"/>
  <c r="Z17" i="6"/>
  <c r="V17" i="6"/>
  <c r="R17" i="6"/>
  <c r="N17" i="6"/>
  <c r="I17" i="6"/>
  <c r="BF16" i="6"/>
  <c r="BB16" i="6"/>
  <c r="AX16" i="6"/>
  <c r="AT16" i="6"/>
  <c r="AP16" i="6"/>
  <c r="AL16" i="6"/>
  <c r="AH16" i="6"/>
  <c r="AD16" i="6"/>
  <c r="Z16" i="6"/>
  <c r="V16" i="6"/>
  <c r="R16" i="6"/>
  <c r="N16" i="6"/>
  <c r="I16" i="6"/>
  <c r="N17" i="4"/>
  <c r="N16" i="4"/>
  <c r="N15" i="4"/>
  <c r="N14" i="4"/>
  <c r="N13" i="4"/>
  <c r="R17" i="4"/>
  <c r="R16" i="4"/>
  <c r="R15" i="4"/>
  <c r="R14" i="4"/>
  <c r="R13" i="4"/>
  <c r="V17" i="4"/>
  <c r="V16" i="4"/>
  <c r="V15" i="4"/>
  <c r="V14" i="4"/>
  <c r="V13" i="4"/>
  <c r="Z17" i="4"/>
  <c r="Z16" i="4"/>
  <c r="Z15" i="4"/>
  <c r="Z14" i="4"/>
  <c r="Z13" i="4"/>
  <c r="AD17" i="4"/>
  <c r="AD15" i="4"/>
  <c r="AD16" i="4"/>
  <c r="AD14" i="4"/>
  <c r="AD13" i="4"/>
  <c r="AH17" i="4"/>
  <c r="AH16" i="4"/>
  <c r="AH15" i="4"/>
  <c r="AH14" i="4"/>
  <c r="AH13" i="4"/>
  <c r="AL17" i="4"/>
  <c r="AL16" i="4"/>
  <c r="AL15" i="4"/>
  <c r="AL14" i="4"/>
  <c r="AL13" i="4"/>
  <c r="AP17" i="4"/>
  <c r="AP16" i="4"/>
  <c r="AP15" i="4"/>
  <c r="AP14" i="4"/>
  <c r="AP13" i="4"/>
  <c r="AT17" i="4"/>
  <c r="AT16" i="4"/>
  <c r="AT15" i="4"/>
  <c r="AT14" i="4"/>
  <c r="AT13" i="4"/>
  <c r="AX17" i="4"/>
  <c r="AX16" i="4"/>
  <c r="AX15" i="4"/>
  <c r="AX14" i="4"/>
  <c r="AX13" i="4"/>
  <c r="BB17" i="4"/>
  <c r="BB16" i="4"/>
  <c r="BB15" i="4"/>
  <c r="BB14" i="4"/>
  <c r="BG17" i="4"/>
  <c r="BG16" i="4"/>
  <c r="BG15" i="4"/>
  <c r="BG14" i="4"/>
  <c r="BG13" i="4"/>
  <c r="BB13" i="4"/>
  <c r="I17" i="4"/>
  <c r="I16" i="4"/>
  <c r="I15" i="4"/>
  <c r="I14" i="4"/>
  <c r="I13" i="4"/>
  <c r="AL16" i="3"/>
  <c r="AL15" i="3"/>
  <c r="AL14" i="3"/>
  <c r="AL13" i="3"/>
  <c r="AP16" i="3"/>
  <c r="AP15" i="3"/>
  <c r="AP14" i="3"/>
  <c r="AP13" i="3"/>
  <c r="AT16" i="3"/>
  <c r="AT15" i="3"/>
  <c r="AT14" i="3"/>
  <c r="AT13" i="3"/>
  <c r="AH16" i="3"/>
  <c r="AH15" i="3"/>
  <c r="AH14" i="3"/>
  <c r="AH13" i="3"/>
  <c r="AD16" i="3"/>
  <c r="AD15" i="3"/>
  <c r="AD14" i="3"/>
  <c r="AD13" i="3"/>
  <c r="Z16" i="3"/>
  <c r="Z15" i="3"/>
  <c r="Z14" i="3"/>
  <c r="Z13" i="3"/>
  <c r="AX16" i="3"/>
  <c r="AX15" i="3"/>
  <c r="AX14" i="3"/>
  <c r="AX13" i="3"/>
  <c r="BB16" i="3"/>
  <c r="BB15" i="3"/>
  <c r="BB14" i="3"/>
  <c r="BB13" i="3"/>
  <c r="BG16" i="3"/>
  <c r="BG15" i="3"/>
  <c r="BG14" i="3"/>
  <c r="BG13" i="3"/>
  <c r="V16" i="3"/>
  <c r="V15" i="3"/>
  <c r="V14" i="3"/>
  <c r="V13" i="3"/>
  <c r="R16" i="3"/>
  <c r="R15" i="3"/>
  <c r="R14" i="3"/>
  <c r="R13" i="3"/>
  <c r="N16" i="3"/>
  <c r="N15" i="3"/>
  <c r="N14" i="3"/>
  <c r="N13" i="3"/>
  <c r="I16" i="3"/>
  <c r="I15" i="3"/>
  <c r="I14" i="3"/>
  <c r="I13" i="3"/>
  <c r="D29" i="1" l="1"/>
  <c r="E28" i="1"/>
  <c r="F28" i="1" s="1"/>
  <c r="E27" i="1"/>
  <c r="F27" i="1" s="1"/>
  <c r="E26" i="1"/>
  <c r="F26" i="1" s="1"/>
  <c r="E25" i="1"/>
  <c r="F25" i="1" s="1"/>
  <c r="E24" i="1"/>
  <c r="F24" i="1" s="1"/>
  <c r="F29" i="1" s="1"/>
  <c r="G29" i="1" s="1"/>
  <c r="D20" i="1"/>
  <c r="E19" i="1"/>
  <c r="F19" i="1" s="1"/>
  <c r="E18" i="1"/>
  <c r="F18" i="1" s="1"/>
  <c r="E17" i="1"/>
  <c r="F17" i="1" s="1"/>
  <c r="E16" i="1"/>
  <c r="F16" i="1" s="1"/>
  <c r="F15" i="1"/>
  <c r="F20" i="1" s="1"/>
  <c r="G20" i="1" s="1"/>
  <c r="E15" i="1"/>
  <c r="D11" i="1"/>
  <c r="E10" i="1"/>
  <c r="F10" i="1" s="1"/>
  <c r="E9" i="1"/>
  <c r="F9" i="1" s="1"/>
  <c r="E8" i="1"/>
  <c r="F8" i="1" s="1"/>
  <c r="E7" i="1"/>
  <c r="F7" i="1" s="1"/>
  <c r="F11" i="1" s="1"/>
  <c r="G11" i="1" s="1"/>
</calcChain>
</file>

<file path=xl/sharedStrings.xml><?xml version="1.0" encoding="utf-8"?>
<sst xmlns="http://schemas.openxmlformats.org/spreadsheetml/2006/main" count="1583" uniqueCount="108">
  <si>
    <t>Engine oil</t>
  </si>
  <si>
    <t>Maximum, Aminol, Eurotec, Tomoil, Avtoil</t>
  </si>
  <si>
    <t>Passenger car motor oil (PCMO)</t>
  </si>
  <si>
    <t>Product</t>
  </si>
  <si>
    <t>Base Oil /Additive</t>
  </si>
  <si>
    <t>Percent %</t>
  </si>
  <si>
    <t>0W-20 SP/GF-6A</t>
  </si>
  <si>
    <t>BE</t>
  </si>
  <si>
    <t>DS</t>
  </si>
  <si>
    <t>ML</t>
  </si>
  <si>
    <t>MO</t>
  </si>
  <si>
    <t>Standart</t>
  </si>
  <si>
    <t xml:space="preserve">ILSAC GF-6A, GF-6B, GF-5 and API SP, SN Plus </t>
  </si>
  <si>
    <t>CT</t>
  </si>
  <si>
    <t>SX</t>
  </si>
  <si>
    <t>ZX</t>
  </si>
  <si>
    <t>Premium</t>
  </si>
  <si>
    <t>PA</t>
  </si>
  <si>
    <t>OEM</t>
  </si>
  <si>
    <t>ID</t>
  </si>
  <si>
    <t>Product name</t>
  </si>
  <si>
    <t>Material Specifications</t>
  </si>
  <si>
    <t>1 L</t>
  </si>
  <si>
    <t>1.5 L</t>
  </si>
  <si>
    <t>4 L</t>
  </si>
  <si>
    <t>5 L</t>
  </si>
  <si>
    <t>6 L</t>
  </si>
  <si>
    <t>7 L</t>
  </si>
  <si>
    <t>10 L</t>
  </si>
  <si>
    <t>18 L</t>
  </si>
  <si>
    <t>20 L</t>
  </si>
  <si>
    <t>25 L</t>
  </si>
  <si>
    <t>30 L</t>
  </si>
  <si>
    <t>60 L</t>
  </si>
  <si>
    <t>200 L</t>
  </si>
  <si>
    <t>1000 L</t>
  </si>
  <si>
    <t xml:space="preserve">4 kg </t>
  </si>
  <si>
    <t xml:space="preserve">9 kg </t>
  </si>
  <si>
    <t xml:space="preserve">14 kg </t>
  </si>
  <si>
    <t xml:space="preserve">18 kg </t>
  </si>
  <si>
    <t xml:space="preserve">180 kg </t>
  </si>
  <si>
    <t>0.25 L</t>
  </si>
  <si>
    <t>0.5 L</t>
  </si>
  <si>
    <t>AL/EO-0001</t>
  </si>
  <si>
    <t>Aminol™ Special Generation SLG1 0W-20 SP/GF-6A</t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</si>
  <si>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falqa 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-Kipaj 12x1L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-1.14x1.14</t>
    </r>
  </si>
  <si>
    <t>*</t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</si>
  <si>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-Kipaj 4x4L, 5x4L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</si>
  <si>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-Kipaj 4x5L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</si>
  <si>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-Kipaj 3x6L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</si>
  <si>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Göy (El Plastik)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-Kipaj 3x7L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</si>
  <si>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Göy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Optimal 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</si>
  <si>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falqa 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</si>
  <si>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1"/>
        <color theme="1"/>
        <rFont val="Calibri"/>
        <family val="2"/>
        <scheme val="minor"/>
      </rPr>
      <t xml:space="preserve">- Açıq göy Slindrik  (ALCO)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-Qırmızı  falqa 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</si>
  <si>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 xml:space="preserve">Çəllək </t>
    </r>
    <r>
      <rPr>
        <sz val="11"/>
        <color theme="1"/>
        <rFont val="Calibri"/>
        <family val="2"/>
        <scheme val="minor"/>
      </rPr>
      <t xml:space="preserve">- Ağ&amp;Göy ( Aminol Logolu )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-Çəllək qapağı 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</si>
  <si>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İBC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scheme val="minor"/>
      </rPr>
      <t xml:space="preserve">- Qara (İBC)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scheme val="minor"/>
      </rPr>
      <t xml:space="preserve">- Ağ etiket 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scheme val="minor"/>
      </rPr>
      <t>-*</t>
    </r>
  </si>
  <si>
    <t>Məhsulun İD</t>
  </si>
  <si>
    <t>Məhsulun adı</t>
  </si>
  <si>
    <t>Spesifikasiyanın adı</t>
  </si>
  <si>
    <t>Spesifikasiyanın tipi</t>
  </si>
  <si>
    <t>Material</t>
  </si>
  <si>
    <t>Xarakteristika</t>
  </si>
  <si>
    <t>Ölçü vahidi</t>
  </si>
  <si>
    <t>Miqdar</t>
  </si>
  <si>
    <t xml:space="preserve">Aminol™ SG SLG1 0W-20 SP/GF-6A, Standart1 </t>
  </si>
  <si>
    <t>Bidon</t>
  </si>
  <si>
    <t>ədəd</t>
  </si>
  <si>
    <r>
      <rPr>
        <b/>
        <sz val="11"/>
        <color theme="1"/>
        <rFont val="Calibri"/>
        <family val="2"/>
        <scheme val="minor"/>
      </rPr>
      <t>İBC</t>
    </r>
    <r>
      <rPr>
        <sz val="11"/>
        <color theme="1"/>
        <rFont val="Calibri"/>
        <family val="2"/>
        <charset val="186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Qapaq</t>
    </r>
    <r>
      <rPr>
        <sz val="11"/>
        <color theme="1"/>
        <rFont val="Calibri"/>
        <family val="2"/>
        <charset val="186"/>
        <scheme val="minor"/>
      </rPr>
      <t xml:space="preserve">- Qara (İBC)
</t>
    </r>
    <r>
      <rPr>
        <b/>
        <sz val="11"/>
        <color theme="1"/>
        <rFont val="Calibri"/>
        <family val="2"/>
        <scheme val="minor"/>
      </rPr>
      <t>Etiket</t>
    </r>
    <r>
      <rPr>
        <sz val="11"/>
        <color theme="1"/>
        <rFont val="Calibri"/>
        <family val="2"/>
        <charset val="186"/>
        <scheme val="minor"/>
      </rPr>
      <t xml:space="preserve">- Ağ etiket 
</t>
    </r>
    <r>
      <rPr>
        <b/>
        <sz val="11"/>
        <color theme="1"/>
        <rFont val="Calibri"/>
        <family val="2"/>
        <scheme val="minor"/>
      </rPr>
      <t>Qutu</t>
    </r>
    <r>
      <rPr>
        <sz val="11"/>
        <color theme="1"/>
        <rFont val="Calibri"/>
        <family val="2"/>
        <charset val="186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1"/>
        <color theme="1"/>
        <rFont val="Calibri"/>
        <family val="2"/>
        <charset val="186"/>
        <scheme val="minor"/>
      </rPr>
      <t>-*</t>
    </r>
  </si>
  <si>
    <r>
      <rPr>
        <b/>
        <sz val="11"/>
        <color theme="1"/>
        <rFont val="Calibri"/>
        <family val="2"/>
        <scheme val="minor"/>
      </rPr>
      <t>Qapaq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</si>
  <si>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Etiket</t>
    </r>
    <r>
      <rPr>
        <b/>
        <sz val="11"/>
        <color theme="1"/>
        <rFont val="Calibri"/>
        <family val="2"/>
        <scheme val="minor"/>
      </rPr>
      <t/>
    </r>
  </si>
  <si>
    <t>Qutu</t>
  </si>
  <si>
    <r>
      <t xml:space="preserve">
</t>
    </r>
    <r>
      <rPr>
        <sz val="11"/>
        <color theme="1"/>
        <rFont val="Calibri"/>
        <family val="2"/>
        <charset val="186"/>
        <scheme val="minor"/>
      </rPr>
      <t>Kipaj 12x1L</t>
    </r>
    <r>
      <rPr>
        <b/>
        <sz val="11"/>
        <color theme="1"/>
        <rFont val="Calibri"/>
        <family val="2"/>
        <scheme val="minor"/>
      </rPr>
      <t/>
    </r>
  </si>
  <si>
    <t>Palet</t>
  </si>
  <si>
    <t>1.14x1.14</t>
  </si>
  <si>
    <t>&lt;Xarakteristika yoxdur&gt;</t>
  </si>
  <si>
    <t>qram</t>
  </si>
  <si>
    <t>1x1.20</t>
  </si>
  <si>
    <t>1LT Açıq Göy Aminol (öz istehsal)</t>
  </si>
  <si>
    <t>Qırmızı 1LT (38/23)</t>
  </si>
  <si>
    <t>Aminol Special Generation SLG1 0W20 SP/GF-6A(FR-1L)</t>
  </si>
  <si>
    <t>Aminol Special Generation SLG1 0W20 SP/GF-6A (BK-1L)</t>
  </si>
  <si>
    <t>4LT Açıq Göy Aminol (öz istehsal)</t>
  </si>
  <si>
    <t>Qırmızı 4-5LT (50/22 telescopic)</t>
  </si>
  <si>
    <t>Aminol Special Generation SLG1 0W20 SP/GF-6A (BK-4L)</t>
  </si>
  <si>
    <t>Aminol Special Generation SLG1 0W20 SP/GF-6A (FR-4L)</t>
  </si>
  <si>
    <t>Kipaş Aminol 5x4LT</t>
  </si>
  <si>
    <t>1.20 x 1.0</t>
  </si>
  <si>
    <t>Kipaş Aminol 4x5LT</t>
  </si>
  <si>
    <t>Aminol Special Generation SLG1 0W20 SP/GF-6A (BK-5L)</t>
  </si>
  <si>
    <t>Aminol Special Generation SLG1 0W20 SP/GF-6A (FR-5L)</t>
  </si>
  <si>
    <t>5LT Açıq Göy Aminol (öz istehsal)</t>
  </si>
  <si>
    <t>Kipaş Aminol 3x6LT</t>
  </si>
  <si>
    <t>Qırmızı 6LT (50/22 telescopic)</t>
  </si>
  <si>
    <t>6LT Açıq Göy Aminol (öz istehsal)</t>
  </si>
  <si>
    <t>Aminol Special Generation SLG1 0W20 SP/GF-6A (BK-6L)</t>
  </si>
  <si>
    <t>Aminol Special Generation SLG1 0W20 SP/GF-6A (FR-6L)</t>
  </si>
  <si>
    <t xml:space="preserve">Çəllək qapağı </t>
  </si>
  <si>
    <t>Ağ&amp;Göy ( Aminol Logolu )</t>
  </si>
  <si>
    <t>Açıq göy Slindrik  (ALCO)</t>
  </si>
  <si>
    <t xml:space="preserve">Qırmızı  falqa </t>
  </si>
  <si>
    <t>Kipaj 3x7L</t>
  </si>
  <si>
    <t>7LT Açıq Göy (El Plastik)</t>
  </si>
  <si>
    <t xml:space="preserve">Qırmızı falqa </t>
  </si>
  <si>
    <t>Qara (İBC)</t>
  </si>
  <si>
    <t>Ağ etiket</t>
  </si>
  <si>
    <t>Qırmızı 7LT (50/22 telescopic)</t>
  </si>
  <si>
    <t>Qırmızı Optimal</t>
  </si>
  <si>
    <t>25LT Açıq Göy Aminol (öz istehsal)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</si>
</sst>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₼-42C]\ * #,##0.00_-;\-[$₼-42C]\ * #,##0.00_-;_-[$₼-42C]\ 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4" fillId="0" borderId="0"/>
    <xf numFmtId="0" fontId="4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" fontId="2" fillId="3" borderId="1" xfId="1" applyNumberFormat="1" applyFill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0" fontId="0" fillId="0" borderId="1" xfId="3" applyFont="1" applyBorder="1" applyAlignment="1">
      <alignment horizontal="center" vertical="center"/>
    </xf>
    <xf numFmtId="4" fontId="0" fillId="0" borderId="1" xfId="2" applyNumberFormat="1" applyFont="1" applyBorder="1" applyAlignment="1">
      <alignment horizontal="center" vertical="center"/>
    </xf>
    <xf numFmtId="164" fontId="0" fillId="0" borderId="1" xfId="0" applyNumberFormat="1" applyBorder="1"/>
    <xf numFmtId="4" fontId="0" fillId="0" borderId="0" xfId="2" applyNumberFormat="1" applyFont="1" applyAlignment="1">
      <alignment vertical="center"/>
    </xf>
    <xf numFmtId="0" fontId="0" fillId="0" borderId="1" xfId="2" applyFont="1" applyBorder="1" applyAlignment="1">
      <alignment horizontal="center"/>
    </xf>
    <xf numFmtId="0" fontId="0" fillId="0" borderId="1" xfId="2" applyFont="1" applyBorder="1"/>
    <xf numFmtId="4" fontId="0" fillId="0" borderId="1" xfId="2" applyNumberFormat="1" applyFont="1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0" fontId="5" fillId="0" borderId="1" xfId="2" applyFont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7" fillId="4" borderId="1" xfId="4" applyFont="1" applyFill="1" applyBorder="1" applyAlignment="1">
      <alignment vertical="center"/>
    </xf>
    <xf numFmtId="0" fontId="6" fillId="5" borderId="1" xfId="4" applyFont="1" applyFill="1" applyBorder="1" applyAlignment="1">
      <alignment horizontal="center" vertical="center"/>
    </xf>
    <xf numFmtId="0" fontId="6" fillId="6" borderId="1" xfId="4" applyFont="1" applyFill="1" applyBorder="1"/>
    <xf numFmtId="0" fontId="4" fillId="0" borderId="1" xfId="4" applyBorder="1" applyAlignment="1">
      <alignment vertical="center" wrapText="1"/>
    </xf>
    <xf numFmtId="0" fontId="4" fillId="0" borderId="1" xfId="4" applyBorder="1" applyAlignment="1">
      <alignment vertical="center"/>
    </xf>
    <xf numFmtId="0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5" borderId="1" xfId="4" applyFont="1" applyFill="1" applyBorder="1" applyAlignment="1">
      <alignment horizontal="center" vertical="center"/>
    </xf>
    <xf numFmtId="0" fontId="9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/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6" fillId="0" borderId="0" xfId="0" applyFont="1"/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4" fontId="0" fillId="0" borderId="1" xfId="0" applyNumberFormat="1" applyFont="1" applyBorder="1" applyAlignment="1">
      <alignment horizontal="center" vertical="center"/>
    </xf>
  </cellXfs>
  <cellStyles count="5">
    <cellStyle name="Normal 2" xfId="2"/>
    <cellStyle name="Normal 3" xfId="4"/>
    <cellStyle name="Акцент1" xfId="1" builtinId="29"/>
    <cellStyle name="Обычный" xfId="0" builtinId="0"/>
    <cellStyle name="Обычный 3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cipes_encryp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t"/>
      <sheetName val="Premium"/>
      <sheetName val="Top Quality"/>
      <sheetName val="Recipe"/>
      <sheetName val="Raw material"/>
      <sheetName val="Packaging"/>
      <sheetName val="Packaging raw material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AE</v>
          </cell>
          <cell r="C3">
            <v>1190</v>
          </cell>
        </row>
        <row r="4">
          <cell r="B4" t="str">
            <v>AQ</v>
          </cell>
          <cell r="C4">
            <v>1400</v>
          </cell>
        </row>
        <row r="5">
          <cell r="B5" t="str">
            <v>AR</v>
          </cell>
          <cell r="C5">
            <v>1400</v>
          </cell>
        </row>
        <row r="6">
          <cell r="B6" t="str">
            <v>AV</v>
          </cell>
          <cell r="C6">
            <v>1400</v>
          </cell>
        </row>
        <row r="7">
          <cell r="B7" t="str">
            <v>BE</v>
          </cell>
          <cell r="C7">
            <v>1479</v>
          </cell>
        </row>
        <row r="8">
          <cell r="B8" t="str">
            <v>BH</v>
          </cell>
          <cell r="C8">
            <v>1581</v>
          </cell>
        </row>
        <row r="9">
          <cell r="B9" t="str">
            <v>BJ</v>
          </cell>
          <cell r="C9">
            <v>1275</v>
          </cell>
        </row>
        <row r="10">
          <cell r="B10" t="str">
            <v>BO</v>
          </cell>
          <cell r="C10">
            <v>1309</v>
          </cell>
        </row>
        <row r="11">
          <cell r="B11" t="str">
            <v>BQ</v>
          </cell>
          <cell r="C11">
            <v>1360</v>
          </cell>
        </row>
        <row r="12">
          <cell r="B12" t="str">
            <v>BT</v>
          </cell>
          <cell r="C12">
            <v>1292</v>
          </cell>
        </row>
        <row r="13">
          <cell r="B13" t="str">
            <v>BX</v>
          </cell>
          <cell r="C13">
            <v>1445</v>
          </cell>
        </row>
        <row r="14">
          <cell r="B14" t="str">
            <v>BZ</v>
          </cell>
          <cell r="C14">
            <v>1445</v>
          </cell>
        </row>
        <row r="15">
          <cell r="B15" t="str">
            <v>CG</v>
          </cell>
          <cell r="C15">
            <v>1530</v>
          </cell>
        </row>
        <row r="16">
          <cell r="B16" t="str">
            <v>CO</v>
          </cell>
          <cell r="C16">
            <v>1530</v>
          </cell>
        </row>
        <row r="17">
          <cell r="B17" t="str">
            <v>CS</v>
          </cell>
          <cell r="C17">
            <v>1695</v>
          </cell>
        </row>
        <row r="18">
          <cell r="B18" t="str">
            <v>CT</v>
          </cell>
          <cell r="C18">
            <v>5360</v>
          </cell>
        </row>
        <row r="19">
          <cell r="B19" t="str">
            <v>DB</v>
          </cell>
          <cell r="C19">
            <v>5100</v>
          </cell>
        </row>
        <row r="20">
          <cell r="B20" t="str">
            <v>DC</v>
          </cell>
          <cell r="C20">
            <v>6700</v>
          </cell>
        </row>
        <row r="21">
          <cell r="B21" t="str">
            <v>DE</v>
          </cell>
          <cell r="C21">
            <v>7512</v>
          </cell>
        </row>
        <row r="22">
          <cell r="B22" t="str">
            <v>DN</v>
          </cell>
          <cell r="C22">
            <v>8000</v>
          </cell>
        </row>
        <row r="23">
          <cell r="B23" t="str">
            <v>DR</v>
          </cell>
          <cell r="C23">
            <v>3325</v>
          </cell>
        </row>
        <row r="24">
          <cell r="B24" t="str">
            <v>DS</v>
          </cell>
          <cell r="C24">
            <v>8000</v>
          </cell>
        </row>
        <row r="25">
          <cell r="B25" t="str">
            <v>DT</v>
          </cell>
          <cell r="C25">
            <v>9307.5</v>
          </cell>
        </row>
        <row r="26">
          <cell r="B26" t="str">
            <v>DZ</v>
          </cell>
          <cell r="C26">
            <v>9389.7999999999993</v>
          </cell>
        </row>
        <row r="27">
          <cell r="B27" t="str">
            <v>ED</v>
          </cell>
          <cell r="C27">
            <v>7480</v>
          </cell>
        </row>
        <row r="28">
          <cell r="B28" t="str">
            <v>EE</v>
          </cell>
          <cell r="C28">
            <v>16418.09</v>
          </cell>
        </row>
        <row r="29">
          <cell r="B29" t="str">
            <v>EP</v>
          </cell>
          <cell r="C29">
            <v>9358</v>
          </cell>
        </row>
        <row r="30">
          <cell r="B30" t="str">
            <v>EU</v>
          </cell>
          <cell r="C30">
            <v>10954.8</v>
          </cell>
        </row>
        <row r="31">
          <cell r="B31" t="str">
            <v>FB</v>
          </cell>
          <cell r="C31">
            <v>8933</v>
          </cell>
        </row>
        <row r="32">
          <cell r="B32" t="str">
            <v>FH</v>
          </cell>
          <cell r="C32">
            <v>8126</v>
          </cell>
        </row>
        <row r="33">
          <cell r="B33" t="str">
            <v>FI</v>
          </cell>
          <cell r="C33">
            <v>10834</v>
          </cell>
        </row>
        <row r="34">
          <cell r="B34" t="str">
            <v>FM</v>
          </cell>
          <cell r="C34">
            <v>9969</v>
          </cell>
        </row>
        <row r="35">
          <cell r="B35" t="str">
            <v>FU</v>
          </cell>
          <cell r="C35">
            <v>11642</v>
          </cell>
        </row>
        <row r="36">
          <cell r="B36" t="str">
            <v>FV</v>
          </cell>
          <cell r="C36">
            <v>15224</v>
          </cell>
        </row>
        <row r="37">
          <cell r="B37" t="str">
            <v>GC</v>
          </cell>
          <cell r="C37">
            <v>16431</v>
          </cell>
        </row>
        <row r="38">
          <cell r="B38" t="str">
            <v>GH</v>
          </cell>
          <cell r="C38">
            <v>17519</v>
          </cell>
        </row>
        <row r="39">
          <cell r="B39" t="str">
            <v>GT</v>
          </cell>
          <cell r="C39">
            <v>18454</v>
          </cell>
        </row>
        <row r="40">
          <cell r="B40" t="str">
            <v>GV</v>
          </cell>
          <cell r="C40">
            <v>14476</v>
          </cell>
        </row>
        <row r="41">
          <cell r="B41" t="str">
            <v>HC</v>
          </cell>
          <cell r="C41">
            <v>14119</v>
          </cell>
        </row>
        <row r="42">
          <cell r="B42" t="str">
            <v>HD</v>
          </cell>
          <cell r="C42">
            <v>15670</v>
          </cell>
        </row>
        <row r="43">
          <cell r="B43" t="str">
            <v>HI</v>
          </cell>
          <cell r="C43">
            <v>11586</v>
          </cell>
        </row>
        <row r="44">
          <cell r="B44" t="str">
            <v>HL</v>
          </cell>
          <cell r="C44">
            <v>10719</v>
          </cell>
        </row>
        <row r="45">
          <cell r="B45" t="str">
            <v>HS</v>
          </cell>
          <cell r="C45">
            <v>19108</v>
          </cell>
        </row>
        <row r="46">
          <cell r="B46" t="str">
            <v>ID</v>
          </cell>
          <cell r="C46">
            <v>12283</v>
          </cell>
        </row>
        <row r="47">
          <cell r="B47" t="str">
            <v>IE</v>
          </cell>
          <cell r="C47">
            <v>15308</v>
          </cell>
        </row>
        <row r="48">
          <cell r="B48" t="str">
            <v>IJ</v>
          </cell>
          <cell r="C48">
            <v>22967</v>
          </cell>
        </row>
        <row r="49">
          <cell r="B49" t="str">
            <v>IM</v>
          </cell>
          <cell r="C49">
            <v>15580.5</v>
          </cell>
        </row>
        <row r="50">
          <cell r="B50" t="str">
            <v>IN</v>
          </cell>
          <cell r="C50">
            <v>26275</v>
          </cell>
        </row>
        <row r="51">
          <cell r="B51" t="str">
            <v>IR</v>
          </cell>
          <cell r="C51">
            <v>13354</v>
          </cell>
        </row>
        <row r="52">
          <cell r="B52" t="str">
            <v>JB</v>
          </cell>
          <cell r="C52">
            <v>22064</v>
          </cell>
        </row>
        <row r="53">
          <cell r="B53" t="str">
            <v>JC</v>
          </cell>
          <cell r="C53">
            <v>29769</v>
          </cell>
        </row>
        <row r="54">
          <cell r="B54" t="str">
            <v>JH</v>
          </cell>
          <cell r="C54">
            <v>101474</v>
          </cell>
        </row>
        <row r="55">
          <cell r="B55" t="str">
            <v>JK</v>
          </cell>
          <cell r="C55">
            <v>10379</v>
          </cell>
        </row>
        <row r="56">
          <cell r="B56" t="str">
            <v>JP</v>
          </cell>
          <cell r="C56">
            <v>18862.009999999998</v>
          </cell>
        </row>
        <row r="57">
          <cell r="B57" t="str">
            <v>JZ</v>
          </cell>
          <cell r="C57">
            <v>18074</v>
          </cell>
        </row>
        <row r="58">
          <cell r="B58" t="str">
            <v>KG</v>
          </cell>
          <cell r="C58">
            <v>10696</v>
          </cell>
        </row>
        <row r="59">
          <cell r="B59" t="str">
            <v>KJ</v>
          </cell>
          <cell r="C59">
            <v>14992</v>
          </cell>
        </row>
        <row r="60">
          <cell r="B60" t="str">
            <v>KM</v>
          </cell>
          <cell r="C60">
            <v>16737</v>
          </cell>
        </row>
        <row r="61">
          <cell r="B61" t="str">
            <v>KZ</v>
          </cell>
          <cell r="C61">
            <v>11814</v>
          </cell>
        </row>
        <row r="62">
          <cell r="B62" t="str">
            <v>LH</v>
          </cell>
          <cell r="C62">
            <v>12985</v>
          </cell>
        </row>
        <row r="63">
          <cell r="B63" t="str">
            <v>LR</v>
          </cell>
          <cell r="C63">
            <v>12906</v>
          </cell>
        </row>
        <row r="64">
          <cell r="B64" t="str">
            <v>LT</v>
          </cell>
          <cell r="C64">
            <v>12761</v>
          </cell>
        </row>
        <row r="65">
          <cell r="B65" t="str">
            <v>MC</v>
          </cell>
          <cell r="C65">
            <v>6638</v>
          </cell>
        </row>
        <row r="66">
          <cell r="B66" t="str">
            <v>ME</v>
          </cell>
          <cell r="C66">
            <v>12406</v>
          </cell>
        </row>
        <row r="67">
          <cell r="B67" t="str">
            <v>MK</v>
          </cell>
          <cell r="C67">
            <v>11574</v>
          </cell>
        </row>
        <row r="68">
          <cell r="B68" t="str">
            <v>ML</v>
          </cell>
          <cell r="C68">
            <v>6035</v>
          </cell>
        </row>
        <row r="69">
          <cell r="B69" t="str">
            <v>MO</v>
          </cell>
          <cell r="C69">
            <v>6052</v>
          </cell>
        </row>
        <row r="70">
          <cell r="B70" t="str">
            <v>MP</v>
          </cell>
          <cell r="C70">
            <v>6307</v>
          </cell>
        </row>
        <row r="71">
          <cell r="B71" t="str">
            <v>MR</v>
          </cell>
          <cell r="C71">
            <v>5440</v>
          </cell>
        </row>
        <row r="72">
          <cell r="B72" t="str">
            <v>MS</v>
          </cell>
          <cell r="C72">
            <v>4420</v>
          </cell>
        </row>
        <row r="73">
          <cell r="B73" t="str">
            <v>MU</v>
          </cell>
          <cell r="C73">
            <v>6300</v>
          </cell>
        </row>
        <row r="74">
          <cell r="B74" t="str">
            <v>MY</v>
          </cell>
          <cell r="C74">
            <v>6375</v>
          </cell>
        </row>
        <row r="75">
          <cell r="B75" t="str">
            <v>NA</v>
          </cell>
          <cell r="C75">
            <v>15079</v>
          </cell>
        </row>
        <row r="76">
          <cell r="B76" t="str">
            <v>NI</v>
          </cell>
          <cell r="C76">
            <v>8800</v>
          </cell>
        </row>
        <row r="77">
          <cell r="B77" t="str">
            <v>OB</v>
          </cell>
          <cell r="C77">
            <v>6000</v>
          </cell>
        </row>
        <row r="78">
          <cell r="B78" t="str">
            <v>OC</v>
          </cell>
          <cell r="C78">
            <v>16405</v>
          </cell>
        </row>
        <row r="79">
          <cell r="B79" t="str">
            <v>ON</v>
          </cell>
          <cell r="C79">
            <v>6086</v>
          </cell>
        </row>
        <row r="80">
          <cell r="B80" t="str">
            <v>OT</v>
          </cell>
          <cell r="C80">
            <v>8000</v>
          </cell>
        </row>
        <row r="81">
          <cell r="B81" t="str">
            <v>OW</v>
          </cell>
          <cell r="C81">
            <v>18069</v>
          </cell>
        </row>
        <row r="82">
          <cell r="B82" t="str">
            <v>PA</v>
          </cell>
          <cell r="C82">
            <v>8208</v>
          </cell>
        </row>
        <row r="83">
          <cell r="B83" t="str">
            <v>PL</v>
          </cell>
          <cell r="C83">
            <v>16652</v>
          </cell>
        </row>
        <row r="84">
          <cell r="B84" t="str">
            <v>PO</v>
          </cell>
          <cell r="C84">
            <v>17150</v>
          </cell>
        </row>
        <row r="85">
          <cell r="B85" t="str">
            <v>PS</v>
          </cell>
          <cell r="C85">
            <v>11618</v>
          </cell>
        </row>
        <row r="86">
          <cell r="B86" t="str">
            <v>PX</v>
          </cell>
          <cell r="C86">
            <v>65211</v>
          </cell>
        </row>
        <row r="87">
          <cell r="B87" t="str">
            <v>PZ</v>
          </cell>
          <cell r="C87">
            <v>23569</v>
          </cell>
        </row>
        <row r="88">
          <cell r="B88" t="str">
            <v>QH</v>
          </cell>
          <cell r="C88">
            <v>42023</v>
          </cell>
        </row>
        <row r="89">
          <cell r="B89" t="str">
            <v>QK</v>
          </cell>
          <cell r="C89">
            <v>29002</v>
          </cell>
        </row>
        <row r="90">
          <cell r="B90" t="str">
            <v>QO</v>
          </cell>
          <cell r="C90">
            <v>13949</v>
          </cell>
        </row>
        <row r="91">
          <cell r="B91" t="str">
            <v>QZ</v>
          </cell>
          <cell r="C91">
            <v>15966</v>
          </cell>
        </row>
        <row r="92">
          <cell r="B92" t="str">
            <v>SL</v>
          </cell>
          <cell r="C92">
            <v>24013</v>
          </cell>
        </row>
        <row r="93">
          <cell r="B93" t="str">
            <v>SW</v>
          </cell>
          <cell r="C93">
            <v>13598</v>
          </cell>
        </row>
        <row r="94">
          <cell r="B94" t="str">
            <v>SX</v>
          </cell>
          <cell r="C94">
            <v>9158</v>
          </cell>
        </row>
        <row r="95">
          <cell r="B95" t="str">
            <v>TC</v>
          </cell>
          <cell r="C95">
            <v>11415</v>
          </cell>
        </row>
        <row r="96">
          <cell r="B96" t="str">
            <v>TF</v>
          </cell>
          <cell r="C96">
            <v>11973</v>
          </cell>
        </row>
        <row r="97">
          <cell r="B97" t="str">
            <v>TI</v>
          </cell>
          <cell r="C97">
            <v>8603</v>
          </cell>
        </row>
        <row r="98">
          <cell r="B98" t="str">
            <v>TS</v>
          </cell>
          <cell r="C98">
            <v>10273</v>
          </cell>
        </row>
        <row r="99">
          <cell r="B99" t="str">
            <v>TY</v>
          </cell>
          <cell r="C99">
            <v>7160</v>
          </cell>
        </row>
        <row r="100">
          <cell r="B100" t="str">
            <v>UD</v>
          </cell>
          <cell r="C100">
            <v>11008</v>
          </cell>
        </row>
        <row r="101">
          <cell r="B101" t="str">
            <v>US</v>
          </cell>
          <cell r="C101">
            <v>8233</v>
          </cell>
        </row>
        <row r="102">
          <cell r="B102" t="str">
            <v>VD</v>
          </cell>
          <cell r="C102">
            <v>9435</v>
          </cell>
        </row>
        <row r="103">
          <cell r="B103" t="str">
            <v>VG</v>
          </cell>
          <cell r="C103">
            <v>9528</v>
          </cell>
        </row>
        <row r="104">
          <cell r="B104" t="str">
            <v>VR</v>
          </cell>
          <cell r="C104">
            <v>14153</v>
          </cell>
        </row>
        <row r="105">
          <cell r="B105" t="str">
            <v>VW</v>
          </cell>
          <cell r="C105">
            <v>12488</v>
          </cell>
        </row>
        <row r="106">
          <cell r="B106" t="str">
            <v>WB</v>
          </cell>
          <cell r="C106">
            <v>10083</v>
          </cell>
        </row>
        <row r="107">
          <cell r="B107" t="str">
            <v>WP</v>
          </cell>
          <cell r="C107">
            <v>14782</v>
          </cell>
        </row>
        <row r="108">
          <cell r="B108" t="str">
            <v>WQ</v>
          </cell>
          <cell r="C108">
            <v>14338</v>
          </cell>
        </row>
        <row r="109">
          <cell r="B109" t="str">
            <v>WR</v>
          </cell>
          <cell r="C109">
            <v>4769</v>
          </cell>
        </row>
        <row r="110">
          <cell r="B110" t="str">
            <v>WT</v>
          </cell>
          <cell r="C110">
            <v>7845.5</v>
          </cell>
        </row>
        <row r="111">
          <cell r="B111" t="str">
            <v>WV</v>
          </cell>
          <cell r="C111">
            <v>7099.08</v>
          </cell>
        </row>
        <row r="112">
          <cell r="B112" t="str">
            <v>WZ</v>
          </cell>
          <cell r="C112">
            <v>13968</v>
          </cell>
        </row>
        <row r="113">
          <cell r="B113" t="str">
            <v>XE</v>
          </cell>
          <cell r="C113">
            <v>3200</v>
          </cell>
        </row>
        <row r="114">
          <cell r="B114" t="str">
            <v>XL</v>
          </cell>
          <cell r="C114">
            <v>6590</v>
          </cell>
        </row>
        <row r="115">
          <cell r="B115" t="str">
            <v>XR</v>
          </cell>
          <cell r="C115">
            <v>4200</v>
          </cell>
        </row>
        <row r="116">
          <cell r="B116" t="str">
            <v>XW</v>
          </cell>
          <cell r="C116">
            <v>15139</v>
          </cell>
        </row>
        <row r="117">
          <cell r="B117" t="str">
            <v>XY</v>
          </cell>
          <cell r="C117">
            <v>26384</v>
          </cell>
        </row>
        <row r="118">
          <cell r="B118" t="str">
            <v>YE</v>
          </cell>
          <cell r="C118">
            <v>1020</v>
          </cell>
        </row>
        <row r="119">
          <cell r="B119" t="str">
            <v>YG</v>
          </cell>
          <cell r="C119">
            <v>4303.5</v>
          </cell>
        </row>
        <row r="120">
          <cell r="B120" t="str">
            <v>YM</v>
          </cell>
          <cell r="C120">
            <v>5643</v>
          </cell>
        </row>
        <row r="121">
          <cell r="B121" t="str">
            <v>YS</v>
          </cell>
          <cell r="C121">
            <v>710</v>
          </cell>
        </row>
        <row r="122">
          <cell r="B122" t="str">
            <v>YW</v>
          </cell>
          <cell r="C122">
            <v>10</v>
          </cell>
        </row>
        <row r="123">
          <cell r="B123" t="str">
            <v>ZC</v>
          </cell>
          <cell r="C123">
            <v>67574</v>
          </cell>
        </row>
        <row r="124">
          <cell r="B124" t="str">
            <v>ZI</v>
          </cell>
          <cell r="C124">
            <v>67574</v>
          </cell>
        </row>
        <row r="125">
          <cell r="B125" t="str">
            <v>ZO</v>
          </cell>
          <cell r="C125">
            <v>67576</v>
          </cell>
        </row>
        <row r="126">
          <cell r="B126" t="str">
            <v>ZX</v>
          </cell>
          <cell r="C126">
            <v>7099.08</v>
          </cell>
        </row>
        <row r="127">
          <cell r="B127" t="str">
            <v>PB</v>
          </cell>
        </row>
        <row r="128">
          <cell r="B128" t="str">
            <v>PC</v>
          </cell>
        </row>
        <row r="129">
          <cell r="B129" t="str">
            <v>KK</v>
          </cell>
          <cell r="C129">
            <v>5865</v>
          </cell>
        </row>
        <row r="130">
          <cell r="B130" t="str">
            <v>HT</v>
          </cell>
          <cell r="C130">
            <v>33000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D24" sqref="D24:D28"/>
    </sheetView>
  </sheetViews>
  <sheetFormatPr defaultRowHeight="14.4" x14ac:dyDescent="0.3"/>
  <cols>
    <col min="2" max="2" width="68.5546875" customWidth="1"/>
    <col min="3" max="3" width="25.5546875" customWidth="1"/>
    <col min="4" max="4" width="19.44140625" customWidth="1"/>
    <col min="5" max="5" width="18.6640625" customWidth="1"/>
    <col min="6" max="6" width="19.6640625" customWidth="1"/>
  </cols>
  <sheetData>
    <row r="1" spans="1:8" x14ac:dyDescent="0.3">
      <c r="A1" s="1"/>
      <c r="B1" s="29" t="s">
        <v>0</v>
      </c>
      <c r="C1" s="29"/>
      <c r="D1" s="29"/>
      <c r="E1" s="29"/>
      <c r="F1" s="29"/>
      <c r="G1" s="2"/>
    </row>
    <row r="2" spans="1:8" x14ac:dyDescent="0.3">
      <c r="A2" s="1"/>
      <c r="B2" s="30" t="s">
        <v>1</v>
      </c>
      <c r="C2" s="30"/>
      <c r="D2" s="30"/>
      <c r="E2" s="30"/>
      <c r="F2" s="30"/>
      <c r="G2" s="2"/>
    </row>
    <row r="3" spans="1:8" x14ac:dyDescent="0.3">
      <c r="A3" s="1"/>
      <c r="B3" s="30" t="s">
        <v>2</v>
      </c>
      <c r="C3" s="30"/>
      <c r="D3" s="30"/>
      <c r="E3" s="30"/>
      <c r="F3" s="30"/>
      <c r="G3" s="2"/>
    </row>
    <row r="4" spans="1:8" x14ac:dyDescent="0.3">
      <c r="A4" s="3"/>
      <c r="B4" s="4"/>
      <c r="D4" s="2"/>
      <c r="E4" s="2"/>
      <c r="F4" s="2"/>
      <c r="G4" s="2"/>
    </row>
    <row r="5" spans="1:8" x14ac:dyDescent="0.3">
      <c r="A5" s="3"/>
      <c r="B5" s="28"/>
      <c r="C5" s="28"/>
      <c r="D5" s="28"/>
      <c r="E5" s="2"/>
      <c r="F5" s="2"/>
      <c r="G5" s="2"/>
    </row>
    <row r="6" spans="1:8" x14ac:dyDescent="0.3">
      <c r="A6" s="1"/>
      <c r="B6" s="6" t="s">
        <v>3</v>
      </c>
      <c r="C6" s="6" t="s">
        <v>4</v>
      </c>
      <c r="D6" s="7" t="s">
        <v>5</v>
      </c>
      <c r="E6" s="8"/>
      <c r="F6" s="8"/>
      <c r="G6" s="8"/>
    </row>
    <row r="7" spans="1:8" x14ac:dyDescent="0.3">
      <c r="A7" s="1"/>
      <c r="B7" s="27" t="s">
        <v>6</v>
      </c>
      <c r="C7" s="9" t="s">
        <v>7</v>
      </c>
      <c r="D7" s="10">
        <v>92.35</v>
      </c>
      <c r="E7" s="11">
        <f>VLOOKUP(C7,'[1]Raw material'!$B$3:$C$130,2,0)</f>
        <v>1479</v>
      </c>
      <c r="F7" s="11">
        <f>D7*E7/100</f>
        <v>1365.8564999999999</v>
      </c>
      <c r="G7" s="12"/>
    </row>
    <row r="8" spans="1:8" x14ac:dyDescent="0.3">
      <c r="A8" s="1"/>
      <c r="B8" s="27"/>
      <c r="C8" s="9" t="s">
        <v>8</v>
      </c>
      <c r="D8" s="10">
        <v>0.35</v>
      </c>
      <c r="E8" s="11">
        <f>VLOOKUP(C8,'[1]Raw material'!$B$3:$C$130,2,0)</f>
        <v>8000</v>
      </c>
      <c r="F8" s="11">
        <f t="shared" ref="F8:F10" si="0">D8*E8/100</f>
        <v>28</v>
      </c>
      <c r="G8" s="12"/>
    </row>
    <row r="9" spans="1:8" x14ac:dyDescent="0.3">
      <c r="A9" s="1"/>
      <c r="B9" s="27"/>
      <c r="C9" s="9" t="s">
        <v>9</v>
      </c>
      <c r="D9" s="10">
        <v>7</v>
      </c>
      <c r="E9" s="11">
        <f>VLOOKUP(C9,'[1]Raw material'!$B$3:$C$130,2,0)</f>
        <v>6035</v>
      </c>
      <c r="F9" s="11">
        <f t="shared" si="0"/>
        <v>422.45</v>
      </c>
      <c r="G9" s="12"/>
    </row>
    <row r="10" spans="1:8" x14ac:dyDescent="0.3">
      <c r="A10" s="1"/>
      <c r="B10" s="27"/>
      <c r="C10" s="13" t="s">
        <v>10</v>
      </c>
      <c r="D10" s="10">
        <v>0.3</v>
      </c>
      <c r="E10" s="11">
        <f>VLOOKUP(C10,'[1]Raw material'!$B$3:$C$130,2,0)</f>
        <v>6052</v>
      </c>
      <c r="F10" s="11">
        <f t="shared" si="0"/>
        <v>18.155999999999999</v>
      </c>
      <c r="G10" s="12"/>
    </row>
    <row r="11" spans="1:8" x14ac:dyDescent="0.3">
      <c r="A11" s="1"/>
      <c r="B11" s="20" t="s">
        <v>11</v>
      </c>
      <c r="C11" s="14"/>
      <c r="D11" s="15">
        <f>SUM(D7:D10)</f>
        <v>99.999999999999986</v>
      </c>
      <c r="E11" s="14"/>
      <c r="F11" s="15">
        <f>SUM(F7:F10)*1.005</f>
        <v>1843.6348124999997</v>
      </c>
      <c r="G11" s="16">
        <f>F11/1.7</f>
        <v>1084.4910661764704</v>
      </c>
      <c r="H11">
        <v>0.84299999999999997</v>
      </c>
    </row>
    <row r="12" spans="1:8" x14ac:dyDescent="0.3">
      <c r="A12" s="1"/>
      <c r="D12" s="2"/>
      <c r="E12" s="2"/>
      <c r="F12" s="2"/>
      <c r="G12" s="2"/>
    </row>
    <row r="13" spans="1:8" x14ac:dyDescent="0.3">
      <c r="A13" s="1"/>
      <c r="B13" s="28" t="s">
        <v>12</v>
      </c>
      <c r="C13" s="28"/>
      <c r="D13" s="28"/>
      <c r="E13" s="2"/>
      <c r="F13" s="2"/>
      <c r="G13" s="2"/>
    </row>
    <row r="14" spans="1:8" x14ac:dyDescent="0.3">
      <c r="A14" s="1"/>
      <c r="B14" s="6" t="s">
        <v>3</v>
      </c>
      <c r="C14" s="6" t="s">
        <v>4</v>
      </c>
      <c r="D14" s="7" t="s">
        <v>5</v>
      </c>
      <c r="E14" s="8"/>
      <c r="F14" s="8"/>
      <c r="G14" s="8"/>
    </row>
    <row r="15" spans="1:8" x14ac:dyDescent="0.3">
      <c r="A15" s="1"/>
      <c r="B15" s="27" t="s">
        <v>6</v>
      </c>
      <c r="C15" s="9" t="s">
        <v>7</v>
      </c>
      <c r="D15" s="10">
        <v>81.790000000000006</v>
      </c>
      <c r="E15" s="11">
        <f>VLOOKUP(C15,'[1]Raw material'!$B$3:$C$130,2,0)</f>
        <v>1479</v>
      </c>
      <c r="F15" s="11">
        <f>D15*E15/100</f>
        <v>1209.6741</v>
      </c>
      <c r="G15" s="12"/>
    </row>
    <row r="16" spans="1:8" x14ac:dyDescent="0.3">
      <c r="A16" s="1"/>
      <c r="B16" s="27"/>
      <c r="C16" s="9" t="s">
        <v>13</v>
      </c>
      <c r="D16" s="10">
        <v>10</v>
      </c>
      <c r="E16" s="11">
        <f>VLOOKUP(C16,'[1]Raw material'!$B$3:$C$130,2,0)</f>
        <v>5360</v>
      </c>
      <c r="F16" s="11">
        <f t="shared" ref="F16:F19" si="1">D16*E16/100</f>
        <v>536</v>
      </c>
      <c r="G16" s="12"/>
    </row>
    <row r="17" spans="1:9" x14ac:dyDescent="0.3">
      <c r="A17" s="1"/>
      <c r="B17" s="27"/>
      <c r="C17" s="9" t="s">
        <v>8</v>
      </c>
      <c r="D17" s="10">
        <v>0.35</v>
      </c>
      <c r="E17" s="11">
        <f>VLOOKUP(C17,'[1]Raw material'!$B$3:$C$130,2,0)</f>
        <v>8000</v>
      </c>
      <c r="F17" s="11">
        <f t="shared" si="1"/>
        <v>28</v>
      </c>
      <c r="G17" s="12"/>
    </row>
    <row r="18" spans="1:9" x14ac:dyDescent="0.3">
      <c r="A18" s="1"/>
      <c r="B18" s="27"/>
      <c r="C18" s="9" t="s">
        <v>14</v>
      </c>
      <c r="D18" s="10">
        <v>7.56</v>
      </c>
      <c r="E18" s="11">
        <f>VLOOKUP(C18,'[1]Raw material'!$B$3:$C$130,2,0)</f>
        <v>9158</v>
      </c>
      <c r="F18" s="11">
        <f t="shared" si="1"/>
        <v>692.34479999999996</v>
      </c>
      <c r="G18" s="12"/>
    </row>
    <row r="19" spans="1:9" x14ac:dyDescent="0.3">
      <c r="A19" s="1"/>
      <c r="B19" s="27"/>
      <c r="C19" s="13" t="s">
        <v>15</v>
      </c>
      <c r="D19" s="10">
        <v>0.3</v>
      </c>
      <c r="E19" s="11">
        <f>VLOOKUP(C19,'[1]Raw material'!$B$3:$C$130,2,0)</f>
        <v>7099.08</v>
      </c>
      <c r="F19" s="11">
        <f t="shared" si="1"/>
        <v>21.297239999999999</v>
      </c>
      <c r="G19" s="12"/>
    </row>
    <row r="20" spans="1:9" x14ac:dyDescent="0.3">
      <c r="A20" s="1"/>
      <c r="B20" s="20" t="s">
        <v>16</v>
      </c>
      <c r="C20" s="14"/>
      <c r="D20" s="15">
        <f>SUM(D15:D19)</f>
        <v>100</v>
      </c>
      <c r="E20" s="14"/>
      <c r="F20" s="15">
        <f>SUM(F15:F19)*1.005</f>
        <v>2499.7527206999998</v>
      </c>
      <c r="G20" s="16">
        <f>F20/1.7</f>
        <v>1470.442776882353</v>
      </c>
      <c r="H20">
        <v>0.84</v>
      </c>
    </row>
    <row r="21" spans="1:9" x14ac:dyDescent="0.3">
      <c r="A21" s="1"/>
      <c r="D21" s="2"/>
      <c r="E21" s="2"/>
      <c r="F21" s="2"/>
      <c r="G21" s="2"/>
    </row>
    <row r="22" spans="1:9" x14ac:dyDescent="0.3">
      <c r="A22" s="1"/>
      <c r="B22" s="28"/>
      <c r="C22" s="28"/>
      <c r="D22" s="28"/>
      <c r="E22" s="2"/>
      <c r="F22" s="2"/>
      <c r="G22" s="2"/>
    </row>
    <row r="23" spans="1:9" x14ac:dyDescent="0.3">
      <c r="A23" s="1"/>
      <c r="B23" s="6" t="s">
        <v>3</v>
      </c>
      <c r="C23" s="6" t="s">
        <v>4</v>
      </c>
      <c r="D23" s="7" t="s">
        <v>5</v>
      </c>
      <c r="E23" s="8"/>
      <c r="F23" s="8"/>
      <c r="G23" s="8"/>
    </row>
    <row r="24" spans="1:9" x14ac:dyDescent="0.3">
      <c r="A24" s="1"/>
      <c r="B24" s="27" t="s">
        <v>6</v>
      </c>
      <c r="C24" s="9" t="s">
        <v>7</v>
      </c>
      <c r="D24" s="10">
        <v>73.14</v>
      </c>
      <c r="E24" s="11">
        <f>VLOOKUP(C24,'[1]Raw material'!$B$3:$C$130,2,0)</f>
        <v>1479</v>
      </c>
      <c r="F24" s="11">
        <f>D24*E24/100</f>
        <v>1081.7406000000001</v>
      </c>
      <c r="G24" s="12"/>
    </row>
    <row r="25" spans="1:9" x14ac:dyDescent="0.3">
      <c r="A25" s="1"/>
      <c r="B25" s="27"/>
      <c r="C25" s="9" t="s">
        <v>13</v>
      </c>
      <c r="D25" s="10">
        <v>15</v>
      </c>
      <c r="E25" s="11">
        <f>VLOOKUP(C25,'[1]Raw material'!$B$3:$C$130,2,0)</f>
        <v>5360</v>
      </c>
      <c r="F25" s="11">
        <f t="shared" ref="F25:F28" si="2">D25*E25/100</f>
        <v>804</v>
      </c>
      <c r="G25" s="12"/>
    </row>
    <row r="26" spans="1:9" x14ac:dyDescent="0.3">
      <c r="A26" s="1"/>
      <c r="B26" s="27"/>
      <c r="C26" s="9" t="s">
        <v>17</v>
      </c>
      <c r="D26" s="10">
        <v>4</v>
      </c>
      <c r="E26" s="11">
        <f>VLOOKUP(C26,'[1]Raw material'!$B$3:$C$130,2,0)</f>
        <v>8208</v>
      </c>
      <c r="F26" s="11">
        <f t="shared" si="2"/>
        <v>328.32</v>
      </c>
      <c r="G26" s="12"/>
    </row>
    <row r="27" spans="1:9" x14ac:dyDescent="0.3">
      <c r="A27" s="1"/>
      <c r="B27" s="27"/>
      <c r="C27" s="9" t="s">
        <v>14</v>
      </c>
      <c r="D27" s="10">
        <v>7.56</v>
      </c>
      <c r="E27" s="11">
        <f>VLOOKUP(C27,'[1]Raw material'!$B$3:$C$130,2,0)</f>
        <v>9158</v>
      </c>
      <c r="F27" s="11">
        <f t="shared" si="2"/>
        <v>692.34479999999996</v>
      </c>
      <c r="G27" s="12"/>
    </row>
    <row r="28" spans="1:9" x14ac:dyDescent="0.3">
      <c r="A28" s="1"/>
      <c r="B28" s="27"/>
      <c r="C28" s="13" t="s">
        <v>15</v>
      </c>
      <c r="D28" s="10">
        <v>0.3</v>
      </c>
      <c r="E28" s="11">
        <f>VLOOKUP(C28,'[1]Raw material'!$B$3:$C$130,2,0)</f>
        <v>7099.08</v>
      </c>
      <c r="F28" s="11">
        <f t="shared" si="2"/>
        <v>21.297239999999999</v>
      </c>
      <c r="G28" s="12"/>
    </row>
    <row r="29" spans="1:9" x14ac:dyDescent="0.3">
      <c r="A29" s="1"/>
      <c r="B29" s="20" t="s">
        <v>18</v>
      </c>
      <c r="C29" s="14"/>
      <c r="D29" s="15">
        <f>SUM(D24:D28)</f>
        <v>100</v>
      </c>
      <c r="E29" s="14"/>
      <c r="F29" s="15">
        <f>SUM(F24:F28)*1.005</f>
        <v>2942.3411531999996</v>
      </c>
      <c r="G29" s="16">
        <f>F29/1.7</f>
        <v>1730.7889136470585</v>
      </c>
      <c r="H29">
        <v>0.84</v>
      </c>
    </row>
    <row r="30" spans="1:9" ht="15" thickBot="1" x14ac:dyDescent="0.35">
      <c r="A30" s="17"/>
      <c r="B30" s="18"/>
      <c r="C30" s="18"/>
      <c r="D30" s="19"/>
      <c r="E30" s="19"/>
      <c r="F30" s="19"/>
      <c r="G30" s="19"/>
      <c r="H30" s="18"/>
      <c r="I30" s="18"/>
    </row>
  </sheetData>
  <mergeCells count="9">
    <mergeCell ref="B15:B19"/>
    <mergeCell ref="B22:D22"/>
    <mergeCell ref="B24:B28"/>
    <mergeCell ref="B1:F1"/>
    <mergeCell ref="B2:F2"/>
    <mergeCell ref="B3:F3"/>
    <mergeCell ref="B5:D5"/>
    <mergeCell ref="B7:B10"/>
    <mergeCell ref="B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"/>
  <sheetViews>
    <sheetView topLeftCell="K1" workbookViewId="0">
      <selection activeCell="O4" sqref="O4"/>
    </sheetView>
  </sheetViews>
  <sheetFormatPr defaultRowHeight="14.4" x14ac:dyDescent="0.3"/>
  <cols>
    <col min="2" max="2" width="24.109375" customWidth="1"/>
    <col min="3" max="3" width="49.109375" customWidth="1"/>
    <col min="4" max="4" width="25.44140625" customWidth="1"/>
    <col min="5" max="5" width="24.5546875" customWidth="1"/>
    <col min="6" max="6" width="33.33203125" customWidth="1"/>
    <col min="7" max="7" width="21.5546875" customWidth="1"/>
    <col min="8" max="8" width="24" customWidth="1"/>
    <col min="9" max="9" width="27.109375" customWidth="1"/>
    <col min="10" max="10" width="24.33203125" customWidth="1"/>
    <col min="11" max="11" width="22.44140625" customWidth="1"/>
    <col min="12" max="12" width="21.6640625" customWidth="1"/>
    <col min="13" max="13" width="25" customWidth="1"/>
    <col min="14" max="14" width="24.88671875" customWidth="1"/>
    <col min="15" max="15" width="24.6640625" customWidth="1"/>
    <col min="16" max="16" width="28.88671875" customWidth="1"/>
    <col min="17" max="17" width="30.44140625" customWidth="1"/>
  </cols>
  <sheetData>
    <row r="1" spans="2:24" ht="21" x14ac:dyDescent="0.3">
      <c r="B1" s="23" t="s">
        <v>19</v>
      </c>
      <c r="C1" s="23" t="s">
        <v>20</v>
      </c>
      <c r="D1" s="31" t="s">
        <v>21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x14ac:dyDescent="0.3">
      <c r="B2" s="33" t="s">
        <v>0</v>
      </c>
      <c r="C2" s="33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2:24" x14ac:dyDescent="0.3">
      <c r="B3" s="33" t="s">
        <v>2</v>
      </c>
      <c r="C3" s="33"/>
      <c r="D3" s="24" t="s">
        <v>22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4" t="s">
        <v>41</v>
      </c>
      <c r="X3" s="24" t="s">
        <v>42</v>
      </c>
    </row>
    <row r="4" spans="2:24" ht="112.5" customHeight="1" x14ac:dyDescent="0.3">
      <c r="B4" s="21" t="s">
        <v>43</v>
      </c>
      <c r="C4" s="22" t="s">
        <v>44</v>
      </c>
      <c r="D4" s="25" t="s">
        <v>45</v>
      </c>
      <c r="E4" s="26" t="s">
        <v>46</v>
      </c>
      <c r="F4" s="25" t="s">
        <v>47</v>
      </c>
      <c r="G4" s="25" t="s">
        <v>48</v>
      </c>
      <c r="H4" s="25" t="s">
        <v>49</v>
      </c>
      <c r="I4" s="25" t="s">
        <v>50</v>
      </c>
      <c r="J4" s="25" t="s">
        <v>51</v>
      </c>
      <c r="K4" s="25" t="s">
        <v>52</v>
      </c>
      <c r="L4" s="25" t="s">
        <v>52</v>
      </c>
      <c r="M4" s="25" t="s">
        <v>52</v>
      </c>
      <c r="N4" s="25" t="s">
        <v>53</v>
      </c>
      <c r="O4" s="25" t="s">
        <v>54</v>
      </c>
      <c r="P4" s="25" t="s">
        <v>54</v>
      </c>
      <c r="Q4" s="25" t="s">
        <v>55</v>
      </c>
      <c r="R4" s="26" t="s">
        <v>46</v>
      </c>
      <c r="S4" s="26" t="s">
        <v>46</v>
      </c>
      <c r="T4" s="26" t="s">
        <v>46</v>
      </c>
      <c r="U4" s="26" t="s">
        <v>46</v>
      </c>
      <c r="V4" s="26" t="s">
        <v>46</v>
      </c>
      <c r="W4" s="26" t="s">
        <v>46</v>
      </c>
      <c r="X4" s="26" t="s">
        <v>46</v>
      </c>
    </row>
  </sheetData>
  <mergeCells count="4">
    <mergeCell ref="D1:X1"/>
    <mergeCell ref="D2:X2"/>
    <mergeCell ref="B3:C3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16"/>
  <sheetViews>
    <sheetView tabSelected="1" workbookViewId="0">
      <selection activeCell="C20" sqref="C20"/>
    </sheetView>
  </sheetViews>
  <sheetFormatPr defaultColWidth="9.21875" defaultRowHeight="14.4" x14ac:dyDescent="0.3"/>
  <cols>
    <col min="1" max="1" width="9.21875" style="35"/>
    <col min="2" max="2" width="15.77734375" style="34" customWidth="1"/>
    <col min="3" max="5" width="65.21875" style="35" customWidth="1"/>
    <col min="6" max="6" width="17.33203125" style="35" bestFit="1" customWidth="1"/>
    <col min="7" max="7" width="47.21875" style="35" bestFit="1" customWidth="1"/>
    <col min="8" max="9" width="31.44140625" style="35" customWidth="1"/>
    <col min="10" max="10" width="28.21875" style="35" customWidth="1"/>
    <col min="11" max="11" width="29.21875" style="35" customWidth="1"/>
    <col min="12" max="12" width="47.21875" style="35" bestFit="1" customWidth="1"/>
    <col min="13" max="14" width="29.21875" style="35" customWidth="1"/>
    <col min="15" max="15" width="28.77734375" style="35" customWidth="1"/>
    <col min="16" max="16" width="47.21875" style="35" bestFit="1" customWidth="1"/>
    <col min="17" max="18" width="28.77734375" style="35" customWidth="1"/>
    <col min="19" max="19" width="31.21875" style="35" customWidth="1"/>
    <col min="20" max="20" width="47.21875" style="35" bestFit="1" customWidth="1"/>
    <col min="21" max="22" width="31.21875" style="35" customWidth="1"/>
    <col min="23" max="26" width="31.77734375" style="35" customWidth="1"/>
    <col min="27" max="30" width="29.44140625" style="35" customWidth="1"/>
    <col min="31" max="38" width="32.21875" style="35" customWidth="1"/>
    <col min="39" max="42" width="31" style="35" customWidth="1"/>
    <col min="43" max="46" width="29.21875" style="35" customWidth="1"/>
    <col min="47" max="47" width="32.5546875" style="35" customWidth="1"/>
    <col min="48" max="48" width="47.21875" style="35" bestFit="1" customWidth="1"/>
    <col min="49" max="50" width="32.5546875" style="35" customWidth="1"/>
    <col min="51" max="54" width="31.21875" style="35" customWidth="1"/>
    <col min="55" max="66" width="21.77734375" style="35" customWidth="1"/>
    <col min="67" max="16384" width="9.21875" style="35"/>
  </cols>
  <sheetData>
    <row r="3" spans="2:66" ht="21" x14ac:dyDescent="0.3">
      <c r="B3" s="36" t="s">
        <v>19</v>
      </c>
      <c r="C3" s="36" t="s">
        <v>20</v>
      </c>
      <c r="D3" s="36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</row>
    <row r="4" spans="2:66" s="41" customFormat="1" ht="20.100000000000001" customHeight="1" x14ac:dyDescent="0.3">
      <c r="B4" s="38" t="s">
        <v>0</v>
      </c>
      <c r="C4" s="38"/>
      <c r="D4" s="39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</row>
    <row r="5" spans="2:66" s="41" customFormat="1" ht="20.100000000000001" customHeight="1" x14ac:dyDescent="0.3">
      <c r="B5" s="38" t="s">
        <v>2</v>
      </c>
      <c r="C5" s="38"/>
      <c r="D5" s="42"/>
      <c r="E5" s="42"/>
      <c r="F5" s="58" t="s">
        <v>22</v>
      </c>
      <c r="G5" s="58"/>
      <c r="H5" s="58"/>
      <c r="I5" s="44"/>
      <c r="J5" s="46" t="s">
        <v>23</v>
      </c>
      <c r="K5" s="43" t="s">
        <v>24</v>
      </c>
      <c r="L5" s="58"/>
      <c r="M5" s="58"/>
      <c r="N5" s="44"/>
      <c r="O5" s="43" t="s">
        <v>25</v>
      </c>
      <c r="P5" s="58"/>
      <c r="Q5" s="58"/>
      <c r="R5" s="44"/>
      <c r="S5" s="43" t="s">
        <v>26</v>
      </c>
      <c r="T5" s="58"/>
      <c r="U5" s="58"/>
      <c r="V5" s="44"/>
      <c r="W5" s="43" t="s">
        <v>27</v>
      </c>
      <c r="X5" s="58"/>
      <c r="Y5" s="58"/>
      <c r="Z5" s="44"/>
      <c r="AA5" s="43" t="s">
        <v>28</v>
      </c>
      <c r="AB5" s="58"/>
      <c r="AC5" s="58"/>
      <c r="AD5" s="44"/>
      <c r="AE5" s="43" t="s">
        <v>29</v>
      </c>
      <c r="AF5" s="58"/>
      <c r="AG5" s="58"/>
      <c r="AH5" s="44"/>
      <c r="AI5" s="43" t="s">
        <v>30</v>
      </c>
      <c r="AJ5" s="58"/>
      <c r="AK5" s="58"/>
      <c r="AL5" s="44"/>
      <c r="AM5" s="43" t="s">
        <v>31</v>
      </c>
      <c r="AN5" s="58"/>
      <c r="AO5" s="58"/>
      <c r="AP5" s="44"/>
      <c r="AQ5" s="43" t="s">
        <v>32</v>
      </c>
      <c r="AR5" s="58"/>
      <c r="AS5" s="58"/>
      <c r="AT5" s="44"/>
      <c r="AU5" s="43" t="s">
        <v>33</v>
      </c>
      <c r="AV5" s="58"/>
      <c r="AW5" s="58"/>
      <c r="AX5" s="44"/>
      <c r="AY5" s="43" t="s">
        <v>34</v>
      </c>
      <c r="AZ5" s="58"/>
      <c r="BA5" s="58"/>
      <c r="BB5" s="44"/>
      <c r="BC5" s="46" t="s">
        <v>35</v>
      </c>
      <c r="BD5" s="43" t="s">
        <v>35</v>
      </c>
      <c r="BE5" s="58"/>
      <c r="BF5" s="58"/>
      <c r="BG5" s="44"/>
      <c r="BH5" s="46" t="s">
        <v>36</v>
      </c>
      <c r="BI5" s="46" t="s">
        <v>37</v>
      </c>
      <c r="BJ5" s="46" t="s">
        <v>38</v>
      </c>
      <c r="BK5" s="46" t="s">
        <v>39</v>
      </c>
      <c r="BL5" s="46" t="s">
        <v>40</v>
      </c>
      <c r="BM5" s="46" t="s">
        <v>41</v>
      </c>
      <c r="BN5" s="46" t="s">
        <v>42</v>
      </c>
    </row>
    <row r="6" spans="2:66" s="41" customFormat="1" ht="20.100000000000001" customHeight="1" x14ac:dyDescent="0.3">
      <c r="B6" s="39" t="s">
        <v>56</v>
      </c>
      <c r="C6" s="39" t="s">
        <v>57</v>
      </c>
      <c r="D6" s="39" t="s">
        <v>58</v>
      </c>
      <c r="E6" s="39" t="s">
        <v>59</v>
      </c>
      <c r="F6" s="47" t="s">
        <v>60</v>
      </c>
      <c r="G6" s="45" t="s">
        <v>61</v>
      </c>
      <c r="H6" s="45" t="s">
        <v>62</v>
      </c>
      <c r="I6" s="45" t="s">
        <v>63</v>
      </c>
      <c r="J6" s="46"/>
      <c r="K6" s="47" t="s">
        <v>60</v>
      </c>
      <c r="L6" s="45" t="s">
        <v>61</v>
      </c>
      <c r="M6" s="45" t="s">
        <v>62</v>
      </c>
      <c r="N6" s="45" t="s">
        <v>63</v>
      </c>
      <c r="O6" s="47" t="s">
        <v>60</v>
      </c>
      <c r="P6" s="45" t="s">
        <v>61</v>
      </c>
      <c r="Q6" s="45" t="s">
        <v>62</v>
      </c>
      <c r="R6" s="45" t="s">
        <v>63</v>
      </c>
      <c r="S6" s="47" t="s">
        <v>60</v>
      </c>
      <c r="T6" s="45" t="s">
        <v>61</v>
      </c>
      <c r="U6" s="45" t="s">
        <v>62</v>
      </c>
      <c r="V6" s="45" t="s">
        <v>63</v>
      </c>
      <c r="W6" s="47" t="s">
        <v>60</v>
      </c>
      <c r="X6" s="45" t="s">
        <v>61</v>
      </c>
      <c r="Y6" s="45" t="s">
        <v>62</v>
      </c>
      <c r="Z6" s="45" t="s">
        <v>63</v>
      </c>
      <c r="AA6" s="47" t="s">
        <v>60</v>
      </c>
      <c r="AB6" s="45" t="s">
        <v>61</v>
      </c>
      <c r="AC6" s="45" t="s">
        <v>62</v>
      </c>
      <c r="AD6" s="45" t="s">
        <v>63</v>
      </c>
      <c r="AE6" s="47" t="s">
        <v>60</v>
      </c>
      <c r="AF6" s="45" t="s">
        <v>61</v>
      </c>
      <c r="AG6" s="45" t="s">
        <v>62</v>
      </c>
      <c r="AH6" s="45" t="s">
        <v>63</v>
      </c>
      <c r="AI6" s="47" t="s">
        <v>60</v>
      </c>
      <c r="AJ6" s="45" t="s">
        <v>61</v>
      </c>
      <c r="AK6" s="45" t="s">
        <v>62</v>
      </c>
      <c r="AL6" s="45" t="s">
        <v>63</v>
      </c>
      <c r="AM6" s="47" t="s">
        <v>60</v>
      </c>
      <c r="AN6" s="45" t="s">
        <v>61</v>
      </c>
      <c r="AO6" s="45" t="s">
        <v>62</v>
      </c>
      <c r="AP6" s="45" t="s">
        <v>63</v>
      </c>
      <c r="AQ6" s="47" t="s">
        <v>60</v>
      </c>
      <c r="AR6" s="45" t="s">
        <v>61</v>
      </c>
      <c r="AS6" s="45" t="s">
        <v>62</v>
      </c>
      <c r="AT6" s="45" t="s">
        <v>63</v>
      </c>
      <c r="AU6" s="47" t="s">
        <v>60</v>
      </c>
      <c r="AV6" s="45" t="s">
        <v>61</v>
      </c>
      <c r="AW6" s="45" t="s">
        <v>62</v>
      </c>
      <c r="AX6" s="45" t="s">
        <v>63</v>
      </c>
      <c r="AY6" s="47" t="s">
        <v>60</v>
      </c>
      <c r="AZ6" s="45" t="s">
        <v>61</v>
      </c>
      <c r="BA6" s="45" t="s">
        <v>62</v>
      </c>
      <c r="BB6" s="45" t="s">
        <v>63</v>
      </c>
      <c r="BC6" s="46"/>
      <c r="BD6" s="47" t="s">
        <v>60</v>
      </c>
      <c r="BE6" s="45" t="s">
        <v>61</v>
      </c>
      <c r="BF6" s="45" t="s">
        <v>62</v>
      </c>
      <c r="BG6" s="45" t="s">
        <v>63</v>
      </c>
      <c r="BH6" s="46"/>
      <c r="BI6" s="46"/>
      <c r="BJ6" s="46"/>
      <c r="BK6" s="46"/>
      <c r="BL6" s="46"/>
      <c r="BM6" s="46"/>
      <c r="BN6" s="46"/>
    </row>
    <row r="7" spans="2:66" ht="72" x14ac:dyDescent="0.3">
      <c r="B7" s="48" t="s">
        <v>43</v>
      </c>
      <c r="C7" s="49" t="s">
        <v>44</v>
      </c>
      <c r="D7" s="49" t="s">
        <v>64</v>
      </c>
      <c r="E7" s="49" t="s">
        <v>11</v>
      </c>
      <c r="F7" s="50" t="s">
        <v>65</v>
      </c>
      <c r="G7" s="60" t="s">
        <v>77</v>
      </c>
      <c r="H7" s="51" t="s">
        <v>66</v>
      </c>
      <c r="I7" s="51">
        <v>1</v>
      </c>
      <c r="J7" s="52" t="s">
        <v>46</v>
      </c>
      <c r="K7" s="50" t="s">
        <v>65</v>
      </c>
      <c r="L7" s="51" t="s">
        <v>81</v>
      </c>
      <c r="M7" s="51" t="s">
        <v>66</v>
      </c>
      <c r="N7" s="51">
        <v>1</v>
      </c>
      <c r="O7" s="50" t="s">
        <v>65</v>
      </c>
      <c r="P7" s="51" t="s">
        <v>90</v>
      </c>
      <c r="Q7" s="51" t="s">
        <v>66</v>
      </c>
      <c r="R7" s="51">
        <v>1</v>
      </c>
      <c r="S7" s="50" t="s">
        <v>65</v>
      </c>
      <c r="T7" s="51" t="s">
        <v>93</v>
      </c>
      <c r="U7" s="51" t="s">
        <v>66</v>
      </c>
      <c r="V7" s="51">
        <v>1</v>
      </c>
      <c r="W7" s="50" t="s">
        <v>65</v>
      </c>
      <c r="X7" s="51" t="s">
        <v>101</v>
      </c>
      <c r="Y7" s="51" t="s">
        <v>66</v>
      </c>
      <c r="Z7" s="51">
        <v>1</v>
      </c>
      <c r="AA7" s="50" t="s">
        <v>65</v>
      </c>
      <c r="AB7" s="51" t="s">
        <v>81</v>
      </c>
      <c r="AC7" s="51" t="s">
        <v>66</v>
      </c>
      <c r="AD7" s="51">
        <v>1</v>
      </c>
      <c r="AE7" s="50" t="s">
        <v>65</v>
      </c>
      <c r="AF7" s="51" t="s">
        <v>81</v>
      </c>
      <c r="AG7" s="51" t="s">
        <v>66</v>
      </c>
      <c r="AH7" s="51">
        <v>1</v>
      </c>
      <c r="AI7" s="50" t="s">
        <v>65</v>
      </c>
      <c r="AJ7" s="51" t="s">
        <v>81</v>
      </c>
      <c r="AK7" s="51" t="s">
        <v>66</v>
      </c>
      <c r="AL7" s="51">
        <v>1</v>
      </c>
      <c r="AM7" s="50" t="s">
        <v>65</v>
      </c>
      <c r="AN7" s="51" t="s">
        <v>107</v>
      </c>
      <c r="AO7" s="51" t="s">
        <v>66</v>
      </c>
      <c r="AP7" s="51">
        <v>1</v>
      </c>
      <c r="AQ7" s="50" t="s">
        <v>65</v>
      </c>
      <c r="AR7" s="51" t="s">
        <v>98</v>
      </c>
      <c r="AS7" s="51" t="s">
        <v>66</v>
      </c>
      <c r="AT7" s="51">
        <v>1</v>
      </c>
      <c r="AU7" s="50" t="s">
        <v>65</v>
      </c>
      <c r="AV7" s="51" t="s">
        <v>97</v>
      </c>
      <c r="AW7" s="51" t="s">
        <v>66</v>
      </c>
      <c r="AX7" s="51">
        <v>1</v>
      </c>
      <c r="AY7" s="50" t="s">
        <v>65</v>
      </c>
      <c r="AZ7" s="51" t="s">
        <v>81</v>
      </c>
      <c r="BA7" s="51" t="s">
        <v>66</v>
      </c>
      <c r="BB7" s="51">
        <v>1</v>
      </c>
      <c r="BC7" s="59" t="s">
        <v>67</v>
      </c>
      <c r="BD7" s="50" t="s">
        <v>65</v>
      </c>
      <c r="BE7" s="51" t="s">
        <v>81</v>
      </c>
      <c r="BF7" s="51" t="s">
        <v>66</v>
      </c>
      <c r="BG7" s="51">
        <v>1</v>
      </c>
      <c r="BH7" s="53" t="s">
        <v>46</v>
      </c>
      <c r="BI7" s="53" t="s">
        <v>46</v>
      </c>
      <c r="BJ7" s="53" t="s">
        <v>46</v>
      </c>
      <c r="BK7" s="53" t="s">
        <v>46</v>
      </c>
      <c r="BL7" s="53" t="s">
        <v>46</v>
      </c>
      <c r="BM7" s="53" t="s">
        <v>46</v>
      </c>
      <c r="BN7" s="53" t="s">
        <v>46</v>
      </c>
    </row>
    <row r="8" spans="2:66" x14ac:dyDescent="0.3">
      <c r="B8" s="48"/>
      <c r="C8" s="49"/>
      <c r="D8" s="49"/>
      <c r="E8" s="49"/>
      <c r="F8" s="50" t="s">
        <v>68</v>
      </c>
      <c r="G8" s="61" t="s">
        <v>78</v>
      </c>
      <c r="H8" s="51" t="s">
        <v>66</v>
      </c>
      <c r="I8" s="51">
        <v>1</v>
      </c>
      <c r="K8" s="50" t="s">
        <v>68</v>
      </c>
      <c r="L8" s="61" t="s">
        <v>82</v>
      </c>
      <c r="M8" s="51" t="s">
        <v>66</v>
      </c>
      <c r="N8" s="51">
        <v>1</v>
      </c>
      <c r="O8" s="50" t="s">
        <v>68</v>
      </c>
      <c r="P8" s="61" t="s">
        <v>82</v>
      </c>
      <c r="Q8" s="51" t="s">
        <v>66</v>
      </c>
      <c r="R8" s="51">
        <v>1</v>
      </c>
      <c r="S8" s="50" t="s">
        <v>68</v>
      </c>
      <c r="T8" s="61" t="s">
        <v>92</v>
      </c>
      <c r="U8" s="51" t="s">
        <v>66</v>
      </c>
      <c r="V8" s="51">
        <v>1</v>
      </c>
      <c r="W8" s="50" t="s">
        <v>68</v>
      </c>
      <c r="X8" s="61" t="s">
        <v>105</v>
      </c>
      <c r="Y8" s="51" t="s">
        <v>66</v>
      </c>
      <c r="Z8" s="51">
        <v>1</v>
      </c>
      <c r="AA8" s="50" t="s">
        <v>68</v>
      </c>
      <c r="AB8" s="61" t="s">
        <v>106</v>
      </c>
      <c r="AC8" s="51" t="s">
        <v>66</v>
      </c>
      <c r="AD8" s="51">
        <v>1</v>
      </c>
      <c r="AE8" s="50" t="s">
        <v>68</v>
      </c>
      <c r="AF8" s="61" t="s">
        <v>102</v>
      </c>
      <c r="AG8" s="51" t="s">
        <v>66</v>
      </c>
      <c r="AH8" s="51">
        <v>1</v>
      </c>
      <c r="AI8" s="50" t="s">
        <v>68</v>
      </c>
      <c r="AJ8" s="61" t="s">
        <v>102</v>
      </c>
      <c r="AK8" s="51" t="s">
        <v>66</v>
      </c>
      <c r="AL8" s="51">
        <v>1</v>
      </c>
      <c r="AM8" s="50" t="s">
        <v>68</v>
      </c>
      <c r="AN8" s="61" t="s">
        <v>102</v>
      </c>
      <c r="AO8" s="51" t="s">
        <v>66</v>
      </c>
      <c r="AP8" s="51">
        <v>1</v>
      </c>
      <c r="AQ8" s="50" t="s">
        <v>68</v>
      </c>
      <c r="AR8" s="61" t="s">
        <v>99</v>
      </c>
      <c r="AS8" s="51" t="s">
        <v>66</v>
      </c>
      <c r="AT8" s="51">
        <v>1</v>
      </c>
      <c r="AU8" s="50" t="s">
        <v>68</v>
      </c>
      <c r="AV8" s="61" t="s">
        <v>96</v>
      </c>
      <c r="AW8" s="51" t="s">
        <v>66</v>
      </c>
      <c r="AX8" s="51">
        <v>1</v>
      </c>
      <c r="AY8" s="50" t="s">
        <v>68</v>
      </c>
      <c r="AZ8" s="61" t="s">
        <v>96</v>
      </c>
      <c r="BA8" s="51" t="s">
        <v>66</v>
      </c>
      <c r="BB8" s="51">
        <v>1</v>
      </c>
      <c r="BD8" s="50" t="s">
        <v>68</v>
      </c>
      <c r="BE8" s="61" t="s">
        <v>103</v>
      </c>
      <c r="BF8" s="51" t="s">
        <v>66</v>
      </c>
      <c r="BG8" s="51">
        <v>1</v>
      </c>
    </row>
    <row r="9" spans="2:66" x14ac:dyDescent="0.3">
      <c r="B9" s="48"/>
      <c r="C9" s="49"/>
      <c r="D9" s="49"/>
      <c r="E9" s="49"/>
      <c r="F9" s="50" t="s">
        <v>69</v>
      </c>
      <c r="G9" s="53" t="s">
        <v>79</v>
      </c>
      <c r="H9" s="51" t="s">
        <v>66</v>
      </c>
      <c r="I9" s="51">
        <v>1</v>
      </c>
      <c r="K9" s="50" t="s">
        <v>69</v>
      </c>
      <c r="L9" s="5" t="s">
        <v>83</v>
      </c>
      <c r="M9" s="51" t="s">
        <v>66</v>
      </c>
      <c r="N9" s="51"/>
      <c r="O9" s="50" t="s">
        <v>69</v>
      </c>
      <c r="P9" s="5" t="s">
        <v>88</v>
      </c>
      <c r="Q9" s="51" t="s">
        <v>66</v>
      </c>
      <c r="R9" s="51"/>
      <c r="S9" s="50" t="s">
        <v>69</v>
      </c>
      <c r="T9" s="5" t="s">
        <v>94</v>
      </c>
      <c r="U9" s="51" t="s">
        <v>66</v>
      </c>
      <c r="V9" s="51"/>
      <c r="W9" s="50" t="s">
        <v>69</v>
      </c>
      <c r="X9" s="5" t="s">
        <v>83</v>
      </c>
      <c r="Y9" s="51" t="s">
        <v>66</v>
      </c>
      <c r="Z9" s="51"/>
      <c r="AA9" s="50" t="s">
        <v>69</v>
      </c>
      <c r="AB9" s="5" t="s">
        <v>83</v>
      </c>
      <c r="AC9" s="51" t="s">
        <v>66</v>
      </c>
      <c r="AD9" s="51"/>
      <c r="AE9" s="50" t="s">
        <v>69</v>
      </c>
      <c r="AF9" s="5" t="s">
        <v>83</v>
      </c>
      <c r="AG9" s="51" t="s">
        <v>66</v>
      </c>
      <c r="AH9" s="51"/>
      <c r="AI9" s="50" t="s">
        <v>69</v>
      </c>
      <c r="AJ9" s="5" t="s">
        <v>83</v>
      </c>
      <c r="AK9" s="51" t="s">
        <v>66</v>
      </c>
      <c r="AL9" s="51"/>
      <c r="AM9" s="50" t="s">
        <v>69</v>
      </c>
      <c r="AN9" s="5" t="s">
        <v>83</v>
      </c>
      <c r="AO9" s="51" t="s">
        <v>66</v>
      </c>
      <c r="AP9" s="51"/>
      <c r="AQ9" s="50" t="s">
        <v>69</v>
      </c>
      <c r="AR9" s="5" t="s">
        <v>83</v>
      </c>
      <c r="AS9" s="51" t="s">
        <v>66</v>
      </c>
      <c r="AT9" s="51"/>
      <c r="AU9" s="50" t="s">
        <v>69</v>
      </c>
      <c r="AV9" s="5" t="s">
        <v>83</v>
      </c>
      <c r="AW9" s="51" t="s">
        <v>66</v>
      </c>
      <c r="AX9" s="51"/>
      <c r="AY9" s="50" t="s">
        <v>69</v>
      </c>
      <c r="AZ9" s="5" t="s">
        <v>83</v>
      </c>
      <c r="BA9" s="51" t="s">
        <v>66</v>
      </c>
      <c r="BB9" s="51"/>
      <c r="BD9" s="50" t="s">
        <v>69</v>
      </c>
      <c r="BE9" s="5" t="s">
        <v>104</v>
      </c>
      <c r="BF9" s="51" t="s">
        <v>66</v>
      </c>
      <c r="BG9" s="51"/>
    </row>
    <row r="10" spans="2:66" x14ac:dyDescent="0.3">
      <c r="B10" s="48"/>
      <c r="C10" s="49"/>
      <c r="D10" s="49"/>
      <c r="E10" s="49"/>
      <c r="F10" s="50" t="s">
        <v>69</v>
      </c>
      <c r="G10" s="53" t="s">
        <v>80</v>
      </c>
      <c r="H10" s="51" t="s">
        <v>66</v>
      </c>
      <c r="I10" s="51">
        <v>1</v>
      </c>
      <c r="K10" s="50" t="s">
        <v>69</v>
      </c>
      <c r="L10" s="5" t="s">
        <v>84</v>
      </c>
      <c r="M10" s="51" t="s">
        <v>66</v>
      </c>
      <c r="N10" s="51">
        <v>1</v>
      </c>
      <c r="O10" s="50" t="s">
        <v>69</v>
      </c>
      <c r="P10" s="5" t="s">
        <v>89</v>
      </c>
      <c r="Q10" s="51" t="s">
        <v>66</v>
      </c>
      <c r="R10" s="51">
        <v>1</v>
      </c>
      <c r="S10" s="50" t="s">
        <v>69</v>
      </c>
      <c r="T10" s="5" t="s">
        <v>95</v>
      </c>
      <c r="U10" s="51" t="s">
        <v>66</v>
      </c>
      <c r="V10" s="51">
        <v>1</v>
      </c>
      <c r="W10" s="50" t="s">
        <v>69</v>
      </c>
      <c r="X10" s="5" t="s">
        <v>84</v>
      </c>
      <c r="Y10" s="51" t="s">
        <v>66</v>
      </c>
      <c r="Z10" s="51">
        <v>1</v>
      </c>
      <c r="AA10" s="50" t="s">
        <v>69</v>
      </c>
      <c r="AB10" s="5" t="s">
        <v>84</v>
      </c>
      <c r="AC10" s="51" t="s">
        <v>66</v>
      </c>
      <c r="AD10" s="51">
        <v>1</v>
      </c>
      <c r="AE10" s="50" t="s">
        <v>69</v>
      </c>
      <c r="AF10" s="5" t="s">
        <v>84</v>
      </c>
      <c r="AG10" s="51" t="s">
        <v>66</v>
      </c>
      <c r="AH10" s="51">
        <v>1</v>
      </c>
      <c r="AI10" s="50" t="s">
        <v>69</v>
      </c>
      <c r="AJ10" s="5" t="s">
        <v>84</v>
      </c>
      <c r="AK10" s="51" t="s">
        <v>66</v>
      </c>
      <c r="AL10" s="51">
        <v>1</v>
      </c>
      <c r="AM10" s="50" t="s">
        <v>69</v>
      </c>
      <c r="AN10" s="5" t="s">
        <v>84</v>
      </c>
      <c r="AO10" s="51" t="s">
        <v>66</v>
      </c>
      <c r="AP10" s="51">
        <v>1</v>
      </c>
      <c r="AQ10" s="50" t="s">
        <v>69</v>
      </c>
      <c r="AR10" s="5" t="s">
        <v>84</v>
      </c>
      <c r="AS10" s="51" t="s">
        <v>66</v>
      </c>
      <c r="AT10" s="51">
        <v>1</v>
      </c>
      <c r="AU10" s="50" t="s">
        <v>69</v>
      </c>
      <c r="AV10" s="5" t="s">
        <v>84</v>
      </c>
      <c r="AW10" s="51" t="s">
        <v>66</v>
      </c>
      <c r="AX10" s="51">
        <v>1</v>
      </c>
      <c r="AY10" s="50" t="s">
        <v>69</v>
      </c>
      <c r="AZ10" s="5" t="s">
        <v>84</v>
      </c>
      <c r="BA10" s="51" t="s">
        <v>66</v>
      </c>
      <c r="BB10" s="51">
        <v>1</v>
      </c>
      <c r="BD10" s="50" t="s">
        <v>69</v>
      </c>
      <c r="BE10" s="5" t="s">
        <v>46</v>
      </c>
      <c r="BF10" s="51"/>
      <c r="BG10" s="51"/>
    </row>
    <row r="11" spans="2:66" ht="28.8" x14ac:dyDescent="0.3">
      <c r="B11" s="48"/>
      <c r="C11" s="49"/>
      <c r="D11" s="49"/>
      <c r="E11" s="49"/>
      <c r="F11" s="54" t="s">
        <v>70</v>
      </c>
      <c r="G11" s="55" t="s">
        <v>71</v>
      </c>
      <c r="H11" s="55" t="s">
        <v>66</v>
      </c>
      <c r="I11" s="55">
        <v>1</v>
      </c>
      <c r="K11" s="54" t="s">
        <v>70</v>
      </c>
      <c r="L11" s="61" t="s">
        <v>85</v>
      </c>
      <c r="M11" s="55" t="s">
        <v>66</v>
      </c>
      <c r="N11" s="55">
        <v>1</v>
      </c>
      <c r="O11" s="54" t="s">
        <v>70</v>
      </c>
      <c r="P11" s="62" t="s">
        <v>87</v>
      </c>
      <c r="Q11" s="55" t="s">
        <v>66</v>
      </c>
      <c r="R11" s="55">
        <v>1</v>
      </c>
      <c r="S11" s="54" t="s">
        <v>70</v>
      </c>
      <c r="T11" s="61" t="s">
        <v>91</v>
      </c>
      <c r="U11" s="55" t="s">
        <v>66</v>
      </c>
      <c r="V11" s="55">
        <v>1</v>
      </c>
      <c r="W11" s="54" t="s">
        <v>70</v>
      </c>
      <c r="X11" s="61" t="s">
        <v>100</v>
      </c>
      <c r="Y11" s="55" t="s">
        <v>66</v>
      </c>
      <c r="Z11" s="55">
        <v>1</v>
      </c>
      <c r="AA11" s="54" t="s">
        <v>70</v>
      </c>
      <c r="AB11" s="62" t="s">
        <v>46</v>
      </c>
      <c r="AC11" s="55"/>
      <c r="AD11" s="55"/>
      <c r="AE11" s="54" t="s">
        <v>70</v>
      </c>
      <c r="AF11" s="62" t="s">
        <v>46</v>
      </c>
      <c r="AG11" s="55"/>
      <c r="AH11" s="55"/>
      <c r="AI11" s="54" t="s">
        <v>70</v>
      </c>
      <c r="AJ11" s="62" t="s">
        <v>46</v>
      </c>
      <c r="AK11" s="55"/>
      <c r="AL11" s="55"/>
      <c r="AM11" s="54" t="s">
        <v>70</v>
      </c>
      <c r="AN11" s="61" t="s">
        <v>46</v>
      </c>
      <c r="AO11" s="55"/>
      <c r="AP11" s="55"/>
      <c r="AQ11" s="54" t="s">
        <v>70</v>
      </c>
      <c r="AR11" s="62" t="s">
        <v>46</v>
      </c>
      <c r="AS11" s="55"/>
      <c r="AT11" s="55"/>
      <c r="AU11" s="54" t="s">
        <v>70</v>
      </c>
      <c r="AV11" s="62" t="s">
        <v>46</v>
      </c>
      <c r="AW11" s="55"/>
      <c r="AX11" s="55"/>
      <c r="AY11" s="54" t="s">
        <v>70</v>
      </c>
      <c r="AZ11" s="62" t="s">
        <v>46</v>
      </c>
      <c r="BA11" s="55"/>
      <c r="BB11" s="55"/>
      <c r="BD11" s="54" t="s">
        <v>70</v>
      </c>
      <c r="BE11" s="62" t="s">
        <v>46</v>
      </c>
      <c r="BF11" s="55"/>
      <c r="BG11" s="55"/>
    </row>
    <row r="12" spans="2:66" x14ac:dyDescent="0.3">
      <c r="B12" s="48"/>
      <c r="C12" s="49"/>
      <c r="D12" s="49"/>
      <c r="E12" s="49"/>
      <c r="F12" s="54" t="s">
        <v>72</v>
      </c>
      <c r="G12" s="55" t="s">
        <v>73</v>
      </c>
      <c r="H12" s="55" t="s">
        <v>66</v>
      </c>
      <c r="I12" s="55">
        <v>1</v>
      </c>
      <c r="K12" s="54" t="s">
        <v>72</v>
      </c>
      <c r="L12" s="61" t="s">
        <v>86</v>
      </c>
      <c r="M12" s="55" t="s">
        <v>66</v>
      </c>
      <c r="N12" s="55">
        <v>1</v>
      </c>
      <c r="O12" s="54" t="s">
        <v>72</v>
      </c>
      <c r="P12" s="62" t="s">
        <v>76</v>
      </c>
      <c r="Q12" s="55" t="s">
        <v>66</v>
      </c>
      <c r="R12" s="55">
        <v>1</v>
      </c>
      <c r="S12" s="54" t="s">
        <v>72</v>
      </c>
      <c r="T12" s="61" t="s">
        <v>73</v>
      </c>
      <c r="U12" s="55" t="s">
        <v>66</v>
      </c>
      <c r="V12" s="55">
        <v>1</v>
      </c>
      <c r="W12" s="54" t="s">
        <v>72</v>
      </c>
      <c r="X12" s="61" t="s">
        <v>76</v>
      </c>
      <c r="Y12" s="55" t="s">
        <v>66</v>
      </c>
      <c r="Z12" s="55">
        <v>1</v>
      </c>
      <c r="AA12" s="54" t="s">
        <v>72</v>
      </c>
      <c r="AB12" s="62" t="s">
        <v>86</v>
      </c>
      <c r="AC12" s="55" t="s">
        <v>66</v>
      </c>
      <c r="AD12" s="55">
        <v>1</v>
      </c>
      <c r="AE12" s="54" t="s">
        <v>72</v>
      </c>
      <c r="AF12" s="61" t="s">
        <v>86</v>
      </c>
      <c r="AG12" s="55" t="s">
        <v>66</v>
      </c>
      <c r="AH12" s="55">
        <v>1</v>
      </c>
      <c r="AI12" s="54" t="s">
        <v>72</v>
      </c>
      <c r="AJ12" s="62" t="s">
        <v>86</v>
      </c>
      <c r="AK12" s="55" t="s">
        <v>66</v>
      </c>
      <c r="AL12" s="55">
        <v>1</v>
      </c>
      <c r="AM12" s="54" t="s">
        <v>72</v>
      </c>
      <c r="AN12" s="61" t="s">
        <v>76</v>
      </c>
      <c r="AO12" s="55" t="s">
        <v>66</v>
      </c>
      <c r="AP12" s="55">
        <v>1</v>
      </c>
      <c r="AQ12" s="54" t="s">
        <v>72</v>
      </c>
      <c r="AR12" s="62" t="s">
        <v>73</v>
      </c>
      <c r="AS12" s="55" t="s">
        <v>66</v>
      </c>
      <c r="AT12" s="55">
        <v>1</v>
      </c>
      <c r="AU12" s="54" t="s">
        <v>72</v>
      </c>
      <c r="AV12" s="62" t="s">
        <v>73</v>
      </c>
      <c r="AW12" s="55" t="s">
        <v>66</v>
      </c>
      <c r="AX12" s="55">
        <v>1</v>
      </c>
      <c r="AY12" s="54" t="s">
        <v>72</v>
      </c>
      <c r="AZ12" s="61" t="s">
        <v>73</v>
      </c>
      <c r="BA12" s="55" t="s">
        <v>66</v>
      </c>
      <c r="BB12" s="55">
        <v>1</v>
      </c>
      <c r="BD12" s="54" t="s">
        <v>72</v>
      </c>
      <c r="BE12" s="62" t="s">
        <v>46</v>
      </c>
      <c r="BF12" s="55"/>
      <c r="BG12" s="55"/>
    </row>
    <row r="13" spans="2:66" ht="13.95" customHeight="1" x14ac:dyDescent="0.3">
      <c r="B13" s="48"/>
      <c r="C13" s="49"/>
      <c r="D13" s="49"/>
      <c r="E13" s="49"/>
      <c r="F13" s="9" t="s">
        <v>7</v>
      </c>
      <c r="G13" s="56" t="s">
        <v>74</v>
      </c>
      <c r="H13" s="57" t="s">
        <v>75</v>
      </c>
      <c r="I13" s="10">
        <f>1000*92.35%</f>
        <v>923.5</v>
      </c>
      <c r="K13" s="9" t="s">
        <v>7</v>
      </c>
      <c r="L13" s="56" t="s">
        <v>74</v>
      </c>
      <c r="M13" s="57" t="s">
        <v>75</v>
      </c>
      <c r="N13" s="10">
        <f>4000*92.35%</f>
        <v>3694</v>
      </c>
      <c r="O13" s="9" t="s">
        <v>7</v>
      </c>
      <c r="P13" s="56" t="s">
        <v>74</v>
      </c>
      <c r="Q13" s="57" t="s">
        <v>75</v>
      </c>
      <c r="R13" s="10">
        <f>5000*92.35%</f>
        <v>4617.5</v>
      </c>
      <c r="S13" s="9" t="s">
        <v>7</v>
      </c>
      <c r="T13" s="56" t="s">
        <v>74</v>
      </c>
      <c r="U13" s="57" t="s">
        <v>75</v>
      </c>
      <c r="V13" s="10">
        <f>6000*92.35%</f>
        <v>5541</v>
      </c>
      <c r="W13" s="9" t="s">
        <v>7</v>
      </c>
      <c r="X13" s="56" t="s">
        <v>74</v>
      </c>
      <c r="Y13" s="57" t="s">
        <v>75</v>
      </c>
      <c r="Z13" s="10">
        <f>7000*92.35%</f>
        <v>6464.5</v>
      </c>
      <c r="AA13" s="9" t="s">
        <v>7</v>
      </c>
      <c r="AB13" s="56" t="s">
        <v>74</v>
      </c>
      <c r="AC13" s="57" t="s">
        <v>75</v>
      </c>
      <c r="AD13" s="10">
        <f>10000*92.35%</f>
        <v>9235</v>
      </c>
      <c r="AE13" s="9" t="s">
        <v>7</v>
      </c>
      <c r="AF13" s="56" t="s">
        <v>74</v>
      </c>
      <c r="AG13" s="57" t="s">
        <v>75</v>
      </c>
      <c r="AH13" s="10">
        <f>18000*92.35%</f>
        <v>16623</v>
      </c>
      <c r="AI13" s="9" t="s">
        <v>7</v>
      </c>
      <c r="AJ13" s="56" t="s">
        <v>74</v>
      </c>
      <c r="AK13" s="57" t="s">
        <v>75</v>
      </c>
      <c r="AL13" s="10">
        <f>20000*92.35%</f>
        <v>18470</v>
      </c>
      <c r="AM13" s="9" t="s">
        <v>7</v>
      </c>
      <c r="AN13" s="56" t="s">
        <v>74</v>
      </c>
      <c r="AO13" s="57" t="s">
        <v>75</v>
      </c>
      <c r="AP13" s="10">
        <f>25000*92.35%</f>
        <v>23087.5</v>
      </c>
      <c r="AQ13" s="9" t="s">
        <v>7</v>
      </c>
      <c r="AR13" s="56" t="s">
        <v>74</v>
      </c>
      <c r="AS13" s="57" t="s">
        <v>75</v>
      </c>
      <c r="AT13" s="10">
        <f>30000*92.35%</f>
        <v>27705</v>
      </c>
      <c r="AU13" s="9" t="s">
        <v>7</v>
      </c>
      <c r="AV13" s="56" t="s">
        <v>74</v>
      </c>
      <c r="AW13" s="57" t="s">
        <v>75</v>
      </c>
      <c r="AX13" s="10">
        <f>60000*92.35%</f>
        <v>55410</v>
      </c>
      <c r="AY13" s="9" t="s">
        <v>7</v>
      </c>
      <c r="AZ13" s="56" t="s">
        <v>74</v>
      </c>
      <c r="BA13" s="57" t="s">
        <v>75</v>
      </c>
      <c r="BB13" s="10">
        <f>200000*92.35%</f>
        <v>184700</v>
      </c>
      <c r="BD13" s="9" t="s">
        <v>7</v>
      </c>
      <c r="BE13" s="56" t="s">
        <v>74</v>
      </c>
      <c r="BF13" s="57" t="s">
        <v>75</v>
      </c>
      <c r="BG13" s="10">
        <f>1000000*92.35%</f>
        <v>923500</v>
      </c>
    </row>
    <row r="14" spans="2:66" ht="13.95" customHeight="1" x14ac:dyDescent="0.3">
      <c r="B14" s="48"/>
      <c r="C14" s="49"/>
      <c r="D14" s="49"/>
      <c r="E14" s="49"/>
      <c r="F14" s="9" t="s">
        <v>8</v>
      </c>
      <c r="G14" s="56" t="s">
        <v>74</v>
      </c>
      <c r="H14" s="57" t="s">
        <v>75</v>
      </c>
      <c r="I14" s="10">
        <f>1000*0.35%</f>
        <v>3.4999999999999996</v>
      </c>
      <c r="K14" s="9" t="s">
        <v>8</v>
      </c>
      <c r="L14" s="56" t="s">
        <v>74</v>
      </c>
      <c r="M14" s="57" t="s">
        <v>75</v>
      </c>
      <c r="N14" s="10">
        <f>4000*0.35%</f>
        <v>13.999999999999998</v>
      </c>
      <c r="O14" s="9" t="s">
        <v>8</v>
      </c>
      <c r="P14" s="56" t="s">
        <v>74</v>
      </c>
      <c r="Q14" s="57" t="s">
        <v>75</v>
      </c>
      <c r="R14" s="10">
        <f>5000*0.35%</f>
        <v>17.499999999999996</v>
      </c>
      <c r="S14" s="9" t="s">
        <v>8</v>
      </c>
      <c r="T14" s="56" t="s">
        <v>74</v>
      </c>
      <c r="U14" s="57" t="s">
        <v>75</v>
      </c>
      <c r="V14" s="10">
        <f>6000*0.35%</f>
        <v>20.999999999999996</v>
      </c>
      <c r="W14" s="9" t="s">
        <v>8</v>
      </c>
      <c r="X14" s="56" t="s">
        <v>74</v>
      </c>
      <c r="Y14" s="57" t="s">
        <v>75</v>
      </c>
      <c r="Z14" s="10">
        <f>7000*0.35%</f>
        <v>24.499999999999996</v>
      </c>
      <c r="AA14" s="9" t="s">
        <v>8</v>
      </c>
      <c r="AB14" s="56" t="s">
        <v>74</v>
      </c>
      <c r="AC14" s="57" t="s">
        <v>75</v>
      </c>
      <c r="AD14" s="10">
        <f>10000*0.35%</f>
        <v>34.999999999999993</v>
      </c>
      <c r="AE14" s="9" t="s">
        <v>8</v>
      </c>
      <c r="AF14" s="56" t="s">
        <v>74</v>
      </c>
      <c r="AG14" s="57" t="s">
        <v>75</v>
      </c>
      <c r="AH14" s="10">
        <f>18000*0.35%</f>
        <v>62.999999999999993</v>
      </c>
      <c r="AI14" s="9" t="s">
        <v>8</v>
      </c>
      <c r="AJ14" s="56" t="s">
        <v>74</v>
      </c>
      <c r="AK14" s="57" t="s">
        <v>75</v>
      </c>
      <c r="AL14" s="10">
        <f>20000*0.35%</f>
        <v>69.999999999999986</v>
      </c>
      <c r="AM14" s="9" t="s">
        <v>8</v>
      </c>
      <c r="AN14" s="56" t="s">
        <v>74</v>
      </c>
      <c r="AO14" s="57" t="s">
        <v>75</v>
      </c>
      <c r="AP14" s="10">
        <f>25000*0.35%</f>
        <v>87.499999999999986</v>
      </c>
      <c r="AQ14" s="9" t="s">
        <v>8</v>
      </c>
      <c r="AR14" s="56" t="s">
        <v>74</v>
      </c>
      <c r="AS14" s="57" t="s">
        <v>75</v>
      </c>
      <c r="AT14" s="10">
        <f>30000*0.35%</f>
        <v>104.99999999999999</v>
      </c>
      <c r="AU14" s="9" t="s">
        <v>8</v>
      </c>
      <c r="AV14" s="56" t="s">
        <v>74</v>
      </c>
      <c r="AW14" s="57" t="s">
        <v>75</v>
      </c>
      <c r="AX14" s="10">
        <f>60000*0.35%</f>
        <v>209.99999999999997</v>
      </c>
      <c r="AY14" s="9" t="s">
        <v>8</v>
      </c>
      <c r="AZ14" s="56" t="s">
        <v>74</v>
      </c>
      <c r="BA14" s="57" t="s">
        <v>75</v>
      </c>
      <c r="BB14" s="10">
        <f>200000*0.35%</f>
        <v>699.99999999999989</v>
      </c>
      <c r="BD14" s="9" t="s">
        <v>8</v>
      </c>
      <c r="BE14" s="56" t="s">
        <v>74</v>
      </c>
      <c r="BF14" s="57" t="s">
        <v>75</v>
      </c>
      <c r="BG14" s="10">
        <f>1000000*0.35%</f>
        <v>3499.9999999999995</v>
      </c>
    </row>
    <row r="15" spans="2:66" ht="13.95" customHeight="1" x14ac:dyDescent="0.3">
      <c r="B15" s="48"/>
      <c r="C15" s="49"/>
      <c r="D15" s="49"/>
      <c r="E15" s="49"/>
      <c r="F15" s="9" t="s">
        <v>9</v>
      </c>
      <c r="G15" s="56" t="s">
        <v>74</v>
      </c>
      <c r="H15" s="57" t="s">
        <v>75</v>
      </c>
      <c r="I15" s="10">
        <f>1000*7%</f>
        <v>70</v>
      </c>
      <c r="K15" s="9" t="s">
        <v>9</v>
      </c>
      <c r="L15" s="56" t="s">
        <v>74</v>
      </c>
      <c r="M15" s="57" t="s">
        <v>75</v>
      </c>
      <c r="N15" s="10">
        <f>4000*7%</f>
        <v>280</v>
      </c>
      <c r="O15" s="9" t="s">
        <v>9</v>
      </c>
      <c r="P15" s="56" t="s">
        <v>74</v>
      </c>
      <c r="Q15" s="57" t="s">
        <v>75</v>
      </c>
      <c r="R15" s="10">
        <f>5000*7%</f>
        <v>350.00000000000006</v>
      </c>
      <c r="S15" s="9" t="s">
        <v>9</v>
      </c>
      <c r="T15" s="56" t="s">
        <v>74</v>
      </c>
      <c r="U15" s="57" t="s">
        <v>75</v>
      </c>
      <c r="V15" s="10">
        <f>6000*7%</f>
        <v>420.00000000000006</v>
      </c>
      <c r="W15" s="9" t="s">
        <v>9</v>
      </c>
      <c r="X15" s="56" t="s">
        <v>74</v>
      </c>
      <c r="Y15" s="57" t="s">
        <v>75</v>
      </c>
      <c r="Z15" s="10">
        <f>7000*7%</f>
        <v>490.00000000000006</v>
      </c>
      <c r="AA15" s="9" t="s">
        <v>9</v>
      </c>
      <c r="AB15" s="56" t="s">
        <v>74</v>
      </c>
      <c r="AC15" s="57" t="s">
        <v>75</v>
      </c>
      <c r="AD15" s="10">
        <f>10000*7%</f>
        <v>700.00000000000011</v>
      </c>
      <c r="AE15" s="9" t="s">
        <v>9</v>
      </c>
      <c r="AF15" s="56" t="s">
        <v>74</v>
      </c>
      <c r="AG15" s="57" t="s">
        <v>75</v>
      </c>
      <c r="AH15" s="10">
        <f>18000*7%</f>
        <v>1260.0000000000002</v>
      </c>
      <c r="AI15" s="9" t="s">
        <v>9</v>
      </c>
      <c r="AJ15" s="56" t="s">
        <v>74</v>
      </c>
      <c r="AK15" s="57" t="s">
        <v>75</v>
      </c>
      <c r="AL15" s="10">
        <f>20000*7%</f>
        <v>1400.0000000000002</v>
      </c>
      <c r="AM15" s="9" t="s">
        <v>9</v>
      </c>
      <c r="AN15" s="56" t="s">
        <v>74</v>
      </c>
      <c r="AO15" s="57" t="s">
        <v>75</v>
      </c>
      <c r="AP15" s="10">
        <f>25000*7%</f>
        <v>1750.0000000000002</v>
      </c>
      <c r="AQ15" s="9" t="s">
        <v>9</v>
      </c>
      <c r="AR15" s="56" t="s">
        <v>74</v>
      </c>
      <c r="AS15" s="57" t="s">
        <v>75</v>
      </c>
      <c r="AT15" s="10">
        <f>30000*7%</f>
        <v>2100</v>
      </c>
      <c r="AU15" s="9" t="s">
        <v>9</v>
      </c>
      <c r="AV15" s="56" t="s">
        <v>74</v>
      </c>
      <c r="AW15" s="57" t="s">
        <v>75</v>
      </c>
      <c r="AX15" s="10">
        <f>60000*7%</f>
        <v>4200</v>
      </c>
      <c r="AY15" s="9" t="s">
        <v>9</v>
      </c>
      <c r="AZ15" s="56" t="s">
        <v>74</v>
      </c>
      <c r="BA15" s="57" t="s">
        <v>75</v>
      </c>
      <c r="BB15" s="10">
        <f>200000*7%</f>
        <v>14000.000000000002</v>
      </c>
      <c r="BD15" s="9" t="s">
        <v>9</v>
      </c>
      <c r="BE15" s="56" t="s">
        <v>74</v>
      </c>
      <c r="BF15" s="57" t="s">
        <v>75</v>
      </c>
      <c r="BG15" s="10">
        <f>1000000*7%</f>
        <v>70000</v>
      </c>
    </row>
    <row r="16" spans="2:66" ht="13.95" customHeight="1" x14ac:dyDescent="0.3">
      <c r="B16" s="48"/>
      <c r="C16" s="49"/>
      <c r="D16" s="49"/>
      <c r="E16" s="49"/>
      <c r="F16" s="13" t="s">
        <v>10</v>
      </c>
      <c r="G16" s="56" t="s">
        <v>74</v>
      </c>
      <c r="H16" s="57" t="s">
        <v>75</v>
      </c>
      <c r="I16" s="10">
        <f>1000*0.3%</f>
        <v>3</v>
      </c>
      <c r="K16" s="13" t="s">
        <v>10</v>
      </c>
      <c r="L16" s="56" t="s">
        <v>74</v>
      </c>
      <c r="M16" s="57" t="s">
        <v>75</v>
      </c>
      <c r="N16" s="10">
        <f>4000*0.3%</f>
        <v>12</v>
      </c>
      <c r="O16" s="13" t="s">
        <v>10</v>
      </c>
      <c r="P16" s="56" t="s">
        <v>74</v>
      </c>
      <c r="Q16" s="57" t="s">
        <v>75</v>
      </c>
      <c r="R16" s="10">
        <f>5000*0.3%</f>
        <v>15</v>
      </c>
      <c r="S16" s="13" t="s">
        <v>10</v>
      </c>
      <c r="T16" s="56" t="s">
        <v>74</v>
      </c>
      <c r="U16" s="57" t="s">
        <v>75</v>
      </c>
      <c r="V16" s="10">
        <f>6000*0.3%</f>
        <v>18</v>
      </c>
      <c r="W16" s="13" t="s">
        <v>10</v>
      </c>
      <c r="X16" s="56" t="s">
        <v>74</v>
      </c>
      <c r="Y16" s="57" t="s">
        <v>75</v>
      </c>
      <c r="Z16" s="10">
        <f>7000*0.3%</f>
        <v>21</v>
      </c>
      <c r="AA16" s="13" t="s">
        <v>10</v>
      </c>
      <c r="AB16" s="56" t="s">
        <v>74</v>
      </c>
      <c r="AC16" s="57" t="s">
        <v>75</v>
      </c>
      <c r="AD16" s="10">
        <f>10000*0.3%</f>
        <v>30</v>
      </c>
      <c r="AE16" s="13" t="s">
        <v>10</v>
      </c>
      <c r="AF16" s="56" t="s">
        <v>74</v>
      </c>
      <c r="AG16" s="57" t="s">
        <v>75</v>
      </c>
      <c r="AH16" s="10">
        <f>18000*0.3%</f>
        <v>54</v>
      </c>
      <c r="AI16" s="13" t="s">
        <v>10</v>
      </c>
      <c r="AJ16" s="56" t="s">
        <v>74</v>
      </c>
      <c r="AK16" s="57" t="s">
        <v>75</v>
      </c>
      <c r="AL16" s="10">
        <f>20000*0.3%</f>
        <v>60</v>
      </c>
      <c r="AM16" s="13" t="s">
        <v>10</v>
      </c>
      <c r="AN16" s="56" t="s">
        <v>74</v>
      </c>
      <c r="AO16" s="57" t="s">
        <v>75</v>
      </c>
      <c r="AP16" s="10">
        <f>25000*0.3%</f>
        <v>75</v>
      </c>
      <c r="AQ16" s="13" t="s">
        <v>10</v>
      </c>
      <c r="AR16" s="56" t="s">
        <v>74</v>
      </c>
      <c r="AS16" s="57" t="s">
        <v>75</v>
      </c>
      <c r="AT16" s="10">
        <f>30000*0.3%</f>
        <v>90</v>
      </c>
      <c r="AU16" s="13" t="s">
        <v>10</v>
      </c>
      <c r="AV16" s="56" t="s">
        <v>74</v>
      </c>
      <c r="AW16" s="57" t="s">
        <v>75</v>
      </c>
      <c r="AX16" s="10">
        <f>60000*0.3%</f>
        <v>180</v>
      </c>
      <c r="AY16" s="13" t="s">
        <v>10</v>
      </c>
      <c r="AZ16" s="56" t="s">
        <v>74</v>
      </c>
      <c r="BA16" s="57" t="s">
        <v>75</v>
      </c>
      <c r="BB16" s="10">
        <f>200000*0.3%</f>
        <v>600</v>
      </c>
      <c r="BD16" s="13" t="s">
        <v>10</v>
      </c>
      <c r="BE16" s="56" t="s">
        <v>74</v>
      </c>
      <c r="BF16" s="57" t="s">
        <v>75</v>
      </c>
      <c r="BG16" s="10">
        <f>1000000*0.3%</f>
        <v>3000</v>
      </c>
    </row>
  </sheetData>
  <mergeCells count="21">
    <mergeCell ref="AE5:AH5"/>
    <mergeCell ref="AA5:AD5"/>
    <mergeCell ref="W5:Z5"/>
    <mergeCell ref="S5:V5"/>
    <mergeCell ref="O5:R5"/>
    <mergeCell ref="BD5:BG5"/>
    <mergeCell ref="AY5:BB5"/>
    <mergeCell ref="AU5:AX5"/>
    <mergeCell ref="AQ5:AT5"/>
    <mergeCell ref="AM5:AP5"/>
    <mergeCell ref="AI5:AL5"/>
    <mergeCell ref="D7:D16"/>
    <mergeCell ref="E7:E16"/>
    <mergeCell ref="C7:C16"/>
    <mergeCell ref="B7:B16"/>
    <mergeCell ref="K5:N5"/>
    <mergeCell ref="F3:BN3"/>
    <mergeCell ref="B4:C4"/>
    <mergeCell ref="F4:BN4"/>
    <mergeCell ref="B5:C5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17"/>
  <sheetViews>
    <sheetView workbookViewId="0">
      <selection activeCell="B7" sqref="B7:B17"/>
    </sheetView>
  </sheetViews>
  <sheetFormatPr defaultColWidth="9.21875" defaultRowHeight="14.4" x14ac:dyDescent="0.3"/>
  <cols>
    <col min="1" max="1" width="9.21875" style="35"/>
    <col min="2" max="2" width="15.77734375" style="34" customWidth="1"/>
    <col min="3" max="5" width="65.21875" style="35" customWidth="1"/>
    <col min="6" max="6" width="17.33203125" style="35" bestFit="1" customWidth="1"/>
    <col min="7" max="7" width="47.21875" style="35" bestFit="1" customWidth="1"/>
    <col min="8" max="9" width="31.44140625" style="35" customWidth="1"/>
    <col min="10" max="10" width="28.21875" style="35" customWidth="1"/>
    <col min="11" max="11" width="29.21875" style="35" customWidth="1"/>
    <col min="12" max="12" width="47.21875" style="35" bestFit="1" customWidth="1"/>
    <col min="13" max="14" width="29.21875" style="35" customWidth="1"/>
    <col min="15" max="15" width="28.77734375" style="35" customWidth="1"/>
    <col min="16" max="16" width="47.21875" style="35" bestFit="1" customWidth="1"/>
    <col min="17" max="18" width="28.77734375" style="35" customWidth="1"/>
    <col min="19" max="19" width="31.21875" style="35" customWidth="1"/>
    <col min="20" max="20" width="47.21875" style="35" bestFit="1" customWidth="1"/>
    <col min="21" max="22" width="31.21875" style="35" customWidth="1"/>
    <col min="23" max="26" width="31.77734375" style="35" customWidth="1"/>
    <col min="27" max="30" width="29.44140625" style="35" customWidth="1"/>
    <col min="31" max="38" width="32.21875" style="35" customWidth="1"/>
    <col min="39" max="42" width="31" style="35" customWidth="1"/>
    <col min="43" max="46" width="29.21875" style="35" customWidth="1"/>
    <col min="47" max="47" width="32.5546875" style="35" customWidth="1"/>
    <col min="48" max="48" width="47.21875" style="35" bestFit="1" customWidth="1"/>
    <col min="49" max="50" width="32.5546875" style="35" customWidth="1"/>
    <col min="51" max="54" width="31.21875" style="35" customWidth="1"/>
    <col min="55" max="66" width="21.77734375" style="35" customWidth="1"/>
    <col min="67" max="16384" width="9.21875" style="35"/>
  </cols>
  <sheetData>
    <row r="3" spans="2:66" ht="21" x14ac:dyDescent="0.3">
      <c r="B3" s="36" t="s">
        <v>19</v>
      </c>
      <c r="C3" s="36" t="s">
        <v>20</v>
      </c>
      <c r="D3" s="36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</row>
    <row r="4" spans="2:66" s="41" customFormat="1" ht="20.100000000000001" customHeight="1" x14ac:dyDescent="0.3">
      <c r="B4" s="38" t="s">
        <v>0</v>
      </c>
      <c r="C4" s="38"/>
      <c r="D4" s="39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</row>
    <row r="5" spans="2:66" s="41" customFormat="1" ht="20.100000000000001" customHeight="1" x14ac:dyDescent="0.3">
      <c r="B5" s="38" t="s">
        <v>2</v>
      </c>
      <c r="C5" s="38"/>
      <c r="D5" s="42"/>
      <c r="E5" s="42"/>
      <c r="F5" s="58" t="s">
        <v>22</v>
      </c>
      <c r="G5" s="58"/>
      <c r="H5" s="58"/>
      <c r="I5" s="44"/>
      <c r="J5" s="46" t="s">
        <v>23</v>
      </c>
      <c r="K5" s="43" t="s">
        <v>24</v>
      </c>
      <c r="L5" s="58"/>
      <c r="M5" s="58"/>
      <c r="N5" s="44"/>
      <c r="O5" s="43" t="s">
        <v>25</v>
      </c>
      <c r="P5" s="58"/>
      <c r="Q5" s="58"/>
      <c r="R5" s="44"/>
      <c r="S5" s="43" t="s">
        <v>26</v>
      </c>
      <c r="T5" s="58"/>
      <c r="U5" s="58"/>
      <c r="V5" s="44"/>
      <c r="W5" s="43" t="s">
        <v>27</v>
      </c>
      <c r="X5" s="58"/>
      <c r="Y5" s="58"/>
      <c r="Z5" s="44"/>
      <c r="AA5" s="43" t="s">
        <v>28</v>
      </c>
      <c r="AB5" s="58"/>
      <c r="AC5" s="58"/>
      <c r="AD5" s="44"/>
      <c r="AE5" s="43" t="s">
        <v>29</v>
      </c>
      <c r="AF5" s="58"/>
      <c r="AG5" s="58"/>
      <c r="AH5" s="44"/>
      <c r="AI5" s="43" t="s">
        <v>30</v>
      </c>
      <c r="AJ5" s="58"/>
      <c r="AK5" s="58"/>
      <c r="AL5" s="44"/>
      <c r="AM5" s="43" t="s">
        <v>31</v>
      </c>
      <c r="AN5" s="58"/>
      <c r="AO5" s="58"/>
      <c r="AP5" s="44"/>
      <c r="AQ5" s="43" t="s">
        <v>32</v>
      </c>
      <c r="AR5" s="58"/>
      <c r="AS5" s="58"/>
      <c r="AT5" s="44"/>
      <c r="AU5" s="43" t="s">
        <v>33</v>
      </c>
      <c r="AV5" s="58"/>
      <c r="AW5" s="58"/>
      <c r="AX5" s="44"/>
      <c r="AY5" s="43" t="s">
        <v>34</v>
      </c>
      <c r="AZ5" s="58"/>
      <c r="BA5" s="58"/>
      <c r="BB5" s="44"/>
      <c r="BC5" s="46" t="s">
        <v>35</v>
      </c>
      <c r="BD5" s="43" t="s">
        <v>35</v>
      </c>
      <c r="BE5" s="58"/>
      <c r="BF5" s="58"/>
      <c r="BG5" s="44"/>
      <c r="BH5" s="46" t="s">
        <v>36</v>
      </c>
      <c r="BI5" s="46" t="s">
        <v>37</v>
      </c>
      <c r="BJ5" s="46" t="s">
        <v>38</v>
      </c>
      <c r="BK5" s="46" t="s">
        <v>39</v>
      </c>
      <c r="BL5" s="46" t="s">
        <v>40</v>
      </c>
      <c r="BM5" s="46" t="s">
        <v>41</v>
      </c>
      <c r="BN5" s="46" t="s">
        <v>42</v>
      </c>
    </row>
    <row r="6" spans="2:66" s="41" customFormat="1" ht="20.100000000000001" customHeight="1" x14ac:dyDescent="0.3">
      <c r="B6" s="39" t="s">
        <v>56</v>
      </c>
      <c r="C6" s="39" t="s">
        <v>57</v>
      </c>
      <c r="D6" s="39" t="s">
        <v>58</v>
      </c>
      <c r="E6" s="39" t="s">
        <v>59</v>
      </c>
      <c r="F6" s="47" t="s">
        <v>60</v>
      </c>
      <c r="G6" s="45" t="s">
        <v>61</v>
      </c>
      <c r="H6" s="45" t="s">
        <v>62</v>
      </c>
      <c r="I6" s="45" t="s">
        <v>63</v>
      </c>
      <c r="J6" s="46"/>
      <c r="K6" s="47" t="s">
        <v>60</v>
      </c>
      <c r="L6" s="45" t="s">
        <v>61</v>
      </c>
      <c r="M6" s="45" t="s">
        <v>62</v>
      </c>
      <c r="N6" s="45" t="s">
        <v>63</v>
      </c>
      <c r="O6" s="47" t="s">
        <v>60</v>
      </c>
      <c r="P6" s="45" t="s">
        <v>61</v>
      </c>
      <c r="Q6" s="45" t="s">
        <v>62</v>
      </c>
      <c r="R6" s="45" t="s">
        <v>63</v>
      </c>
      <c r="S6" s="47" t="s">
        <v>60</v>
      </c>
      <c r="T6" s="45" t="s">
        <v>61</v>
      </c>
      <c r="U6" s="45" t="s">
        <v>62</v>
      </c>
      <c r="V6" s="45" t="s">
        <v>63</v>
      </c>
      <c r="W6" s="47" t="s">
        <v>60</v>
      </c>
      <c r="X6" s="45" t="s">
        <v>61</v>
      </c>
      <c r="Y6" s="45" t="s">
        <v>62</v>
      </c>
      <c r="Z6" s="45" t="s">
        <v>63</v>
      </c>
      <c r="AA6" s="47" t="s">
        <v>60</v>
      </c>
      <c r="AB6" s="45" t="s">
        <v>61</v>
      </c>
      <c r="AC6" s="45" t="s">
        <v>62</v>
      </c>
      <c r="AD6" s="45" t="s">
        <v>63</v>
      </c>
      <c r="AE6" s="47" t="s">
        <v>60</v>
      </c>
      <c r="AF6" s="45" t="s">
        <v>61</v>
      </c>
      <c r="AG6" s="45" t="s">
        <v>62</v>
      </c>
      <c r="AH6" s="45" t="s">
        <v>63</v>
      </c>
      <c r="AI6" s="47" t="s">
        <v>60</v>
      </c>
      <c r="AJ6" s="45" t="s">
        <v>61</v>
      </c>
      <c r="AK6" s="45" t="s">
        <v>62</v>
      </c>
      <c r="AL6" s="45" t="s">
        <v>63</v>
      </c>
      <c r="AM6" s="47" t="s">
        <v>60</v>
      </c>
      <c r="AN6" s="45" t="s">
        <v>61</v>
      </c>
      <c r="AO6" s="45" t="s">
        <v>62</v>
      </c>
      <c r="AP6" s="45" t="s">
        <v>63</v>
      </c>
      <c r="AQ6" s="47" t="s">
        <v>60</v>
      </c>
      <c r="AR6" s="45" t="s">
        <v>61</v>
      </c>
      <c r="AS6" s="45" t="s">
        <v>62</v>
      </c>
      <c r="AT6" s="45" t="s">
        <v>63</v>
      </c>
      <c r="AU6" s="47" t="s">
        <v>60</v>
      </c>
      <c r="AV6" s="45" t="s">
        <v>61</v>
      </c>
      <c r="AW6" s="45" t="s">
        <v>62</v>
      </c>
      <c r="AX6" s="45" t="s">
        <v>63</v>
      </c>
      <c r="AY6" s="47" t="s">
        <v>60</v>
      </c>
      <c r="AZ6" s="45" t="s">
        <v>61</v>
      </c>
      <c r="BA6" s="45" t="s">
        <v>62</v>
      </c>
      <c r="BB6" s="45" t="s">
        <v>63</v>
      </c>
      <c r="BC6" s="46"/>
      <c r="BD6" s="47" t="s">
        <v>60</v>
      </c>
      <c r="BE6" s="45" t="s">
        <v>61</v>
      </c>
      <c r="BF6" s="45" t="s">
        <v>62</v>
      </c>
      <c r="BG6" s="45" t="s">
        <v>63</v>
      </c>
      <c r="BH6" s="46"/>
      <c r="BI6" s="46"/>
      <c r="BJ6" s="46"/>
      <c r="BK6" s="46"/>
      <c r="BL6" s="46"/>
      <c r="BM6" s="46"/>
      <c r="BN6" s="46"/>
    </row>
    <row r="7" spans="2:66" ht="72" x14ac:dyDescent="0.3">
      <c r="B7" s="48" t="s">
        <v>43</v>
      </c>
      <c r="C7" s="49" t="s">
        <v>44</v>
      </c>
      <c r="D7" s="49" t="s">
        <v>64</v>
      </c>
      <c r="E7" s="49" t="s">
        <v>16</v>
      </c>
      <c r="F7" s="50" t="s">
        <v>65</v>
      </c>
      <c r="G7" s="60" t="s">
        <v>77</v>
      </c>
      <c r="H7" s="51" t="s">
        <v>66</v>
      </c>
      <c r="I7" s="51">
        <v>1</v>
      </c>
      <c r="J7" s="52" t="s">
        <v>46</v>
      </c>
      <c r="K7" s="50" t="s">
        <v>65</v>
      </c>
      <c r="L7" s="51" t="s">
        <v>81</v>
      </c>
      <c r="M7" s="51" t="s">
        <v>66</v>
      </c>
      <c r="N7" s="51">
        <v>1</v>
      </c>
      <c r="O7" s="50" t="s">
        <v>65</v>
      </c>
      <c r="P7" s="51" t="s">
        <v>90</v>
      </c>
      <c r="Q7" s="51" t="s">
        <v>66</v>
      </c>
      <c r="R7" s="51">
        <v>1</v>
      </c>
      <c r="S7" s="50" t="s">
        <v>65</v>
      </c>
      <c r="T7" s="51" t="s">
        <v>93</v>
      </c>
      <c r="U7" s="51" t="s">
        <v>66</v>
      </c>
      <c r="V7" s="51">
        <v>1</v>
      </c>
      <c r="W7" s="50" t="s">
        <v>65</v>
      </c>
      <c r="X7" s="51" t="s">
        <v>101</v>
      </c>
      <c r="Y7" s="51" t="s">
        <v>66</v>
      </c>
      <c r="Z7" s="51">
        <v>1</v>
      </c>
      <c r="AA7" s="50" t="s">
        <v>65</v>
      </c>
      <c r="AB7" s="51" t="s">
        <v>81</v>
      </c>
      <c r="AC7" s="51" t="s">
        <v>66</v>
      </c>
      <c r="AD7" s="51">
        <v>1</v>
      </c>
      <c r="AE7" s="50" t="s">
        <v>65</v>
      </c>
      <c r="AF7" s="51" t="s">
        <v>81</v>
      </c>
      <c r="AG7" s="51" t="s">
        <v>66</v>
      </c>
      <c r="AH7" s="51">
        <v>1</v>
      </c>
      <c r="AI7" s="50" t="s">
        <v>65</v>
      </c>
      <c r="AJ7" s="51" t="s">
        <v>81</v>
      </c>
      <c r="AK7" s="51" t="s">
        <v>66</v>
      </c>
      <c r="AL7" s="51">
        <v>1</v>
      </c>
      <c r="AM7" s="50" t="s">
        <v>65</v>
      </c>
      <c r="AN7" s="51" t="s">
        <v>107</v>
      </c>
      <c r="AO7" s="51" t="s">
        <v>66</v>
      </c>
      <c r="AP7" s="51">
        <v>1</v>
      </c>
      <c r="AQ7" s="50" t="s">
        <v>65</v>
      </c>
      <c r="AR7" s="51" t="s">
        <v>98</v>
      </c>
      <c r="AS7" s="51" t="s">
        <v>66</v>
      </c>
      <c r="AT7" s="51">
        <v>1</v>
      </c>
      <c r="AU7" s="50" t="s">
        <v>65</v>
      </c>
      <c r="AV7" s="51" t="s">
        <v>97</v>
      </c>
      <c r="AW7" s="51" t="s">
        <v>66</v>
      </c>
      <c r="AX7" s="51">
        <v>1</v>
      </c>
      <c r="AY7" s="50" t="s">
        <v>65</v>
      </c>
      <c r="AZ7" s="51" t="s">
        <v>81</v>
      </c>
      <c r="BA7" s="51" t="s">
        <v>66</v>
      </c>
      <c r="BB7" s="51">
        <v>1</v>
      </c>
      <c r="BC7" s="59" t="s">
        <v>67</v>
      </c>
      <c r="BD7" s="50" t="s">
        <v>65</v>
      </c>
      <c r="BE7" s="51" t="s">
        <v>81</v>
      </c>
      <c r="BF7" s="51" t="s">
        <v>66</v>
      </c>
      <c r="BG7" s="51">
        <v>1</v>
      </c>
      <c r="BH7" s="53" t="s">
        <v>46</v>
      </c>
      <c r="BI7" s="53" t="s">
        <v>46</v>
      </c>
      <c r="BJ7" s="53" t="s">
        <v>46</v>
      </c>
      <c r="BK7" s="53" t="s">
        <v>46</v>
      </c>
      <c r="BL7" s="53" t="s">
        <v>46</v>
      </c>
      <c r="BM7" s="53" t="s">
        <v>46</v>
      </c>
      <c r="BN7" s="53" t="s">
        <v>46</v>
      </c>
    </row>
    <row r="8" spans="2:66" x14ac:dyDescent="0.3">
      <c r="B8" s="48"/>
      <c r="C8" s="49"/>
      <c r="D8" s="49"/>
      <c r="E8" s="49"/>
      <c r="F8" s="50" t="s">
        <v>68</v>
      </c>
      <c r="G8" s="61" t="s">
        <v>78</v>
      </c>
      <c r="H8" s="51" t="s">
        <v>66</v>
      </c>
      <c r="I8" s="51">
        <v>1</v>
      </c>
      <c r="K8" s="50" t="s">
        <v>68</v>
      </c>
      <c r="L8" s="61" t="s">
        <v>82</v>
      </c>
      <c r="M8" s="51" t="s">
        <v>66</v>
      </c>
      <c r="N8" s="51">
        <v>1</v>
      </c>
      <c r="O8" s="50" t="s">
        <v>68</v>
      </c>
      <c r="P8" s="61" t="s">
        <v>82</v>
      </c>
      <c r="Q8" s="51" t="s">
        <v>66</v>
      </c>
      <c r="R8" s="51">
        <v>1</v>
      </c>
      <c r="S8" s="50" t="s">
        <v>68</v>
      </c>
      <c r="T8" s="61" t="s">
        <v>92</v>
      </c>
      <c r="U8" s="51" t="s">
        <v>66</v>
      </c>
      <c r="V8" s="51">
        <v>1</v>
      </c>
      <c r="W8" s="50" t="s">
        <v>68</v>
      </c>
      <c r="X8" s="61" t="s">
        <v>105</v>
      </c>
      <c r="Y8" s="51" t="s">
        <v>66</v>
      </c>
      <c r="Z8" s="51">
        <v>1</v>
      </c>
      <c r="AA8" s="50" t="s">
        <v>68</v>
      </c>
      <c r="AB8" s="61" t="s">
        <v>106</v>
      </c>
      <c r="AC8" s="51" t="s">
        <v>66</v>
      </c>
      <c r="AD8" s="51">
        <v>1</v>
      </c>
      <c r="AE8" s="50" t="s">
        <v>68</v>
      </c>
      <c r="AF8" s="61" t="s">
        <v>102</v>
      </c>
      <c r="AG8" s="51" t="s">
        <v>66</v>
      </c>
      <c r="AH8" s="51">
        <v>1</v>
      </c>
      <c r="AI8" s="50" t="s">
        <v>68</v>
      </c>
      <c r="AJ8" s="61" t="s">
        <v>102</v>
      </c>
      <c r="AK8" s="51" t="s">
        <v>66</v>
      </c>
      <c r="AL8" s="51">
        <v>1</v>
      </c>
      <c r="AM8" s="50" t="s">
        <v>68</v>
      </c>
      <c r="AN8" s="61" t="s">
        <v>102</v>
      </c>
      <c r="AO8" s="51" t="s">
        <v>66</v>
      </c>
      <c r="AP8" s="51">
        <v>1</v>
      </c>
      <c r="AQ8" s="50" t="s">
        <v>68</v>
      </c>
      <c r="AR8" s="61" t="s">
        <v>99</v>
      </c>
      <c r="AS8" s="51" t="s">
        <v>66</v>
      </c>
      <c r="AT8" s="51">
        <v>1</v>
      </c>
      <c r="AU8" s="50" t="s">
        <v>68</v>
      </c>
      <c r="AV8" s="61" t="s">
        <v>96</v>
      </c>
      <c r="AW8" s="51" t="s">
        <v>66</v>
      </c>
      <c r="AX8" s="51">
        <v>1</v>
      </c>
      <c r="AY8" s="50" t="s">
        <v>68</v>
      </c>
      <c r="AZ8" s="61" t="s">
        <v>96</v>
      </c>
      <c r="BA8" s="51" t="s">
        <v>66</v>
      </c>
      <c r="BB8" s="51">
        <v>1</v>
      </c>
      <c r="BD8" s="50" t="s">
        <v>68</v>
      </c>
      <c r="BE8" s="61" t="s">
        <v>103</v>
      </c>
      <c r="BF8" s="51" t="s">
        <v>66</v>
      </c>
      <c r="BG8" s="51">
        <v>1</v>
      </c>
    </row>
    <row r="9" spans="2:66" x14ac:dyDescent="0.3">
      <c r="B9" s="48"/>
      <c r="C9" s="49"/>
      <c r="D9" s="49"/>
      <c r="E9" s="49"/>
      <c r="F9" s="50" t="s">
        <v>69</v>
      </c>
      <c r="G9" s="53" t="s">
        <v>79</v>
      </c>
      <c r="H9" s="51" t="s">
        <v>66</v>
      </c>
      <c r="I9" s="51">
        <v>1</v>
      </c>
      <c r="K9" s="50" t="s">
        <v>69</v>
      </c>
      <c r="L9" s="5" t="s">
        <v>83</v>
      </c>
      <c r="M9" s="51" t="s">
        <v>66</v>
      </c>
      <c r="N9" s="51"/>
      <c r="O9" s="50" t="s">
        <v>69</v>
      </c>
      <c r="P9" s="5" t="s">
        <v>88</v>
      </c>
      <c r="Q9" s="51" t="s">
        <v>66</v>
      </c>
      <c r="R9" s="51"/>
      <c r="S9" s="50" t="s">
        <v>69</v>
      </c>
      <c r="T9" s="5" t="s">
        <v>94</v>
      </c>
      <c r="U9" s="51" t="s">
        <v>66</v>
      </c>
      <c r="V9" s="51"/>
      <c r="W9" s="50" t="s">
        <v>69</v>
      </c>
      <c r="X9" s="5" t="s">
        <v>83</v>
      </c>
      <c r="Y9" s="51" t="s">
        <v>66</v>
      </c>
      <c r="Z9" s="51"/>
      <c r="AA9" s="50" t="s">
        <v>69</v>
      </c>
      <c r="AB9" s="5" t="s">
        <v>83</v>
      </c>
      <c r="AC9" s="51" t="s">
        <v>66</v>
      </c>
      <c r="AD9" s="51"/>
      <c r="AE9" s="50" t="s">
        <v>69</v>
      </c>
      <c r="AF9" s="5" t="s">
        <v>83</v>
      </c>
      <c r="AG9" s="51" t="s">
        <v>66</v>
      </c>
      <c r="AH9" s="51"/>
      <c r="AI9" s="50" t="s">
        <v>69</v>
      </c>
      <c r="AJ9" s="5" t="s">
        <v>83</v>
      </c>
      <c r="AK9" s="51" t="s">
        <v>66</v>
      </c>
      <c r="AL9" s="51"/>
      <c r="AM9" s="50" t="s">
        <v>69</v>
      </c>
      <c r="AN9" s="5" t="s">
        <v>83</v>
      </c>
      <c r="AO9" s="51" t="s">
        <v>66</v>
      </c>
      <c r="AP9" s="51"/>
      <c r="AQ9" s="50" t="s">
        <v>69</v>
      </c>
      <c r="AR9" s="5" t="s">
        <v>83</v>
      </c>
      <c r="AS9" s="51" t="s">
        <v>66</v>
      </c>
      <c r="AT9" s="51"/>
      <c r="AU9" s="50" t="s">
        <v>69</v>
      </c>
      <c r="AV9" s="5" t="s">
        <v>83</v>
      </c>
      <c r="AW9" s="51" t="s">
        <v>66</v>
      </c>
      <c r="AX9" s="51"/>
      <c r="AY9" s="50" t="s">
        <v>69</v>
      </c>
      <c r="AZ9" s="5" t="s">
        <v>83</v>
      </c>
      <c r="BA9" s="51" t="s">
        <v>66</v>
      </c>
      <c r="BB9" s="51"/>
      <c r="BD9" s="50" t="s">
        <v>69</v>
      </c>
      <c r="BE9" s="5" t="s">
        <v>104</v>
      </c>
      <c r="BF9" s="51" t="s">
        <v>66</v>
      </c>
      <c r="BG9" s="51"/>
    </row>
    <row r="10" spans="2:66" x14ac:dyDescent="0.3">
      <c r="B10" s="48"/>
      <c r="C10" s="49"/>
      <c r="D10" s="49"/>
      <c r="E10" s="49"/>
      <c r="F10" s="50" t="s">
        <v>69</v>
      </c>
      <c r="G10" s="53" t="s">
        <v>80</v>
      </c>
      <c r="H10" s="51" t="s">
        <v>66</v>
      </c>
      <c r="I10" s="51">
        <v>1</v>
      </c>
      <c r="K10" s="50" t="s">
        <v>69</v>
      </c>
      <c r="L10" s="5" t="s">
        <v>84</v>
      </c>
      <c r="M10" s="51" t="s">
        <v>66</v>
      </c>
      <c r="N10" s="51">
        <v>1</v>
      </c>
      <c r="O10" s="50" t="s">
        <v>69</v>
      </c>
      <c r="P10" s="5" t="s">
        <v>89</v>
      </c>
      <c r="Q10" s="51" t="s">
        <v>66</v>
      </c>
      <c r="R10" s="51">
        <v>1</v>
      </c>
      <c r="S10" s="50" t="s">
        <v>69</v>
      </c>
      <c r="T10" s="5" t="s">
        <v>95</v>
      </c>
      <c r="U10" s="51" t="s">
        <v>66</v>
      </c>
      <c r="V10" s="51">
        <v>1</v>
      </c>
      <c r="W10" s="50" t="s">
        <v>69</v>
      </c>
      <c r="X10" s="5" t="s">
        <v>84</v>
      </c>
      <c r="Y10" s="51" t="s">
        <v>66</v>
      </c>
      <c r="Z10" s="51">
        <v>1</v>
      </c>
      <c r="AA10" s="50" t="s">
        <v>69</v>
      </c>
      <c r="AB10" s="5" t="s">
        <v>84</v>
      </c>
      <c r="AC10" s="51" t="s">
        <v>66</v>
      </c>
      <c r="AD10" s="51">
        <v>1</v>
      </c>
      <c r="AE10" s="50" t="s">
        <v>69</v>
      </c>
      <c r="AF10" s="5" t="s">
        <v>84</v>
      </c>
      <c r="AG10" s="51" t="s">
        <v>66</v>
      </c>
      <c r="AH10" s="51">
        <v>1</v>
      </c>
      <c r="AI10" s="50" t="s">
        <v>69</v>
      </c>
      <c r="AJ10" s="5" t="s">
        <v>84</v>
      </c>
      <c r="AK10" s="51" t="s">
        <v>66</v>
      </c>
      <c r="AL10" s="51">
        <v>1</v>
      </c>
      <c r="AM10" s="50" t="s">
        <v>69</v>
      </c>
      <c r="AN10" s="5" t="s">
        <v>84</v>
      </c>
      <c r="AO10" s="51" t="s">
        <v>66</v>
      </c>
      <c r="AP10" s="51">
        <v>1</v>
      </c>
      <c r="AQ10" s="50" t="s">
        <v>69</v>
      </c>
      <c r="AR10" s="5" t="s">
        <v>84</v>
      </c>
      <c r="AS10" s="51" t="s">
        <v>66</v>
      </c>
      <c r="AT10" s="51">
        <v>1</v>
      </c>
      <c r="AU10" s="50" t="s">
        <v>69</v>
      </c>
      <c r="AV10" s="5" t="s">
        <v>84</v>
      </c>
      <c r="AW10" s="51" t="s">
        <v>66</v>
      </c>
      <c r="AX10" s="51">
        <v>1</v>
      </c>
      <c r="AY10" s="50" t="s">
        <v>69</v>
      </c>
      <c r="AZ10" s="5" t="s">
        <v>84</v>
      </c>
      <c r="BA10" s="51" t="s">
        <v>66</v>
      </c>
      <c r="BB10" s="51">
        <v>1</v>
      </c>
      <c r="BD10" s="50" t="s">
        <v>69</v>
      </c>
      <c r="BE10" s="5" t="s">
        <v>46</v>
      </c>
      <c r="BF10" s="51"/>
      <c r="BG10" s="51"/>
    </row>
    <row r="11" spans="2:66" ht="28.8" x14ac:dyDescent="0.3">
      <c r="B11" s="48"/>
      <c r="C11" s="49"/>
      <c r="D11" s="49"/>
      <c r="E11" s="49"/>
      <c r="F11" s="54" t="s">
        <v>70</v>
      </c>
      <c r="G11" s="55" t="s">
        <v>71</v>
      </c>
      <c r="H11" s="55" t="s">
        <v>66</v>
      </c>
      <c r="I11" s="55">
        <v>1</v>
      </c>
      <c r="K11" s="54" t="s">
        <v>70</v>
      </c>
      <c r="L11" s="61" t="s">
        <v>85</v>
      </c>
      <c r="M11" s="55" t="s">
        <v>66</v>
      </c>
      <c r="N11" s="55">
        <v>1</v>
      </c>
      <c r="O11" s="54" t="s">
        <v>70</v>
      </c>
      <c r="P11" s="62" t="s">
        <v>87</v>
      </c>
      <c r="Q11" s="55" t="s">
        <v>66</v>
      </c>
      <c r="R11" s="55">
        <v>1</v>
      </c>
      <c r="S11" s="54" t="s">
        <v>70</v>
      </c>
      <c r="T11" s="61" t="s">
        <v>91</v>
      </c>
      <c r="U11" s="55" t="s">
        <v>66</v>
      </c>
      <c r="V11" s="55">
        <v>1</v>
      </c>
      <c r="W11" s="54" t="s">
        <v>70</v>
      </c>
      <c r="X11" s="61" t="s">
        <v>100</v>
      </c>
      <c r="Y11" s="55" t="s">
        <v>66</v>
      </c>
      <c r="Z11" s="55">
        <v>1</v>
      </c>
      <c r="AA11" s="54" t="s">
        <v>70</v>
      </c>
      <c r="AB11" s="62" t="s">
        <v>46</v>
      </c>
      <c r="AC11" s="55"/>
      <c r="AD11" s="55"/>
      <c r="AE11" s="54" t="s">
        <v>70</v>
      </c>
      <c r="AF11" s="62" t="s">
        <v>46</v>
      </c>
      <c r="AG11" s="55"/>
      <c r="AH11" s="55"/>
      <c r="AI11" s="54" t="s">
        <v>70</v>
      </c>
      <c r="AJ11" s="62" t="s">
        <v>46</v>
      </c>
      <c r="AK11" s="55"/>
      <c r="AL11" s="55"/>
      <c r="AM11" s="54" t="s">
        <v>70</v>
      </c>
      <c r="AN11" s="61" t="s">
        <v>46</v>
      </c>
      <c r="AO11" s="55"/>
      <c r="AP11" s="55"/>
      <c r="AQ11" s="54" t="s">
        <v>70</v>
      </c>
      <c r="AR11" s="62" t="s">
        <v>46</v>
      </c>
      <c r="AS11" s="55"/>
      <c r="AT11" s="55"/>
      <c r="AU11" s="54" t="s">
        <v>70</v>
      </c>
      <c r="AV11" s="62" t="s">
        <v>46</v>
      </c>
      <c r="AW11" s="55"/>
      <c r="AX11" s="55"/>
      <c r="AY11" s="54" t="s">
        <v>70</v>
      </c>
      <c r="AZ11" s="62" t="s">
        <v>46</v>
      </c>
      <c r="BA11" s="55"/>
      <c r="BB11" s="55"/>
      <c r="BD11" s="54" t="s">
        <v>70</v>
      </c>
      <c r="BE11" s="62" t="s">
        <v>46</v>
      </c>
      <c r="BF11" s="55"/>
      <c r="BG11" s="55"/>
    </row>
    <row r="12" spans="2:66" x14ac:dyDescent="0.3">
      <c r="B12" s="48"/>
      <c r="C12" s="49"/>
      <c r="D12" s="49"/>
      <c r="E12" s="49"/>
      <c r="F12" s="54" t="s">
        <v>72</v>
      </c>
      <c r="G12" s="55" t="s">
        <v>73</v>
      </c>
      <c r="H12" s="55" t="s">
        <v>66</v>
      </c>
      <c r="I12" s="55">
        <v>1</v>
      </c>
      <c r="K12" s="54" t="s">
        <v>72</v>
      </c>
      <c r="L12" s="61" t="s">
        <v>86</v>
      </c>
      <c r="M12" s="55" t="s">
        <v>66</v>
      </c>
      <c r="N12" s="55">
        <v>1</v>
      </c>
      <c r="O12" s="54" t="s">
        <v>72</v>
      </c>
      <c r="P12" s="62" t="s">
        <v>76</v>
      </c>
      <c r="Q12" s="55" t="s">
        <v>66</v>
      </c>
      <c r="R12" s="55">
        <v>1</v>
      </c>
      <c r="S12" s="54" t="s">
        <v>72</v>
      </c>
      <c r="T12" s="61" t="s">
        <v>73</v>
      </c>
      <c r="U12" s="55" t="s">
        <v>66</v>
      </c>
      <c r="V12" s="55">
        <v>1</v>
      </c>
      <c r="W12" s="54" t="s">
        <v>72</v>
      </c>
      <c r="X12" s="61" t="s">
        <v>76</v>
      </c>
      <c r="Y12" s="55" t="s">
        <v>66</v>
      </c>
      <c r="Z12" s="55">
        <v>1</v>
      </c>
      <c r="AA12" s="54" t="s">
        <v>72</v>
      </c>
      <c r="AB12" s="62" t="s">
        <v>86</v>
      </c>
      <c r="AC12" s="55" t="s">
        <v>66</v>
      </c>
      <c r="AD12" s="55">
        <v>1</v>
      </c>
      <c r="AE12" s="54" t="s">
        <v>72</v>
      </c>
      <c r="AF12" s="61" t="s">
        <v>86</v>
      </c>
      <c r="AG12" s="55" t="s">
        <v>66</v>
      </c>
      <c r="AH12" s="55">
        <v>1</v>
      </c>
      <c r="AI12" s="54" t="s">
        <v>72</v>
      </c>
      <c r="AJ12" s="62" t="s">
        <v>86</v>
      </c>
      <c r="AK12" s="55" t="s">
        <v>66</v>
      </c>
      <c r="AL12" s="55">
        <v>1</v>
      </c>
      <c r="AM12" s="54" t="s">
        <v>72</v>
      </c>
      <c r="AN12" s="61" t="s">
        <v>76</v>
      </c>
      <c r="AO12" s="55" t="s">
        <v>66</v>
      </c>
      <c r="AP12" s="55">
        <v>1</v>
      </c>
      <c r="AQ12" s="54" t="s">
        <v>72</v>
      </c>
      <c r="AR12" s="62" t="s">
        <v>73</v>
      </c>
      <c r="AS12" s="55" t="s">
        <v>66</v>
      </c>
      <c r="AT12" s="55">
        <v>1</v>
      </c>
      <c r="AU12" s="54" t="s">
        <v>72</v>
      </c>
      <c r="AV12" s="62" t="s">
        <v>73</v>
      </c>
      <c r="AW12" s="55" t="s">
        <v>66</v>
      </c>
      <c r="AX12" s="55">
        <v>1</v>
      </c>
      <c r="AY12" s="54" t="s">
        <v>72</v>
      </c>
      <c r="AZ12" s="61" t="s">
        <v>73</v>
      </c>
      <c r="BA12" s="55" t="s">
        <v>66</v>
      </c>
      <c r="BB12" s="55">
        <v>1</v>
      </c>
      <c r="BD12" s="54" t="s">
        <v>72</v>
      </c>
      <c r="BE12" s="62" t="s">
        <v>46</v>
      </c>
      <c r="BF12" s="55"/>
      <c r="BG12" s="55"/>
    </row>
    <row r="13" spans="2:66" ht="13.95" customHeight="1" x14ac:dyDescent="0.3">
      <c r="B13" s="48"/>
      <c r="C13" s="49"/>
      <c r="D13" s="49"/>
      <c r="E13" s="49"/>
      <c r="F13" s="9" t="s">
        <v>7</v>
      </c>
      <c r="G13" s="56" t="s">
        <v>74</v>
      </c>
      <c r="H13" s="57" t="s">
        <v>75</v>
      </c>
      <c r="I13" s="10">
        <f>1000*81.79%</f>
        <v>817.90000000000009</v>
      </c>
      <c r="K13" s="9" t="s">
        <v>7</v>
      </c>
      <c r="L13" s="56" t="s">
        <v>74</v>
      </c>
      <c r="M13" s="57" t="s">
        <v>75</v>
      </c>
      <c r="N13" s="10">
        <f>4000*81.79%</f>
        <v>3271.6000000000004</v>
      </c>
      <c r="O13" s="9" t="s">
        <v>7</v>
      </c>
      <c r="P13" s="56" t="s">
        <v>74</v>
      </c>
      <c r="Q13" s="57" t="s">
        <v>75</v>
      </c>
      <c r="R13" s="10">
        <f>5000*81.79%</f>
        <v>4089.5000000000005</v>
      </c>
      <c r="S13" s="9" t="s">
        <v>7</v>
      </c>
      <c r="T13" s="56" t="s">
        <v>74</v>
      </c>
      <c r="U13" s="57" t="s">
        <v>75</v>
      </c>
      <c r="V13" s="10">
        <f>6000*81.79%</f>
        <v>4907.4000000000005</v>
      </c>
      <c r="W13" s="9" t="s">
        <v>7</v>
      </c>
      <c r="X13" s="56" t="s">
        <v>74</v>
      </c>
      <c r="Y13" s="57" t="s">
        <v>75</v>
      </c>
      <c r="Z13" s="10">
        <f>7000*81.79%</f>
        <v>5725.3</v>
      </c>
      <c r="AA13" s="9" t="s">
        <v>7</v>
      </c>
      <c r="AB13" s="56" t="s">
        <v>74</v>
      </c>
      <c r="AC13" s="57" t="s">
        <v>75</v>
      </c>
      <c r="AD13" s="10">
        <f>10000*81.79%</f>
        <v>8179.0000000000009</v>
      </c>
      <c r="AE13" s="9" t="s">
        <v>7</v>
      </c>
      <c r="AF13" s="56" t="s">
        <v>74</v>
      </c>
      <c r="AG13" s="57" t="s">
        <v>75</v>
      </c>
      <c r="AH13" s="10">
        <f>18000*81.79%</f>
        <v>14722.2</v>
      </c>
      <c r="AI13" s="9" t="s">
        <v>7</v>
      </c>
      <c r="AJ13" s="56" t="s">
        <v>74</v>
      </c>
      <c r="AK13" s="57" t="s">
        <v>75</v>
      </c>
      <c r="AL13" s="10">
        <f>20000*81.79%</f>
        <v>16358.000000000002</v>
      </c>
      <c r="AM13" s="9" t="s">
        <v>7</v>
      </c>
      <c r="AN13" s="56" t="s">
        <v>74</v>
      </c>
      <c r="AO13" s="57" t="s">
        <v>75</v>
      </c>
      <c r="AP13" s="10">
        <f>25000*81.79%</f>
        <v>20447.5</v>
      </c>
      <c r="AQ13" s="9" t="s">
        <v>7</v>
      </c>
      <c r="AR13" s="56" t="s">
        <v>74</v>
      </c>
      <c r="AS13" s="57" t="s">
        <v>75</v>
      </c>
      <c r="AT13" s="10">
        <f>30000*81.79%</f>
        <v>24537.000000000004</v>
      </c>
      <c r="AU13" s="9" t="s">
        <v>7</v>
      </c>
      <c r="AV13" s="56" t="s">
        <v>74</v>
      </c>
      <c r="AW13" s="57" t="s">
        <v>75</v>
      </c>
      <c r="AX13" s="10">
        <f>60000*81.79%</f>
        <v>49074.000000000007</v>
      </c>
      <c r="AY13" s="9" t="s">
        <v>7</v>
      </c>
      <c r="AZ13" s="56" t="s">
        <v>74</v>
      </c>
      <c r="BA13" s="57" t="s">
        <v>75</v>
      </c>
      <c r="BB13" s="10">
        <f>1000*81.79%</f>
        <v>817.90000000000009</v>
      </c>
      <c r="BD13" s="9" t="s">
        <v>7</v>
      </c>
      <c r="BE13" s="56" t="s">
        <v>74</v>
      </c>
      <c r="BF13" s="57" t="s">
        <v>75</v>
      </c>
      <c r="BG13" s="10">
        <f>1000000*81.79%</f>
        <v>817900.00000000012</v>
      </c>
    </row>
    <row r="14" spans="2:66" ht="13.95" customHeight="1" x14ac:dyDescent="0.3">
      <c r="B14" s="48"/>
      <c r="C14" s="49"/>
      <c r="D14" s="49"/>
      <c r="E14" s="49"/>
      <c r="F14" s="9" t="s">
        <v>13</v>
      </c>
      <c r="G14" s="56" t="s">
        <v>74</v>
      </c>
      <c r="H14" s="57" t="s">
        <v>75</v>
      </c>
      <c r="I14" s="10">
        <f>1000*10%</f>
        <v>100</v>
      </c>
      <c r="K14" s="9" t="s">
        <v>13</v>
      </c>
      <c r="L14" s="56" t="s">
        <v>74</v>
      </c>
      <c r="M14" s="57" t="s">
        <v>75</v>
      </c>
      <c r="N14" s="10">
        <f>4000*10%</f>
        <v>400</v>
      </c>
      <c r="O14" s="9" t="s">
        <v>13</v>
      </c>
      <c r="P14" s="56" t="s">
        <v>74</v>
      </c>
      <c r="Q14" s="57" t="s">
        <v>75</v>
      </c>
      <c r="R14" s="10">
        <f>5000*10%</f>
        <v>500</v>
      </c>
      <c r="S14" s="9" t="s">
        <v>13</v>
      </c>
      <c r="T14" s="56" t="s">
        <v>74</v>
      </c>
      <c r="U14" s="57" t="s">
        <v>75</v>
      </c>
      <c r="V14" s="10">
        <f>6000*10%</f>
        <v>600</v>
      </c>
      <c r="W14" s="9" t="s">
        <v>13</v>
      </c>
      <c r="X14" s="56" t="s">
        <v>74</v>
      </c>
      <c r="Y14" s="57" t="s">
        <v>75</v>
      </c>
      <c r="Z14" s="10">
        <f>7000*10%</f>
        <v>700</v>
      </c>
      <c r="AA14" s="9" t="s">
        <v>13</v>
      </c>
      <c r="AB14" s="56" t="s">
        <v>74</v>
      </c>
      <c r="AC14" s="57" t="s">
        <v>75</v>
      </c>
      <c r="AD14" s="10">
        <f>10000*10%</f>
        <v>1000</v>
      </c>
      <c r="AE14" s="9" t="s">
        <v>13</v>
      </c>
      <c r="AF14" s="56" t="s">
        <v>74</v>
      </c>
      <c r="AG14" s="57" t="s">
        <v>75</v>
      </c>
      <c r="AH14" s="10">
        <f>18000*10%</f>
        <v>1800</v>
      </c>
      <c r="AI14" s="9" t="s">
        <v>13</v>
      </c>
      <c r="AJ14" s="56" t="s">
        <v>74</v>
      </c>
      <c r="AK14" s="57" t="s">
        <v>75</v>
      </c>
      <c r="AL14" s="10">
        <f>20000*10%</f>
        <v>2000</v>
      </c>
      <c r="AM14" s="9" t="s">
        <v>13</v>
      </c>
      <c r="AN14" s="56" t="s">
        <v>74</v>
      </c>
      <c r="AO14" s="57" t="s">
        <v>75</v>
      </c>
      <c r="AP14" s="10">
        <f>25000*10%</f>
        <v>2500</v>
      </c>
      <c r="AQ14" s="9" t="s">
        <v>13</v>
      </c>
      <c r="AR14" s="56" t="s">
        <v>74</v>
      </c>
      <c r="AS14" s="57" t="s">
        <v>75</v>
      </c>
      <c r="AT14" s="10">
        <f>30000*10%</f>
        <v>3000</v>
      </c>
      <c r="AU14" s="9" t="s">
        <v>13</v>
      </c>
      <c r="AV14" s="56" t="s">
        <v>74</v>
      </c>
      <c r="AW14" s="57" t="s">
        <v>75</v>
      </c>
      <c r="AX14" s="10">
        <f>60000*10%</f>
        <v>6000</v>
      </c>
      <c r="AY14" s="9" t="s">
        <v>13</v>
      </c>
      <c r="AZ14" s="56" t="s">
        <v>74</v>
      </c>
      <c r="BA14" s="57" t="s">
        <v>75</v>
      </c>
      <c r="BB14" s="10">
        <f>200000*10%</f>
        <v>20000</v>
      </c>
      <c r="BD14" s="9" t="s">
        <v>13</v>
      </c>
      <c r="BE14" s="56" t="s">
        <v>74</v>
      </c>
      <c r="BF14" s="57" t="s">
        <v>75</v>
      </c>
      <c r="BG14" s="10">
        <f>1000000*10%</f>
        <v>100000</v>
      </c>
    </row>
    <row r="15" spans="2:66" ht="13.95" customHeight="1" x14ac:dyDescent="0.3">
      <c r="B15" s="48"/>
      <c r="C15" s="49"/>
      <c r="D15" s="49"/>
      <c r="E15" s="49"/>
      <c r="F15" s="9" t="s">
        <v>8</v>
      </c>
      <c r="G15" s="56" t="s">
        <v>74</v>
      </c>
      <c r="H15" s="57" t="s">
        <v>75</v>
      </c>
      <c r="I15" s="10">
        <f>1000*0.35%</f>
        <v>3.4999999999999996</v>
      </c>
      <c r="K15" s="9" t="s">
        <v>8</v>
      </c>
      <c r="L15" s="56" t="s">
        <v>74</v>
      </c>
      <c r="M15" s="57" t="s">
        <v>75</v>
      </c>
      <c r="N15" s="10">
        <f>4000*0.35%</f>
        <v>13.999999999999998</v>
      </c>
      <c r="O15" s="9" t="s">
        <v>8</v>
      </c>
      <c r="P15" s="56" t="s">
        <v>74</v>
      </c>
      <c r="Q15" s="57" t="s">
        <v>75</v>
      </c>
      <c r="R15" s="10">
        <f>5000*0.35%</f>
        <v>17.499999999999996</v>
      </c>
      <c r="S15" s="9" t="s">
        <v>8</v>
      </c>
      <c r="T15" s="56" t="s">
        <v>74</v>
      </c>
      <c r="U15" s="57" t="s">
        <v>75</v>
      </c>
      <c r="V15" s="10">
        <f>6000*0.35%</f>
        <v>20.999999999999996</v>
      </c>
      <c r="W15" s="9" t="s">
        <v>8</v>
      </c>
      <c r="X15" s="56" t="s">
        <v>74</v>
      </c>
      <c r="Y15" s="57" t="s">
        <v>75</v>
      </c>
      <c r="Z15" s="10">
        <f>7000*0.35%</f>
        <v>24.499999999999996</v>
      </c>
      <c r="AA15" s="9" t="s">
        <v>8</v>
      </c>
      <c r="AB15" s="56" t="s">
        <v>74</v>
      </c>
      <c r="AC15" s="57" t="s">
        <v>75</v>
      </c>
      <c r="AD15" s="10">
        <f>10000*0.35%</f>
        <v>34.999999999999993</v>
      </c>
      <c r="AE15" s="9" t="s">
        <v>8</v>
      </c>
      <c r="AF15" s="56" t="s">
        <v>74</v>
      </c>
      <c r="AG15" s="57" t="s">
        <v>75</v>
      </c>
      <c r="AH15" s="10">
        <f>18000*0.35%</f>
        <v>62.999999999999993</v>
      </c>
      <c r="AI15" s="9" t="s">
        <v>8</v>
      </c>
      <c r="AJ15" s="56" t="s">
        <v>74</v>
      </c>
      <c r="AK15" s="57" t="s">
        <v>75</v>
      </c>
      <c r="AL15" s="10">
        <f>20000*0.35%</f>
        <v>69.999999999999986</v>
      </c>
      <c r="AM15" s="9" t="s">
        <v>8</v>
      </c>
      <c r="AN15" s="56" t="s">
        <v>74</v>
      </c>
      <c r="AO15" s="57" t="s">
        <v>75</v>
      </c>
      <c r="AP15" s="10">
        <f>25000*0.35%</f>
        <v>87.499999999999986</v>
      </c>
      <c r="AQ15" s="9" t="s">
        <v>8</v>
      </c>
      <c r="AR15" s="56" t="s">
        <v>74</v>
      </c>
      <c r="AS15" s="57" t="s">
        <v>75</v>
      </c>
      <c r="AT15" s="10">
        <f>30000*0.35%</f>
        <v>104.99999999999999</v>
      </c>
      <c r="AU15" s="9" t="s">
        <v>8</v>
      </c>
      <c r="AV15" s="56" t="s">
        <v>74</v>
      </c>
      <c r="AW15" s="57" t="s">
        <v>75</v>
      </c>
      <c r="AX15" s="10">
        <f>60000*0.35%</f>
        <v>209.99999999999997</v>
      </c>
      <c r="AY15" s="9" t="s">
        <v>8</v>
      </c>
      <c r="AZ15" s="56" t="s">
        <v>74</v>
      </c>
      <c r="BA15" s="57" t="s">
        <v>75</v>
      </c>
      <c r="BB15" s="10">
        <f>200000*0.35%</f>
        <v>699.99999999999989</v>
      </c>
      <c r="BD15" s="9" t="s">
        <v>8</v>
      </c>
      <c r="BE15" s="56" t="s">
        <v>74</v>
      </c>
      <c r="BF15" s="57" t="s">
        <v>75</v>
      </c>
      <c r="BG15" s="10">
        <f>1000000*0.35%</f>
        <v>3499.9999999999995</v>
      </c>
    </row>
    <row r="16" spans="2:66" ht="13.95" customHeight="1" x14ac:dyDescent="0.3">
      <c r="B16" s="48"/>
      <c r="C16" s="49"/>
      <c r="D16" s="49"/>
      <c r="E16" s="49"/>
      <c r="F16" s="9" t="s">
        <v>14</v>
      </c>
      <c r="G16" s="56" t="s">
        <v>74</v>
      </c>
      <c r="H16" s="57" t="s">
        <v>75</v>
      </c>
      <c r="I16" s="10">
        <f>1000*7.56%</f>
        <v>75.599999999999994</v>
      </c>
      <c r="K16" s="9" t="s">
        <v>14</v>
      </c>
      <c r="L16" s="56" t="s">
        <v>74</v>
      </c>
      <c r="M16" s="57" t="s">
        <v>75</v>
      </c>
      <c r="N16" s="10">
        <f>4000*7.56%</f>
        <v>302.39999999999998</v>
      </c>
      <c r="O16" s="9" t="s">
        <v>14</v>
      </c>
      <c r="P16" s="56" t="s">
        <v>74</v>
      </c>
      <c r="Q16" s="57" t="s">
        <v>75</v>
      </c>
      <c r="R16" s="10">
        <f>5000*7.56%</f>
        <v>378</v>
      </c>
      <c r="S16" s="9" t="s">
        <v>14</v>
      </c>
      <c r="T16" s="56" t="s">
        <v>74</v>
      </c>
      <c r="U16" s="57" t="s">
        <v>75</v>
      </c>
      <c r="V16" s="10">
        <f>6000*7.56%</f>
        <v>453.6</v>
      </c>
      <c r="W16" s="9" t="s">
        <v>14</v>
      </c>
      <c r="X16" s="56" t="s">
        <v>74</v>
      </c>
      <c r="Y16" s="57" t="s">
        <v>75</v>
      </c>
      <c r="Z16" s="10">
        <f>7000*7.56%</f>
        <v>529.20000000000005</v>
      </c>
      <c r="AA16" s="9" t="s">
        <v>14</v>
      </c>
      <c r="AB16" s="56" t="s">
        <v>74</v>
      </c>
      <c r="AC16" s="57" t="s">
        <v>75</v>
      </c>
      <c r="AD16" s="10">
        <f>10000*7.56%</f>
        <v>756</v>
      </c>
      <c r="AE16" s="9" t="s">
        <v>14</v>
      </c>
      <c r="AF16" s="56" t="s">
        <v>74</v>
      </c>
      <c r="AG16" s="57" t="s">
        <v>75</v>
      </c>
      <c r="AH16" s="10">
        <f>18000*7.56%</f>
        <v>1360.8</v>
      </c>
      <c r="AI16" s="9" t="s">
        <v>14</v>
      </c>
      <c r="AJ16" s="56" t="s">
        <v>74</v>
      </c>
      <c r="AK16" s="57" t="s">
        <v>75</v>
      </c>
      <c r="AL16" s="10">
        <f>20000*7.56%</f>
        <v>1512</v>
      </c>
      <c r="AM16" s="9" t="s">
        <v>14</v>
      </c>
      <c r="AN16" s="56" t="s">
        <v>74</v>
      </c>
      <c r="AO16" s="57" t="s">
        <v>75</v>
      </c>
      <c r="AP16" s="10">
        <f>25000*7.56%</f>
        <v>1890</v>
      </c>
      <c r="AQ16" s="9" t="s">
        <v>14</v>
      </c>
      <c r="AR16" s="56" t="s">
        <v>74</v>
      </c>
      <c r="AS16" s="57" t="s">
        <v>75</v>
      </c>
      <c r="AT16" s="10">
        <f>30000*7.56%</f>
        <v>2268</v>
      </c>
      <c r="AU16" s="9" t="s">
        <v>14</v>
      </c>
      <c r="AV16" s="56" t="s">
        <v>74</v>
      </c>
      <c r="AW16" s="57" t="s">
        <v>75</v>
      </c>
      <c r="AX16" s="10">
        <f>60000*7.56%</f>
        <v>4536</v>
      </c>
      <c r="AY16" s="9" t="s">
        <v>14</v>
      </c>
      <c r="AZ16" s="56" t="s">
        <v>74</v>
      </c>
      <c r="BA16" s="57" t="s">
        <v>75</v>
      </c>
      <c r="BB16" s="10">
        <f>200000*7.56%</f>
        <v>15120</v>
      </c>
      <c r="BD16" s="9" t="s">
        <v>14</v>
      </c>
      <c r="BE16" s="56" t="s">
        <v>74</v>
      </c>
      <c r="BF16" s="57" t="s">
        <v>75</v>
      </c>
      <c r="BG16" s="10">
        <f>1000000*7.56%</f>
        <v>75600</v>
      </c>
    </row>
    <row r="17" spans="2:59" x14ac:dyDescent="0.3">
      <c r="B17" s="48"/>
      <c r="C17" s="49"/>
      <c r="D17" s="49"/>
      <c r="E17" s="49"/>
      <c r="F17" s="13" t="s">
        <v>15</v>
      </c>
      <c r="G17" s="56" t="s">
        <v>74</v>
      </c>
      <c r="H17" s="57" t="s">
        <v>75</v>
      </c>
      <c r="I17" s="63">
        <f>1000*0.3%</f>
        <v>3</v>
      </c>
      <c r="K17" s="13" t="s">
        <v>15</v>
      </c>
      <c r="L17" s="56" t="s">
        <v>74</v>
      </c>
      <c r="M17" s="57" t="s">
        <v>75</v>
      </c>
      <c r="N17" s="63">
        <f>4000*0.3%</f>
        <v>12</v>
      </c>
      <c r="O17" s="13" t="s">
        <v>15</v>
      </c>
      <c r="P17" s="56" t="s">
        <v>74</v>
      </c>
      <c r="Q17" s="57" t="s">
        <v>75</v>
      </c>
      <c r="R17" s="63">
        <f>5000*0.3%</f>
        <v>15</v>
      </c>
      <c r="S17" s="13" t="s">
        <v>15</v>
      </c>
      <c r="T17" s="56" t="s">
        <v>74</v>
      </c>
      <c r="U17" s="57" t="s">
        <v>75</v>
      </c>
      <c r="V17" s="63">
        <f>6000*0.3%</f>
        <v>18</v>
      </c>
      <c r="W17" s="13" t="s">
        <v>15</v>
      </c>
      <c r="X17" s="56" t="s">
        <v>74</v>
      </c>
      <c r="Y17" s="57" t="s">
        <v>75</v>
      </c>
      <c r="Z17" s="63">
        <f>7000*0.3%</f>
        <v>21</v>
      </c>
      <c r="AA17" s="13" t="s">
        <v>15</v>
      </c>
      <c r="AB17" s="56" t="s">
        <v>74</v>
      </c>
      <c r="AC17" s="57" t="s">
        <v>75</v>
      </c>
      <c r="AD17" s="63">
        <f>10000*0.3%</f>
        <v>30</v>
      </c>
      <c r="AE17" s="13" t="s">
        <v>15</v>
      </c>
      <c r="AF17" s="56" t="s">
        <v>74</v>
      </c>
      <c r="AG17" s="57" t="s">
        <v>75</v>
      </c>
      <c r="AH17" s="63">
        <f>18000*0.3%</f>
        <v>54</v>
      </c>
      <c r="AI17" s="13" t="s">
        <v>15</v>
      </c>
      <c r="AJ17" s="56" t="s">
        <v>74</v>
      </c>
      <c r="AK17" s="57" t="s">
        <v>75</v>
      </c>
      <c r="AL17" s="63">
        <f>20000*0.3%</f>
        <v>60</v>
      </c>
      <c r="AM17" s="13" t="s">
        <v>15</v>
      </c>
      <c r="AN17" s="56" t="s">
        <v>74</v>
      </c>
      <c r="AO17" s="57" t="s">
        <v>75</v>
      </c>
      <c r="AP17" s="63">
        <f>25000*0.3%</f>
        <v>75</v>
      </c>
      <c r="AQ17" s="13" t="s">
        <v>15</v>
      </c>
      <c r="AR17" s="56" t="s">
        <v>74</v>
      </c>
      <c r="AS17" s="57" t="s">
        <v>75</v>
      </c>
      <c r="AT17" s="63">
        <f>30000*0.3%</f>
        <v>90</v>
      </c>
      <c r="AU17" s="13" t="s">
        <v>15</v>
      </c>
      <c r="AV17" s="56" t="s">
        <v>74</v>
      </c>
      <c r="AW17" s="57" t="s">
        <v>75</v>
      </c>
      <c r="AX17" s="63">
        <f>60000*0.3%</f>
        <v>180</v>
      </c>
      <c r="AY17" s="13" t="s">
        <v>15</v>
      </c>
      <c r="AZ17" s="56" t="s">
        <v>74</v>
      </c>
      <c r="BA17" s="57" t="s">
        <v>75</v>
      </c>
      <c r="BB17" s="63">
        <f>200000*0.3%</f>
        <v>600</v>
      </c>
      <c r="BD17" s="13" t="s">
        <v>15</v>
      </c>
      <c r="BE17" s="56" t="s">
        <v>74</v>
      </c>
      <c r="BF17" s="57" t="s">
        <v>75</v>
      </c>
      <c r="BG17" s="63">
        <f>1000000*0.3%</f>
        <v>3000</v>
      </c>
    </row>
  </sheetData>
  <mergeCells count="21">
    <mergeCell ref="BD5:BG5"/>
    <mergeCell ref="E7:E17"/>
    <mergeCell ref="D7:D17"/>
    <mergeCell ref="C7:C17"/>
    <mergeCell ref="B7:B17"/>
    <mergeCell ref="AE5:AH5"/>
    <mergeCell ref="AI5:AL5"/>
    <mergeCell ref="AM5:AP5"/>
    <mergeCell ref="AQ5:AT5"/>
    <mergeCell ref="AU5:AX5"/>
    <mergeCell ref="AY5:BB5"/>
    <mergeCell ref="F3:BN3"/>
    <mergeCell ref="B4:C4"/>
    <mergeCell ref="F4:BN4"/>
    <mergeCell ref="B5:C5"/>
    <mergeCell ref="F5:I5"/>
    <mergeCell ref="K5:N5"/>
    <mergeCell ref="O5:R5"/>
    <mergeCell ref="S5:V5"/>
    <mergeCell ref="W5:Z5"/>
    <mergeCell ref="AA5:A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M17"/>
  <sheetViews>
    <sheetView topLeftCell="A4" workbookViewId="0">
      <selection activeCell="B7" sqref="B7:C17"/>
    </sheetView>
  </sheetViews>
  <sheetFormatPr defaultColWidth="9.21875" defaultRowHeight="14.4" x14ac:dyDescent="0.3"/>
  <cols>
    <col min="1" max="1" width="9.21875" style="35"/>
    <col min="2" max="2" width="15.77734375" style="34" customWidth="1"/>
    <col min="3" max="5" width="65.21875" style="35" customWidth="1"/>
    <col min="6" max="6" width="17.33203125" style="35" bestFit="1" customWidth="1"/>
    <col min="7" max="7" width="47.21875" style="35" bestFit="1" customWidth="1"/>
    <col min="8" max="9" width="31.44140625" style="35" customWidth="1"/>
    <col min="10" max="10" width="28.21875" style="35" customWidth="1"/>
    <col min="11" max="11" width="29.21875" style="35" customWidth="1"/>
    <col min="12" max="12" width="47.21875" style="35" bestFit="1" customWidth="1"/>
    <col min="13" max="14" width="29.21875" style="35" customWidth="1"/>
    <col min="15" max="15" width="28.77734375" style="35" customWidth="1"/>
    <col min="16" max="16" width="47.21875" style="35" bestFit="1" customWidth="1"/>
    <col min="17" max="18" width="28.77734375" style="35" customWidth="1"/>
    <col min="19" max="19" width="31.21875" style="35" customWidth="1"/>
    <col min="20" max="20" width="47.21875" style="35" bestFit="1" customWidth="1"/>
    <col min="21" max="22" width="31.21875" style="35" customWidth="1"/>
    <col min="23" max="26" width="31.77734375" style="35" customWidth="1"/>
    <col min="27" max="30" width="29.44140625" style="35" customWidth="1"/>
    <col min="31" max="38" width="32.21875" style="35" customWidth="1"/>
    <col min="39" max="42" width="31" style="35" customWidth="1"/>
    <col min="43" max="46" width="29.21875" style="35" customWidth="1"/>
    <col min="47" max="47" width="32.5546875" style="35" customWidth="1"/>
    <col min="48" max="48" width="47.21875" style="35" bestFit="1" customWidth="1"/>
    <col min="49" max="50" width="32.5546875" style="35" customWidth="1"/>
    <col min="51" max="54" width="31.21875" style="35" customWidth="1"/>
    <col min="55" max="65" width="21.77734375" style="35" customWidth="1"/>
    <col min="66" max="16384" width="9.21875" style="35"/>
  </cols>
  <sheetData>
    <row r="3" spans="2:65" ht="21" x14ac:dyDescent="0.3">
      <c r="B3" s="36" t="s">
        <v>19</v>
      </c>
      <c r="C3" s="36" t="s">
        <v>20</v>
      </c>
      <c r="D3" s="36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</row>
    <row r="4" spans="2:65" s="41" customFormat="1" ht="20.100000000000001" customHeight="1" x14ac:dyDescent="0.3">
      <c r="B4" s="38" t="s">
        <v>0</v>
      </c>
      <c r="C4" s="38"/>
      <c r="D4" s="39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2:65" s="41" customFormat="1" ht="20.100000000000001" customHeight="1" x14ac:dyDescent="0.3">
      <c r="B5" s="38" t="s">
        <v>2</v>
      </c>
      <c r="C5" s="38"/>
      <c r="D5" s="42"/>
      <c r="E5" s="42"/>
      <c r="F5" s="58" t="s">
        <v>22</v>
      </c>
      <c r="G5" s="58"/>
      <c r="H5" s="58"/>
      <c r="I5" s="44"/>
      <c r="J5" s="46" t="s">
        <v>23</v>
      </c>
      <c r="K5" s="43" t="s">
        <v>24</v>
      </c>
      <c r="L5" s="58"/>
      <c r="M5" s="58"/>
      <c r="N5" s="44"/>
      <c r="O5" s="43" t="s">
        <v>25</v>
      </c>
      <c r="P5" s="58"/>
      <c r="Q5" s="58"/>
      <c r="R5" s="44"/>
      <c r="S5" s="43" t="s">
        <v>26</v>
      </c>
      <c r="T5" s="58"/>
      <c r="U5" s="58"/>
      <c r="V5" s="44"/>
      <c r="W5" s="43" t="s">
        <v>27</v>
      </c>
      <c r="X5" s="58"/>
      <c r="Y5" s="58"/>
      <c r="Z5" s="44"/>
      <c r="AA5" s="43" t="s">
        <v>28</v>
      </c>
      <c r="AB5" s="58"/>
      <c r="AC5" s="58"/>
      <c r="AD5" s="44"/>
      <c r="AE5" s="43" t="s">
        <v>29</v>
      </c>
      <c r="AF5" s="58"/>
      <c r="AG5" s="58"/>
      <c r="AH5" s="44"/>
      <c r="AI5" s="43" t="s">
        <v>30</v>
      </c>
      <c r="AJ5" s="58"/>
      <c r="AK5" s="58"/>
      <c r="AL5" s="44"/>
      <c r="AM5" s="43" t="s">
        <v>31</v>
      </c>
      <c r="AN5" s="58"/>
      <c r="AO5" s="58"/>
      <c r="AP5" s="44"/>
      <c r="AQ5" s="43" t="s">
        <v>32</v>
      </c>
      <c r="AR5" s="58"/>
      <c r="AS5" s="58"/>
      <c r="AT5" s="44"/>
      <c r="AU5" s="43" t="s">
        <v>33</v>
      </c>
      <c r="AV5" s="58"/>
      <c r="AW5" s="58"/>
      <c r="AX5" s="44"/>
      <c r="AY5" s="43" t="s">
        <v>34</v>
      </c>
      <c r="AZ5" s="58"/>
      <c r="BA5" s="58"/>
      <c r="BB5" s="44"/>
      <c r="BC5" s="43" t="s">
        <v>35</v>
      </c>
      <c r="BD5" s="58"/>
      <c r="BE5" s="58"/>
      <c r="BF5" s="44"/>
      <c r="BG5" s="46" t="s">
        <v>36</v>
      </c>
      <c r="BH5" s="46" t="s">
        <v>37</v>
      </c>
      <c r="BI5" s="46" t="s">
        <v>38</v>
      </c>
      <c r="BJ5" s="46" t="s">
        <v>39</v>
      </c>
      <c r="BK5" s="46" t="s">
        <v>40</v>
      </c>
      <c r="BL5" s="46" t="s">
        <v>41</v>
      </c>
      <c r="BM5" s="46" t="s">
        <v>42</v>
      </c>
    </row>
    <row r="6" spans="2:65" s="41" customFormat="1" ht="20.100000000000001" customHeight="1" x14ac:dyDescent="0.3">
      <c r="B6" s="39" t="s">
        <v>56</v>
      </c>
      <c r="C6" s="39" t="s">
        <v>57</v>
      </c>
      <c r="D6" s="39" t="s">
        <v>58</v>
      </c>
      <c r="E6" s="39" t="s">
        <v>59</v>
      </c>
      <c r="F6" s="47" t="s">
        <v>60</v>
      </c>
      <c r="G6" s="45" t="s">
        <v>61</v>
      </c>
      <c r="H6" s="45" t="s">
        <v>62</v>
      </c>
      <c r="I6" s="45" t="s">
        <v>63</v>
      </c>
      <c r="J6" s="46"/>
      <c r="K6" s="47" t="s">
        <v>60</v>
      </c>
      <c r="L6" s="45" t="s">
        <v>61</v>
      </c>
      <c r="M6" s="45" t="s">
        <v>62</v>
      </c>
      <c r="N6" s="45" t="s">
        <v>63</v>
      </c>
      <c r="O6" s="47" t="s">
        <v>60</v>
      </c>
      <c r="P6" s="45" t="s">
        <v>61</v>
      </c>
      <c r="Q6" s="45" t="s">
        <v>62</v>
      </c>
      <c r="R6" s="45" t="s">
        <v>63</v>
      </c>
      <c r="S6" s="47" t="s">
        <v>60</v>
      </c>
      <c r="T6" s="45" t="s">
        <v>61</v>
      </c>
      <c r="U6" s="45" t="s">
        <v>62</v>
      </c>
      <c r="V6" s="45" t="s">
        <v>63</v>
      </c>
      <c r="W6" s="47" t="s">
        <v>60</v>
      </c>
      <c r="X6" s="45" t="s">
        <v>61</v>
      </c>
      <c r="Y6" s="45" t="s">
        <v>62</v>
      </c>
      <c r="Z6" s="45" t="s">
        <v>63</v>
      </c>
      <c r="AA6" s="47" t="s">
        <v>60</v>
      </c>
      <c r="AB6" s="45" t="s">
        <v>61</v>
      </c>
      <c r="AC6" s="45" t="s">
        <v>62</v>
      </c>
      <c r="AD6" s="45" t="s">
        <v>63</v>
      </c>
      <c r="AE6" s="47" t="s">
        <v>60</v>
      </c>
      <c r="AF6" s="45" t="s">
        <v>61</v>
      </c>
      <c r="AG6" s="45" t="s">
        <v>62</v>
      </c>
      <c r="AH6" s="45" t="s">
        <v>63</v>
      </c>
      <c r="AI6" s="47" t="s">
        <v>60</v>
      </c>
      <c r="AJ6" s="45" t="s">
        <v>61</v>
      </c>
      <c r="AK6" s="45" t="s">
        <v>62</v>
      </c>
      <c r="AL6" s="45" t="s">
        <v>63</v>
      </c>
      <c r="AM6" s="47" t="s">
        <v>60</v>
      </c>
      <c r="AN6" s="45" t="s">
        <v>61</v>
      </c>
      <c r="AO6" s="45" t="s">
        <v>62</v>
      </c>
      <c r="AP6" s="45" t="s">
        <v>63</v>
      </c>
      <c r="AQ6" s="47" t="s">
        <v>60</v>
      </c>
      <c r="AR6" s="45" t="s">
        <v>61</v>
      </c>
      <c r="AS6" s="45" t="s">
        <v>62</v>
      </c>
      <c r="AT6" s="45" t="s">
        <v>63</v>
      </c>
      <c r="AU6" s="47" t="s">
        <v>60</v>
      </c>
      <c r="AV6" s="45" t="s">
        <v>61</v>
      </c>
      <c r="AW6" s="45" t="s">
        <v>62</v>
      </c>
      <c r="AX6" s="45" t="s">
        <v>63</v>
      </c>
      <c r="AY6" s="47" t="s">
        <v>60</v>
      </c>
      <c r="AZ6" s="45" t="s">
        <v>61</v>
      </c>
      <c r="BA6" s="45" t="s">
        <v>62</v>
      </c>
      <c r="BB6" s="45" t="s">
        <v>63</v>
      </c>
      <c r="BC6" s="47" t="s">
        <v>60</v>
      </c>
      <c r="BD6" s="45" t="s">
        <v>61</v>
      </c>
      <c r="BE6" s="45" t="s">
        <v>62</v>
      </c>
      <c r="BF6" s="45" t="s">
        <v>63</v>
      </c>
      <c r="BG6" s="46"/>
      <c r="BH6" s="46"/>
      <c r="BI6" s="46"/>
      <c r="BJ6" s="46"/>
      <c r="BK6" s="46"/>
      <c r="BL6" s="46"/>
      <c r="BM6" s="46"/>
    </row>
    <row r="7" spans="2:65" ht="28.8" x14ac:dyDescent="0.3">
      <c r="B7" s="48" t="s">
        <v>43</v>
      </c>
      <c r="C7" s="49" t="s">
        <v>44</v>
      </c>
      <c r="D7" s="49" t="s">
        <v>64</v>
      </c>
      <c r="E7" s="49" t="s">
        <v>18</v>
      </c>
      <c r="F7" s="50" t="s">
        <v>65</v>
      </c>
      <c r="G7" s="60" t="s">
        <v>77</v>
      </c>
      <c r="H7" s="51" t="s">
        <v>66</v>
      </c>
      <c r="I7" s="51">
        <v>1</v>
      </c>
      <c r="J7" s="52" t="s">
        <v>46</v>
      </c>
      <c r="K7" s="50" t="s">
        <v>65</v>
      </c>
      <c r="L7" s="51" t="s">
        <v>81</v>
      </c>
      <c r="M7" s="51" t="s">
        <v>66</v>
      </c>
      <c r="N7" s="51">
        <v>1</v>
      </c>
      <c r="O7" s="50" t="s">
        <v>65</v>
      </c>
      <c r="P7" s="51" t="s">
        <v>90</v>
      </c>
      <c r="Q7" s="51" t="s">
        <v>66</v>
      </c>
      <c r="R7" s="51">
        <v>1</v>
      </c>
      <c r="S7" s="50" t="s">
        <v>65</v>
      </c>
      <c r="T7" s="51" t="s">
        <v>93</v>
      </c>
      <c r="U7" s="51" t="s">
        <v>66</v>
      </c>
      <c r="V7" s="51">
        <v>1</v>
      </c>
      <c r="W7" s="50" t="s">
        <v>65</v>
      </c>
      <c r="X7" s="51" t="s">
        <v>101</v>
      </c>
      <c r="Y7" s="51" t="s">
        <v>66</v>
      </c>
      <c r="Z7" s="51">
        <v>1</v>
      </c>
      <c r="AA7" s="50" t="s">
        <v>65</v>
      </c>
      <c r="AB7" s="51" t="s">
        <v>81</v>
      </c>
      <c r="AC7" s="51" t="s">
        <v>66</v>
      </c>
      <c r="AD7" s="51">
        <v>1</v>
      </c>
      <c r="AE7" s="50" t="s">
        <v>65</v>
      </c>
      <c r="AF7" s="51" t="s">
        <v>81</v>
      </c>
      <c r="AG7" s="51" t="s">
        <v>66</v>
      </c>
      <c r="AH7" s="51">
        <v>1</v>
      </c>
      <c r="AI7" s="50" t="s">
        <v>65</v>
      </c>
      <c r="AJ7" s="51" t="s">
        <v>81</v>
      </c>
      <c r="AK7" s="51" t="s">
        <v>66</v>
      </c>
      <c r="AL7" s="51">
        <v>1</v>
      </c>
      <c r="AM7" s="50" t="s">
        <v>65</v>
      </c>
      <c r="AN7" s="51" t="s">
        <v>107</v>
      </c>
      <c r="AO7" s="51" t="s">
        <v>66</v>
      </c>
      <c r="AP7" s="51">
        <v>1</v>
      </c>
      <c r="AQ7" s="50" t="s">
        <v>65</v>
      </c>
      <c r="AR7" s="51" t="s">
        <v>98</v>
      </c>
      <c r="AS7" s="51" t="s">
        <v>66</v>
      </c>
      <c r="AT7" s="51">
        <v>1</v>
      </c>
      <c r="AU7" s="50" t="s">
        <v>65</v>
      </c>
      <c r="AV7" s="51" t="s">
        <v>97</v>
      </c>
      <c r="AW7" s="51" t="s">
        <v>66</v>
      </c>
      <c r="AX7" s="51">
        <v>1</v>
      </c>
      <c r="AY7" s="50" t="s">
        <v>65</v>
      </c>
      <c r="AZ7" s="51" t="s">
        <v>81</v>
      </c>
      <c r="BA7" s="51" t="s">
        <v>66</v>
      </c>
      <c r="BB7" s="51">
        <v>1</v>
      </c>
      <c r="BC7" s="50" t="s">
        <v>65</v>
      </c>
      <c r="BD7" s="51" t="s">
        <v>81</v>
      </c>
      <c r="BE7" s="51" t="s">
        <v>66</v>
      </c>
      <c r="BF7" s="51">
        <v>1</v>
      </c>
      <c r="BG7" s="53" t="s">
        <v>46</v>
      </c>
      <c r="BH7" s="53" t="s">
        <v>46</v>
      </c>
      <c r="BI7" s="53" t="s">
        <v>46</v>
      </c>
      <c r="BJ7" s="53" t="s">
        <v>46</v>
      </c>
      <c r="BK7" s="53" t="s">
        <v>46</v>
      </c>
      <c r="BL7" s="53" t="s">
        <v>46</v>
      </c>
      <c r="BM7" s="53" t="s">
        <v>46</v>
      </c>
    </row>
    <row r="8" spans="2:65" x14ac:dyDescent="0.3">
      <c r="B8" s="48"/>
      <c r="C8" s="49"/>
      <c r="D8" s="49"/>
      <c r="E8" s="49"/>
      <c r="F8" s="50" t="s">
        <v>68</v>
      </c>
      <c r="G8" s="61" t="s">
        <v>78</v>
      </c>
      <c r="H8" s="51" t="s">
        <v>66</v>
      </c>
      <c r="I8" s="51">
        <v>1</v>
      </c>
      <c r="K8" s="50" t="s">
        <v>68</v>
      </c>
      <c r="L8" s="61" t="s">
        <v>82</v>
      </c>
      <c r="M8" s="51" t="s">
        <v>66</v>
      </c>
      <c r="N8" s="51">
        <v>1</v>
      </c>
      <c r="O8" s="50" t="s">
        <v>68</v>
      </c>
      <c r="P8" s="61" t="s">
        <v>82</v>
      </c>
      <c r="Q8" s="51" t="s">
        <v>66</v>
      </c>
      <c r="R8" s="51">
        <v>1</v>
      </c>
      <c r="S8" s="50" t="s">
        <v>68</v>
      </c>
      <c r="T8" s="61" t="s">
        <v>92</v>
      </c>
      <c r="U8" s="51" t="s">
        <v>66</v>
      </c>
      <c r="V8" s="51">
        <v>1</v>
      </c>
      <c r="W8" s="50" t="s">
        <v>68</v>
      </c>
      <c r="X8" s="61" t="s">
        <v>105</v>
      </c>
      <c r="Y8" s="51" t="s">
        <v>66</v>
      </c>
      <c r="Z8" s="51">
        <v>1</v>
      </c>
      <c r="AA8" s="50" t="s">
        <v>68</v>
      </c>
      <c r="AB8" s="61" t="s">
        <v>106</v>
      </c>
      <c r="AC8" s="51" t="s">
        <v>66</v>
      </c>
      <c r="AD8" s="51">
        <v>1</v>
      </c>
      <c r="AE8" s="50" t="s">
        <v>68</v>
      </c>
      <c r="AF8" s="61" t="s">
        <v>102</v>
      </c>
      <c r="AG8" s="51" t="s">
        <v>66</v>
      </c>
      <c r="AH8" s="51">
        <v>1</v>
      </c>
      <c r="AI8" s="50" t="s">
        <v>68</v>
      </c>
      <c r="AJ8" s="61" t="s">
        <v>102</v>
      </c>
      <c r="AK8" s="51" t="s">
        <v>66</v>
      </c>
      <c r="AL8" s="51">
        <v>1</v>
      </c>
      <c r="AM8" s="50" t="s">
        <v>68</v>
      </c>
      <c r="AN8" s="61" t="s">
        <v>102</v>
      </c>
      <c r="AO8" s="51" t="s">
        <v>66</v>
      </c>
      <c r="AP8" s="51">
        <v>1</v>
      </c>
      <c r="AQ8" s="50" t="s">
        <v>68</v>
      </c>
      <c r="AR8" s="61" t="s">
        <v>99</v>
      </c>
      <c r="AS8" s="51" t="s">
        <v>66</v>
      </c>
      <c r="AT8" s="51">
        <v>1</v>
      </c>
      <c r="AU8" s="50" t="s">
        <v>68</v>
      </c>
      <c r="AV8" s="61" t="s">
        <v>96</v>
      </c>
      <c r="AW8" s="51" t="s">
        <v>66</v>
      </c>
      <c r="AX8" s="51">
        <v>1</v>
      </c>
      <c r="AY8" s="50" t="s">
        <v>68</v>
      </c>
      <c r="AZ8" s="61" t="s">
        <v>96</v>
      </c>
      <c r="BA8" s="51" t="s">
        <v>66</v>
      </c>
      <c r="BB8" s="51">
        <v>1</v>
      </c>
      <c r="BC8" s="50" t="s">
        <v>68</v>
      </c>
      <c r="BD8" s="61" t="s">
        <v>103</v>
      </c>
      <c r="BE8" s="51" t="s">
        <v>66</v>
      </c>
      <c r="BF8" s="51">
        <v>1</v>
      </c>
    </row>
    <row r="9" spans="2:65" x14ac:dyDescent="0.3">
      <c r="B9" s="48"/>
      <c r="C9" s="49"/>
      <c r="D9" s="49"/>
      <c r="E9" s="49"/>
      <c r="F9" s="50" t="s">
        <v>69</v>
      </c>
      <c r="G9" s="53" t="s">
        <v>79</v>
      </c>
      <c r="H9" s="51" t="s">
        <v>66</v>
      </c>
      <c r="I9" s="51">
        <v>1</v>
      </c>
      <c r="K9" s="50" t="s">
        <v>69</v>
      </c>
      <c r="L9" s="5" t="s">
        <v>83</v>
      </c>
      <c r="M9" s="51" t="s">
        <v>66</v>
      </c>
      <c r="N9" s="51"/>
      <c r="O9" s="50" t="s">
        <v>69</v>
      </c>
      <c r="P9" s="5" t="s">
        <v>88</v>
      </c>
      <c r="Q9" s="51" t="s">
        <v>66</v>
      </c>
      <c r="R9" s="51"/>
      <c r="S9" s="50" t="s">
        <v>69</v>
      </c>
      <c r="T9" s="5" t="s">
        <v>94</v>
      </c>
      <c r="U9" s="51" t="s">
        <v>66</v>
      </c>
      <c r="V9" s="51"/>
      <c r="W9" s="50" t="s">
        <v>69</v>
      </c>
      <c r="X9" s="5" t="s">
        <v>83</v>
      </c>
      <c r="Y9" s="51" t="s">
        <v>66</v>
      </c>
      <c r="Z9" s="51"/>
      <c r="AA9" s="50" t="s">
        <v>69</v>
      </c>
      <c r="AB9" s="5" t="s">
        <v>83</v>
      </c>
      <c r="AC9" s="51" t="s">
        <v>66</v>
      </c>
      <c r="AD9" s="51"/>
      <c r="AE9" s="50" t="s">
        <v>69</v>
      </c>
      <c r="AF9" s="5" t="s">
        <v>83</v>
      </c>
      <c r="AG9" s="51" t="s">
        <v>66</v>
      </c>
      <c r="AH9" s="51"/>
      <c r="AI9" s="50" t="s">
        <v>69</v>
      </c>
      <c r="AJ9" s="5" t="s">
        <v>83</v>
      </c>
      <c r="AK9" s="51" t="s">
        <v>66</v>
      </c>
      <c r="AL9" s="51"/>
      <c r="AM9" s="50" t="s">
        <v>69</v>
      </c>
      <c r="AN9" s="5" t="s">
        <v>83</v>
      </c>
      <c r="AO9" s="51" t="s">
        <v>66</v>
      </c>
      <c r="AP9" s="51"/>
      <c r="AQ9" s="50" t="s">
        <v>69</v>
      </c>
      <c r="AR9" s="5" t="s">
        <v>83</v>
      </c>
      <c r="AS9" s="51" t="s">
        <v>66</v>
      </c>
      <c r="AT9" s="51"/>
      <c r="AU9" s="50" t="s">
        <v>69</v>
      </c>
      <c r="AV9" s="5" t="s">
        <v>83</v>
      </c>
      <c r="AW9" s="51" t="s">
        <v>66</v>
      </c>
      <c r="AX9" s="51"/>
      <c r="AY9" s="50" t="s">
        <v>69</v>
      </c>
      <c r="AZ9" s="5" t="s">
        <v>83</v>
      </c>
      <c r="BA9" s="51" t="s">
        <v>66</v>
      </c>
      <c r="BB9" s="51"/>
      <c r="BC9" s="50" t="s">
        <v>69</v>
      </c>
      <c r="BD9" s="5" t="s">
        <v>104</v>
      </c>
      <c r="BE9" s="51" t="s">
        <v>66</v>
      </c>
      <c r="BF9" s="51"/>
    </row>
    <row r="10" spans="2:65" x14ac:dyDescent="0.3">
      <c r="B10" s="48"/>
      <c r="C10" s="49"/>
      <c r="D10" s="49"/>
      <c r="E10" s="49"/>
      <c r="F10" s="50" t="s">
        <v>69</v>
      </c>
      <c r="G10" s="53" t="s">
        <v>80</v>
      </c>
      <c r="H10" s="51" t="s">
        <v>66</v>
      </c>
      <c r="I10" s="51">
        <v>1</v>
      </c>
      <c r="K10" s="50" t="s">
        <v>69</v>
      </c>
      <c r="L10" s="5" t="s">
        <v>84</v>
      </c>
      <c r="M10" s="51" t="s">
        <v>66</v>
      </c>
      <c r="N10" s="51">
        <v>1</v>
      </c>
      <c r="O10" s="50" t="s">
        <v>69</v>
      </c>
      <c r="P10" s="5" t="s">
        <v>89</v>
      </c>
      <c r="Q10" s="51" t="s">
        <v>66</v>
      </c>
      <c r="R10" s="51">
        <v>1</v>
      </c>
      <c r="S10" s="50" t="s">
        <v>69</v>
      </c>
      <c r="T10" s="5" t="s">
        <v>95</v>
      </c>
      <c r="U10" s="51" t="s">
        <v>66</v>
      </c>
      <c r="V10" s="51">
        <v>1</v>
      </c>
      <c r="W10" s="50" t="s">
        <v>69</v>
      </c>
      <c r="X10" s="5" t="s">
        <v>84</v>
      </c>
      <c r="Y10" s="51" t="s">
        <v>66</v>
      </c>
      <c r="Z10" s="51">
        <v>1</v>
      </c>
      <c r="AA10" s="50" t="s">
        <v>69</v>
      </c>
      <c r="AB10" s="5" t="s">
        <v>84</v>
      </c>
      <c r="AC10" s="51" t="s">
        <v>66</v>
      </c>
      <c r="AD10" s="51">
        <v>1</v>
      </c>
      <c r="AE10" s="50" t="s">
        <v>69</v>
      </c>
      <c r="AF10" s="5" t="s">
        <v>84</v>
      </c>
      <c r="AG10" s="51" t="s">
        <v>66</v>
      </c>
      <c r="AH10" s="51">
        <v>1</v>
      </c>
      <c r="AI10" s="50" t="s">
        <v>69</v>
      </c>
      <c r="AJ10" s="5" t="s">
        <v>84</v>
      </c>
      <c r="AK10" s="51" t="s">
        <v>66</v>
      </c>
      <c r="AL10" s="51">
        <v>1</v>
      </c>
      <c r="AM10" s="50" t="s">
        <v>69</v>
      </c>
      <c r="AN10" s="5" t="s">
        <v>84</v>
      </c>
      <c r="AO10" s="51" t="s">
        <v>66</v>
      </c>
      <c r="AP10" s="51">
        <v>1</v>
      </c>
      <c r="AQ10" s="50" t="s">
        <v>69</v>
      </c>
      <c r="AR10" s="5" t="s">
        <v>84</v>
      </c>
      <c r="AS10" s="51" t="s">
        <v>66</v>
      </c>
      <c r="AT10" s="51">
        <v>1</v>
      </c>
      <c r="AU10" s="50" t="s">
        <v>69</v>
      </c>
      <c r="AV10" s="5" t="s">
        <v>84</v>
      </c>
      <c r="AW10" s="51" t="s">
        <v>66</v>
      </c>
      <c r="AX10" s="51">
        <v>1</v>
      </c>
      <c r="AY10" s="50" t="s">
        <v>69</v>
      </c>
      <c r="AZ10" s="5" t="s">
        <v>84</v>
      </c>
      <c r="BA10" s="51" t="s">
        <v>66</v>
      </c>
      <c r="BB10" s="51">
        <v>1</v>
      </c>
      <c r="BC10" s="50" t="s">
        <v>69</v>
      </c>
      <c r="BD10" s="5" t="s">
        <v>46</v>
      </c>
      <c r="BE10" s="51"/>
      <c r="BF10" s="51"/>
    </row>
    <row r="11" spans="2:65" ht="28.8" x14ac:dyDescent="0.3">
      <c r="B11" s="48"/>
      <c r="C11" s="49"/>
      <c r="D11" s="49"/>
      <c r="E11" s="49"/>
      <c r="F11" s="54" t="s">
        <v>70</v>
      </c>
      <c r="G11" s="55" t="s">
        <v>71</v>
      </c>
      <c r="H11" s="55" t="s">
        <v>66</v>
      </c>
      <c r="I11" s="55">
        <v>1</v>
      </c>
      <c r="K11" s="54" t="s">
        <v>70</v>
      </c>
      <c r="L11" s="61" t="s">
        <v>85</v>
      </c>
      <c r="M11" s="55" t="s">
        <v>66</v>
      </c>
      <c r="N11" s="55">
        <v>1</v>
      </c>
      <c r="O11" s="54" t="s">
        <v>70</v>
      </c>
      <c r="P11" s="62" t="s">
        <v>87</v>
      </c>
      <c r="Q11" s="55" t="s">
        <v>66</v>
      </c>
      <c r="R11" s="55">
        <v>1</v>
      </c>
      <c r="S11" s="54" t="s">
        <v>70</v>
      </c>
      <c r="T11" s="61" t="s">
        <v>91</v>
      </c>
      <c r="U11" s="55" t="s">
        <v>66</v>
      </c>
      <c r="V11" s="55">
        <v>1</v>
      </c>
      <c r="W11" s="54" t="s">
        <v>70</v>
      </c>
      <c r="X11" s="61" t="s">
        <v>100</v>
      </c>
      <c r="Y11" s="55" t="s">
        <v>66</v>
      </c>
      <c r="Z11" s="55">
        <v>1</v>
      </c>
      <c r="AA11" s="54" t="s">
        <v>70</v>
      </c>
      <c r="AB11" s="62" t="s">
        <v>46</v>
      </c>
      <c r="AC11" s="55"/>
      <c r="AD11" s="55"/>
      <c r="AE11" s="54" t="s">
        <v>70</v>
      </c>
      <c r="AF11" s="62" t="s">
        <v>46</v>
      </c>
      <c r="AG11" s="55"/>
      <c r="AH11" s="55"/>
      <c r="AI11" s="54" t="s">
        <v>70</v>
      </c>
      <c r="AJ11" s="62" t="s">
        <v>46</v>
      </c>
      <c r="AK11" s="55"/>
      <c r="AL11" s="55"/>
      <c r="AM11" s="54" t="s">
        <v>70</v>
      </c>
      <c r="AN11" s="61" t="s">
        <v>46</v>
      </c>
      <c r="AO11" s="55"/>
      <c r="AP11" s="55"/>
      <c r="AQ11" s="54" t="s">
        <v>70</v>
      </c>
      <c r="AR11" s="62" t="s">
        <v>46</v>
      </c>
      <c r="AS11" s="55"/>
      <c r="AT11" s="55"/>
      <c r="AU11" s="54" t="s">
        <v>70</v>
      </c>
      <c r="AV11" s="62" t="s">
        <v>46</v>
      </c>
      <c r="AW11" s="55"/>
      <c r="AX11" s="55"/>
      <c r="AY11" s="54" t="s">
        <v>70</v>
      </c>
      <c r="AZ11" s="62" t="s">
        <v>46</v>
      </c>
      <c r="BA11" s="55"/>
      <c r="BB11" s="55"/>
      <c r="BC11" s="54" t="s">
        <v>70</v>
      </c>
      <c r="BD11" s="62" t="s">
        <v>46</v>
      </c>
      <c r="BE11" s="55"/>
      <c r="BF11" s="55"/>
    </row>
    <row r="12" spans="2:65" x14ac:dyDescent="0.3">
      <c r="B12" s="48"/>
      <c r="C12" s="49"/>
      <c r="D12" s="49"/>
      <c r="E12" s="49"/>
      <c r="F12" s="54" t="s">
        <v>72</v>
      </c>
      <c r="G12" s="55" t="s">
        <v>73</v>
      </c>
      <c r="H12" s="55" t="s">
        <v>66</v>
      </c>
      <c r="I12" s="55">
        <v>1</v>
      </c>
      <c r="K12" s="54" t="s">
        <v>72</v>
      </c>
      <c r="L12" s="61" t="s">
        <v>86</v>
      </c>
      <c r="M12" s="55" t="s">
        <v>66</v>
      </c>
      <c r="N12" s="55">
        <v>1</v>
      </c>
      <c r="O12" s="54" t="s">
        <v>72</v>
      </c>
      <c r="P12" s="62" t="s">
        <v>76</v>
      </c>
      <c r="Q12" s="55" t="s">
        <v>66</v>
      </c>
      <c r="R12" s="55">
        <v>1</v>
      </c>
      <c r="S12" s="54" t="s">
        <v>72</v>
      </c>
      <c r="T12" s="61" t="s">
        <v>73</v>
      </c>
      <c r="U12" s="55" t="s">
        <v>66</v>
      </c>
      <c r="V12" s="55">
        <v>1</v>
      </c>
      <c r="W12" s="54" t="s">
        <v>72</v>
      </c>
      <c r="X12" s="61" t="s">
        <v>76</v>
      </c>
      <c r="Y12" s="55" t="s">
        <v>66</v>
      </c>
      <c r="Z12" s="55">
        <v>1</v>
      </c>
      <c r="AA12" s="54" t="s">
        <v>72</v>
      </c>
      <c r="AB12" s="62" t="s">
        <v>86</v>
      </c>
      <c r="AC12" s="55" t="s">
        <v>66</v>
      </c>
      <c r="AD12" s="55">
        <v>1</v>
      </c>
      <c r="AE12" s="54" t="s">
        <v>72</v>
      </c>
      <c r="AF12" s="61" t="s">
        <v>86</v>
      </c>
      <c r="AG12" s="55" t="s">
        <v>66</v>
      </c>
      <c r="AH12" s="55">
        <v>1</v>
      </c>
      <c r="AI12" s="54" t="s">
        <v>72</v>
      </c>
      <c r="AJ12" s="62" t="s">
        <v>86</v>
      </c>
      <c r="AK12" s="55" t="s">
        <v>66</v>
      </c>
      <c r="AL12" s="55">
        <v>1</v>
      </c>
      <c r="AM12" s="54" t="s">
        <v>72</v>
      </c>
      <c r="AN12" s="61" t="s">
        <v>76</v>
      </c>
      <c r="AO12" s="55" t="s">
        <v>66</v>
      </c>
      <c r="AP12" s="55">
        <v>1</v>
      </c>
      <c r="AQ12" s="54" t="s">
        <v>72</v>
      </c>
      <c r="AR12" s="62" t="s">
        <v>73</v>
      </c>
      <c r="AS12" s="55" t="s">
        <v>66</v>
      </c>
      <c r="AT12" s="55">
        <v>1</v>
      </c>
      <c r="AU12" s="54" t="s">
        <v>72</v>
      </c>
      <c r="AV12" s="62" t="s">
        <v>73</v>
      </c>
      <c r="AW12" s="55" t="s">
        <v>66</v>
      </c>
      <c r="AX12" s="55">
        <v>1</v>
      </c>
      <c r="AY12" s="54" t="s">
        <v>72</v>
      </c>
      <c r="AZ12" s="61" t="s">
        <v>73</v>
      </c>
      <c r="BA12" s="55" t="s">
        <v>66</v>
      </c>
      <c r="BB12" s="55">
        <v>1</v>
      </c>
      <c r="BC12" s="54" t="s">
        <v>72</v>
      </c>
      <c r="BD12" s="62" t="s">
        <v>46</v>
      </c>
      <c r="BE12" s="55"/>
      <c r="BF12" s="55"/>
    </row>
    <row r="13" spans="2:65" ht="13.95" customHeight="1" x14ac:dyDescent="0.3">
      <c r="B13" s="48"/>
      <c r="C13" s="49"/>
      <c r="D13" s="49"/>
      <c r="E13" s="49"/>
      <c r="F13" s="9" t="s">
        <v>7</v>
      </c>
      <c r="G13" s="56" t="s">
        <v>74</v>
      </c>
      <c r="H13" s="57" t="s">
        <v>75</v>
      </c>
      <c r="I13" s="10">
        <f>1000*73.14%</f>
        <v>731.40000000000009</v>
      </c>
      <c r="K13" s="9" t="s">
        <v>7</v>
      </c>
      <c r="L13" s="56" t="s">
        <v>74</v>
      </c>
      <c r="M13" s="57" t="s">
        <v>75</v>
      </c>
      <c r="N13" s="10">
        <f>4000*73.14%</f>
        <v>2925.6000000000004</v>
      </c>
      <c r="O13" s="9" t="s">
        <v>7</v>
      </c>
      <c r="P13" s="56" t="s">
        <v>74</v>
      </c>
      <c r="Q13" s="57" t="s">
        <v>75</v>
      </c>
      <c r="R13" s="10">
        <f>6000*73.14%</f>
        <v>4388.4000000000005</v>
      </c>
      <c r="S13" s="9" t="s">
        <v>7</v>
      </c>
      <c r="T13" s="56" t="s">
        <v>74</v>
      </c>
      <c r="U13" s="57" t="s">
        <v>75</v>
      </c>
      <c r="V13" s="10">
        <f>6000*73.14%</f>
        <v>4388.4000000000005</v>
      </c>
      <c r="W13" s="9" t="s">
        <v>7</v>
      </c>
      <c r="X13" s="56" t="s">
        <v>74</v>
      </c>
      <c r="Y13" s="57" t="s">
        <v>75</v>
      </c>
      <c r="Z13" s="10">
        <f>7000*73.14%</f>
        <v>5119.8</v>
      </c>
      <c r="AA13" s="9" t="s">
        <v>7</v>
      </c>
      <c r="AB13" s="56" t="s">
        <v>74</v>
      </c>
      <c r="AC13" s="57" t="s">
        <v>75</v>
      </c>
      <c r="AD13" s="10">
        <f>10000*73.14%</f>
        <v>7314.0000000000009</v>
      </c>
      <c r="AE13" s="9" t="s">
        <v>7</v>
      </c>
      <c r="AF13" s="56" t="s">
        <v>74</v>
      </c>
      <c r="AG13" s="57" t="s">
        <v>75</v>
      </c>
      <c r="AH13" s="10">
        <f>18000*73.14%</f>
        <v>13165.2</v>
      </c>
      <c r="AI13" s="9" t="s">
        <v>7</v>
      </c>
      <c r="AJ13" s="56" t="s">
        <v>74</v>
      </c>
      <c r="AK13" s="57" t="s">
        <v>75</v>
      </c>
      <c r="AL13" s="10">
        <f>20000*73.14%</f>
        <v>14628.000000000002</v>
      </c>
      <c r="AM13" s="9" t="s">
        <v>7</v>
      </c>
      <c r="AN13" s="56" t="s">
        <v>74</v>
      </c>
      <c r="AO13" s="57" t="s">
        <v>75</v>
      </c>
      <c r="AP13" s="10">
        <f>25000*73.14%</f>
        <v>18285</v>
      </c>
      <c r="AQ13" s="9" t="s">
        <v>7</v>
      </c>
      <c r="AR13" s="56" t="s">
        <v>74</v>
      </c>
      <c r="AS13" s="57" t="s">
        <v>75</v>
      </c>
      <c r="AT13" s="10">
        <f>30000*73.14%</f>
        <v>21942</v>
      </c>
      <c r="AU13" s="9" t="s">
        <v>7</v>
      </c>
      <c r="AV13" s="56" t="s">
        <v>74</v>
      </c>
      <c r="AW13" s="57" t="s">
        <v>75</v>
      </c>
      <c r="AX13" s="10">
        <f>60000*73.14%</f>
        <v>43884</v>
      </c>
      <c r="AY13" s="9" t="s">
        <v>7</v>
      </c>
      <c r="AZ13" s="56" t="s">
        <v>74</v>
      </c>
      <c r="BA13" s="57" t="s">
        <v>75</v>
      </c>
      <c r="BB13" s="10">
        <f>200000*73.14%</f>
        <v>146280</v>
      </c>
      <c r="BC13" s="9" t="s">
        <v>7</v>
      </c>
      <c r="BD13" s="56" t="s">
        <v>74</v>
      </c>
      <c r="BE13" s="57" t="s">
        <v>75</v>
      </c>
      <c r="BF13" s="10">
        <f>1000000*73.14%</f>
        <v>731400</v>
      </c>
    </row>
    <row r="14" spans="2:65" ht="13.95" customHeight="1" x14ac:dyDescent="0.3">
      <c r="B14" s="48"/>
      <c r="C14" s="49"/>
      <c r="D14" s="49"/>
      <c r="E14" s="49"/>
      <c r="F14" s="9" t="s">
        <v>13</v>
      </c>
      <c r="G14" s="56" t="s">
        <v>74</v>
      </c>
      <c r="H14" s="57" t="s">
        <v>75</v>
      </c>
      <c r="I14" s="10">
        <f>1000*15%</f>
        <v>150</v>
      </c>
      <c r="K14" s="9" t="s">
        <v>13</v>
      </c>
      <c r="L14" s="56" t="s">
        <v>74</v>
      </c>
      <c r="M14" s="57" t="s">
        <v>75</v>
      </c>
      <c r="N14" s="10">
        <f>4000*15%</f>
        <v>600</v>
      </c>
      <c r="O14" s="9" t="s">
        <v>13</v>
      </c>
      <c r="P14" s="56" t="s">
        <v>74</v>
      </c>
      <c r="Q14" s="57" t="s">
        <v>75</v>
      </c>
      <c r="R14" s="10">
        <f>6000*15%</f>
        <v>900</v>
      </c>
      <c r="S14" s="9" t="s">
        <v>13</v>
      </c>
      <c r="T14" s="56" t="s">
        <v>74</v>
      </c>
      <c r="U14" s="57" t="s">
        <v>75</v>
      </c>
      <c r="V14" s="10">
        <f>6000*15%</f>
        <v>900</v>
      </c>
      <c r="W14" s="9" t="s">
        <v>13</v>
      </c>
      <c r="X14" s="56" t="s">
        <v>74</v>
      </c>
      <c r="Y14" s="57" t="s">
        <v>75</v>
      </c>
      <c r="Z14" s="10">
        <f>7000*15%</f>
        <v>1050</v>
      </c>
      <c r="AA14" s="9" t="s">
        <v>13</v>
      </c>
      <c r="AB14" s="56" t="s">
        <v>74</v>
      </c>
      <c r="AC14" s="57" t="s">
        <v>75</v>
      </c>
      <c r="AD14" s="10">
        <f>10000*15%</f>
        <v>1500</v>
      </c>
      <c r="AE14" s="9" t="s">
        <v>13</v>
      </c>
      <c r="AF14" s="56" t="s">
        <v>74</v>
      </c>
      <c r="AG14" s="57" t="s">
        <v>75</v>
      </c>
      <c r="AH14" s="10">
        <f>18000*15%</f>
        <v>2700</v>
      </c>
      <c r="AI14" s="9" t="s">
        <v>13</v>
      </c>
      <c r="AJ14" s="56" t="s">
        <v>74</v>
      </c>
      <c r="AK14" s="57" t="s">
        <v>75</v>
      </c>
      <c r="AL14" s="10">
        <f>20000*15%</f>
        <v>3000</v>
      </c>
      <c r="AM14" s="9" t="s">
        <v>13</v>
      </c>
      <c r="AN14" s="56" t="s">
        <v>74</v>
      </c>
      <c r="AO14" s="57" t="s">
        <v>75</v>
      </c>
      <c r="AP14" s="10">
        <f>25000*15%</f>
        <v>3750</v>
      </c>
      <c r="AQ14" s="9" t="s">
        <v>13</v>
      </c>
      <c r="AR14" s="56" t="s">
        <v>74</v>
      </c>
      <c r="AS14" s="57" t="s">
        <v>75</v>
      </c>
      <c r="AT14" s="10">
        <f>30000*15%</f>
        <v>4500</v>
      </c>
      <c r="AU14" s="9" t="s">
        <v>13</v>
      </c>
      <c r="AV14" s="56" t="s">
        <v>74</v>
      </c>
      <c r="AW14" s="57" t="s">
        <v>75</v>
      </c>
      <c r="AX14" s="10">
        <f>60000*15%</f>
        <v>9000</v>
      </c>
      <c r="AY14" s="9" t="s">
        <v>13</v>
      </c>
      <c r="AZ14" s="56" t="s">
        <v>74</v>
      </c>
      <c r="BA14" s="57" t="s">
        <v>75</v>
      </c>
      <c r="BB14" s="10">
        <f>200000*15%</f>
        <v>30000</v>
      </c>
      <c r="BC14" s="9" t="s">
        <v>13</v>
      </c>
      <c r="BD14" s="56" t="s">
        <v>74</v>
      </c>
      <c r="BE14" s="57" t="s">
        <v>75</v>
      </c>
      <c r="BF14" s="10">
        <f>1000000*15%</f>
        <v>150000</v>
      </c>
    </row>
    <row r="15" spans="2:65" ht="13.95" customHeight="1" x14ac:dyDescent="0.3">
      <c r="B15" s="48"/>
      <c r="C15" s="49"/>
      <c r="D15" s="49"/>
      <c r="E15" s="49"/>
      <c r="F15" s="9" t="s">
        <v>17</v>
      </c>
      <c r="G15" s="56" t="s">
        <v>74</v>
      </c>
      <c r="H15" s="57" t="s">
        <v>75</v>
      </c>
      <c r="I15" s="10">
        <f>1000*4%</f>
        <v>40</v>
      </c>
      <c r="K15" s="9" t="s">
        <v>17</v>
      </c>
      <c r="L15" s="56" t="s">
        <v>74</v>
      </c>
      <c r="M15" s="57" t="s">
        <v>75</v>
      </c>
      <c r="N15" s="10">
        <f>4000*4%</f>
        <v>160</v>
      </c>
      <c r="O15" s="9" t="s">
        <v>17</v>
      </c>
      <c r="P15" s="56" t="s">
        <v>74</v>
      </c>
      <c r="Q15" s="57" t="s">
        <v>75</v>
      </c>
      <c r="R15" s="10">
        <f>6000*4%</f>
        <v>240</v>
      </c>
      <c r="S15" s="9" t="s">
        <v>17</v>
      </c>
      <c r="T15" s="56" t="s">
        <v>74</v>
      </c>
      <c r="U15" s="57" t="s">
        <v>75</v>
      </c>
      <c r="V15" s="10">
        <f>6000*4%</f>
        <v>240</v>
      </c>
      <c r="W15" s="9" t="s">
        <v>17</v>
      </c>
      <c r="X15" s="56" t="s">
        <v>74</v>
      </c>
      <c r="Y15" s="57" t="s">
        <v>75</v>
      </c>
      <c r="Z15" s="10">
        <f>7000*4%</f>
        <v>280</v>
      </c>
      <c r="AA15" s="9" t="s">
        <v>17</v>
      </c>
      <c r="AB15" s="56" t="s">
        <v>74</v>
      </c>
      <c r="AC15" s="57" t="s">
        <v>75</v>
      </c>
      <c r="AD15" s="10">
        <f>10000*4%</f>
        <v>400</v>
      </c>
      <c r="AE15" s="9" t="s">
        <v>17</v>
      </c>
      <c r="AF15" s="56" t="s">
        <v>74</v>
      </c>
      <c r="AG15" s="57" t="s">
        <v>75</v>
      </c>
      <c r="AH15" s="10">
        <f>18000*4%</f>
        <v>720</v>
      </c>
      <c r="AI15" s="9" t="s">
        <v>17</v>
      </c>
      <c r="AJ15" s="56" t="s">
        <v>74</v>
      </c>
      <c r="AK15" s="57" t="s">
        <v>75</v>
      </c>
      <c r="AL15" s="10">
        <f>20000*4%</f>
        <v>800</v>
      </c>
      <c r="AM15" s="9" t="s">
        <v>17</v>
      </c>
      <c r="AN15" s="56" t="s">
        <v>74</v>
      </c>
      <c r="AO15" s="57" t="s">
        <v>75</v>
      </c>
      <c r="AP15" s="10">
        <f>25000*4%</f>
        <v>1000</v>
      </c>
      <c r="AQ15" s="9" t="s">
        <v>17</v>
      </c>
      <c r="AR15" s="56" t="s">
        <v>74</v>
      </c>
      <c r="AS15" s="57" t="s">
        <v>75</v>
      </c>
      <c r="AT15" s="10">
        <f>30000*4%</f>
        <v>1200</v>
      </c>
      <c r="AU15" s="9" t="s">
        <v>17</v>
      </c>
      <c r="AV15" s="56" t="s">
        <v>74</v>
      </c>
      <c r="AW15" s="57" t="s">
        <v>75</v>
      </c>
      <c r="AX15" s="10">
        <f>60000*4%</f>
        <v>2400</v>
      </c>
      <c r="AY15" s="9" t="s">
        <v>17</v>
      </c>
      <c r="AZ15" s="56" t="s">
        <v>74</v>
      </c>
      <c r="BA15" s="57" t="s">
        <v>75</v>
      </c>
      <c r="BB15" s="10">
        <f>200000*4%</f>
        <v>8000</v>
      </c>
      <c r="BC15" s="9" t="s">
        <v>17</v>
      </c>
      <c r="BD15" s="56" t="s">
        <v>74</v>
      </c>
      <c r="BE15" s="57" t="s">
        <v>75</v>
      </c>
      <c r="BF15" s="10">
        <f>1000000*4%</f>
        <v>40000</v>
      </c>
    </row>
    <row r="16" spans="2:65" ht="13.95" customHeight="1" x14ac:dyDescent="0.3">
      <c r="B16" s="48"/>
      <c r="C16" s="49"/>
      <c r="D16" s="49"/>
      <c r="E16" s="49"/>
      <c r="F16" s="9" t="s">
        <v>14</v>
      </c>
      <c r="G16" s="56" t="s">
        <v>74</v>
      </c>
      <c r="H16" s="57" t="s">
        <v>75</v>
      </c>
      <c r="I16" s="10">
        <f>1000*7.56%</f>
        <v>75.599999999999994</v>
      </c>
      <c r="K16" s="9" t="s">
        <v>14</v>
      </c>
      <c r="L16" s="56" t="s">
        <v>74</v>
      </c>
      <c r="M16" s="57" t="s">
        <v>75</v>
      </c>
      <c r="N16" s="10">
        <f>4000*7.56%</f>
        <v>302.39999999999998</v>
      </c>
      <c r="O16" s="9" t="s">
        <v>14</v>
      </c>
      <c r="P16" s="56" t="s">
        <v>74</v>
      </c>
      <c r="Q16" s="57" t="s">
        <v>75</v>
      </c>
      <c r="R16" s="10">
        <f>5000*7.56%</f>
        <v>378</v>
      </c>
      <c r="S16" s="9" t="s">
        <v>14</v>
      </c>
      <c r="T16" s="56" t="s">
        <v>74</v>
      </c>
      <c r="U16" s="57" t="s">
        <v>75</v>
      </c>
      <c r="V16" s="10">
        <f>6000*7.56%</f>
        <v>453.6</v>
      </c>
      <c r="W16" s="9" t="s">
        <v>14</v>
      </c>
      <c r="X16" s="56" t="s">
        <v>74</v>
      </c>
      <c r="Y16" s="57" t="s">
        <v>75</v>
      </c>
      <c r="Z16" s="10">
        <f>7000*7.56%</f>
        <v>529.20000000000005</v>
      </c>
      <c r="AA16" s="9" t="s">
        <v>14</v>
      </c>
      <c r="AB16" s="56" t="s">
        <v>74</v>
      </c>
      <c r="AC16" s="57" t="s">
        <v>75</v>
      </c>
      <c r="AD16" s="10">
        <f>10000*7.56%</f>
        <v>756</v>
      </c>
      <c r="AE16" s="9" t="s">
        <v>14</v>
      </c>
      <c r="AF16" s="56" t="s">
        <v>74</v>
      </c>
      <c r="AG16" s="57" t="s">
        <v>75</v>
      </c>
      <c r="AH16" s="10">
        <f>18000*7.56%</f>
        <v>1360.8</v>
      </c>
      <c r="AI16" s="9" t="s">
        <v>14</v>
      </c>
      <c r="AJ16" s="56" t="s">
        <v>74</v>
      </c>
      <c r="AK16" s="57" t="s">
        <v>75</v>
      </c>
      <c r="AL16" s="10">
        <f>20000*7.56%</f>
        <v>1512</v>
      </c>
      <c r="AM16" s="9" t="s">
        <v>14</v>
      </c>
      <c r="AN16" s="56" t="s">
        <v>74</v>
      </c>
      <c r="AO16" s="57" t="s">
        <v>75</v>
      </c>
      <c r="AP16" s="10">
        <f>25000*7.56%</f>
        <v>1890</v>
      </c>
      <c r="AQ16" s="9" t="s">
        <v>14</v>
      </c>
      <c r="AR16" s="56" t="s">
        <v>74</v>
      </c>
      <c r="AS16" s="57" t="s">
        <v>75</v>
      </c>
      <c r="AT16" s="10">
        <f>30000*7.56%</f>
        <v>2268</v>
      </c>
      <c r="AU16" s="9" t="s">
        <v>14</v>
      </c>
      <c r="AV16" s="56" t="s">
        <v>74</v>
      </c>
      <c r="AW16" s="57" t="s">
        <v>75</v>
      </c>
      <c r="AX16" s="10">
        <f>60000*7.56%</f>
        <v>4536</v>
      </c>
      <c r="AY16" s="9" t="s">
        <v>14</v>
      </c>
      <c r="AZ16" s="56" t="s">
        <v>74</v>
      </c>
      <c r="BA16" s="57" t="s">
        <v>75</v>
      </c>
      <c r="BB16" s="10">
        <f>200000*7.56%</f>
        <v>15120</v>
      </c>
      <c r="BC16" s="9" t="s">
        <v>14</v>
      </c>
      <c r="BD16" s="56" t="s">
        <v>74</v>
      </c>
      <c r="BE16" s="57" t="s">
        <v>75</v>
      </c>
      <c r="BF16" s="10">
        <f>1000000*7.56%</f>
        <v>75600</v>
      </c>
    </row>
    <row r="17" spans="2:58" x14ac:dyDescent="0.3">
      <c r="B17" s="48"/>
      <c r="C17" s="49"/>
      <c r="D17" s="49"/>
      <c r="E17" s="49"/>
      <c r="F17" s="13" t="s">
        <v>15</v>
      </c>
      <c r="G17" s="56" t="s">
        <v>74</v>
      </c>
      <c r="H17" s="57" t="s">
        <v>75</v>
      </c>
      <c r="I17" s="63">
        <f>1000*0.3%</f>
        <v>3</v>
      </c>
      <c r="K17" s="13" t="s">
        <v>15</v>
      </c>
      <c r="L17" s="56" t="s">
        <v>74</v>
      </c>
      <c r="M17" s="57" t="s">
        <v>75</v>
      </c>
      <c r="N17" s="63">
        <f>4000*0.3%</f>
        <v>12</v>
      </c>
      <c r="O17" s="13" t="s">
        <v>15</v>
      </c>
      <c r="P17" s="56" t="s">
        <v>74</v>
      </c>
      <c r="Q17" s="57" t="s">
        <v>75</v>
      </c>
      <c r="R17" s="63">
        <f>5000*0.3%</f>
        <v>15</v>
      </c>
      <c r="S17" s="13" t="s">
        <v>15</v>
      </c>
      <c r="T17" s="56" t="s">
        <v>74</v>
      </c>
      <c r="U17" s="57" t="s">
        <v>75</v>
      </c>
      <c r="V17" s="63">
        <f>6000*0.3%</f>
        <v>18</v>
      </c>
      <c r="W17" s="13" t="s">
        <v>15</v>
      </c>
      <c r="X17" s="56" t="s">
        <v>74</v>
      </c>
      <c r="Y17" s="57" t="s">
        <v>75</v>
      </c>
      <c r="Z17" s="63">
        <f>7000*0.3%</f>
        <v>21</v>
      </c>
      <c r="AA17" s="13" t="s">
        <v>15</v>
      </c>
      <c r="AB17" s="56" t="s">
        <v>74</v>
      </c>
      <c r="AC17" s="57" t="s">
        <v>75</v>
      </c>
      <c r="AD17" s="63">
        <f>10000*0.3%</f>
        <v>30</v>
      </c>
      <c r="AE17" s="13" t="s">
        <v>15</v>
      </c>
      <c r="AF17" s="56" t="s">
        <v>74</v>
      </c>
      <c r="AG17" s="57" t="s">
        <v>75</v>
      </c>
      <c r="AH17" s="63">
        <f>18000*0.3%</f>
        <v>54</v>
      </c>
      <c r="AI17" s="13" t="s">
        <v>15</v>
      </c>
      <c r="AJ17" s="56" t="s">
        <v>74</v>
      </c>
      <c r="AK17" s="57" t="s">
        <v>75</v>
      </c>
      <c r="AL17" s="63">
        <f>20000*0.3%</f>
        <v>60</v>
      </c>
      <c r="AM17" s="13" t="s">
        <v>15</v>
      </c>
      <c r="AN17" s="56" t="s">
        <v>74</v>
      </c>
      <c r="AO17" s="57" t="s">
        <v>75</v>
      </c>
      <c r="AP17" s="63">
        <f>25000*0.3%</f>
        <v>75</v>
      </c>
      <c r="AQ17" s="13" t="s">
        <v>15</v>
      </c>
      <c r="AR17" s="56" t="s">
        <v>74</v>
      </c>
      <c r="AS17" s="57" t="s">
        <v>75</v>
      </c>
      <c r="AT17" s="63">
        <f>30000*0.3%</f>
        <v>90</v>
      </c>
      <c r="AU17" s="13" t="s">
        <v>15</v>
      </c>
      <c r="AV17" s="56" t="s">
        <v>74</v>
      </c>
      <c r="AW17" s="57" t="s">
        <v>75</v>
      </c>
      <c r="AX17" s="63">
        <f>60000*0.3%</f>
        <v>180</v>
      </c>
      <c r="AY17" s="13" t="s">
        <v>15</v>
      </c>
      <c r="AZ17" s="56" t="s">
        <v>74</v>
      </c>
      <c r="BA17" s="57" t="s">
        <v>75</v>
      </c>
      <c r="BB17" s="63">
        <f>200000*0.3%</f>
        <v>600</v>
      </c>
      <c r="BC17" s="13" t="s">
        <v>15</v>
      </c>
      <c r="BD17" s="56" t="s">
        <v>74</v>
      </c>
      <c r="BE17" s="57" t="s">
        <v>75</v>
      </c>
      <c r="BF17" s="63">
        <f>1000000*0.3%</f>
        <v>3000</v>
      </c>
    </row>
  </sheetData>
  <mergeCells count="21">
    <mergeCell ref="BC5:BF5"/>
    <mergeCell ref="E7:E17"/>
    <mergeCell ref="D7:D17"/>
    <mergeCell ref="C7:C17"/>
    <mergeCell ref="B7:B17"/>
    <mergeCell ref="AE5:AH5"/>
    <mergeCell ref="AI5:AL5"/>
    <mergeCell ref="AM5:AP5"/>
    <mergeCell ref="AQ5:AT5"/>
    <mergeCell ref="AU5:AX5"/>
    <mergeCell ref="AY5:BB5"/>
    <mergeCell ref="F3:BM3"/>
    <mergeCell ref="B4:C4"/>
    <mergeCell ref="F4:BM4"/>
    <mergeCell ref="B5:C5"/>
    <mergeCell ref="F5:I5"/>
    <mergeCell ref="K5:N5"/>
    <mergeCell ref="O5:R5"/>
    <mergeCell ref="S5:V5"/>
    <mergeCell ref="W5:Z5"/>
    <mergeCell ref="AA5:A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Sheet2</vt:lpstr>
      <vt:lpstr>Standart</vt:lpstr>
      <vt:lpstr>Premium</vt:lpstr>
      <vt:lpstr>OEM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2025-06-24T13:53:13Z</dcterms:created>
  <dcterms:modified xsi:type="dcterms:W3CDTF">2025-07-09T14:47:08Z</dcterms:modified>
</cp:coreProperties>
</file>