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oky\Desktop\Sukhrab\"/>
    </mc:Choice>
  </mc:AlternateContent>
  <bookViews>
    <workbookView xWindow="0" yWindow="0" windowWidth="28800" windowHeight="12300" tabRatio="500"/>
  </bookViews>
  <sheets>
    <sheet name="DCF of Mastercard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E22" i="1"/>
  <c r="F22" i="1"/>
  <c r="C22" i="1"/>
  <c r="G22" i="1"/>
  <c r="H22" i="1"/>
  <c r="C10" i="1"/>
  <c r="D10" i="1"/>
  <c r="E10" i="1"/>
  <c r="F10" i="1"/>
  <c r="G10" i="1"/>
  <c r="H9" i="1"/>
  <c r="H11" i="1"/>
  <c r="H13" i="1"/>
  <c r="H12" i="1"/>
  <c r="H14" i="1"/>
  <c r="H15" i="1"/>
  <c r="H16" i="1"/>
  <c r="H17" i="1"/>
  <c r="H20" i="1"/>
  <c r="H19" i="1"/>
  <c r="H21" i="1"/>
  <c r="B23" i="1"/>
  <c r="H10" i="1"/>
  <c r="I10" i="1"/>
  <c r="J10" i="1"/>
  <c r="K10" i="1"/>
  <c r="I9" i="1"/>
  <c r="J9" i="1"/>
  <c r="K9" i="1"/>
  <c r="I21" i="1"/>
  <c r="I11" i="1"/>
  <c r="I13" i="1"/>
  <c r="I12" i="1"/>
  <c r="I14" i="1"/>
  <c r="I15" i="1"/>
  <c r="I16" i="1"/>
  <c r="I17" i="1"/>
  <c r="I20" i="1"/>
  <c r="I19" i="1"/>
  <c r="I22" i="1"/>
  <c r="J21" i="1"/>
  <c r="J11" i="1"/>
  <c r="J13" i="1"/>
  <c r="J12" i="1"/>
  <c r="J14" i="1"/>
  <c r="J15" i="1"/>
  <c r="J16" i="1"/>
  <c r="J17" i="1"/>
  <c r="J20" i="1"/>
  <c r="J19" i="1"/>
  <c r="J22" i="1"/>
  <c r="K21" i="1"/>
  <c r="K11" i="1"/>
  <c r="K13" i="1"/>
  <c r="K12" i="1"/>
  <c r="K14" i="1"/>
  <c r="K15" i="1"/>
  <c r="K16" i="1"/>
  <c r="K17" i="1"/>
  <c r="K20" i="1"/>
  <c r="K19" i="1"/>
  <c r="K22" i="1"/>
  <c r="E147" i="1"/>
  <c r="E148" i="1"/>
  <c r="B144" i="1"/>
  <c r="B143" i="1"/>
  <c r="B145" i="1"/>
  <c r="C113" i="1"/>
  <c r="B113" i="1"/>
  <c r="C114" i="1"/>
  <c r="D113" i="1"/>
  <c r="D114" i="1"/>
  <c r="E113" i="1"/>
  <c r="E114" i="1"/>
  <c r="F113" i="1"/>
  <c r="F114" i="1"/>
  <c r="G114" i="1"/>
  <c r="B147" i="1"/>
  <c r="G8" i="1"/>
  <c r="F116" i="1"/>
  <c r="F118" i="1"/>
  <c r="F120" i="1"/>
  <c r="F122" i="1"/>
  <c r="F125" i="1"/>
  <c r="E129" i="1"/>
  <c r="D129" i="1"/>
  <c r="F131" i="1"/>
  <c r="F132" i="1"/>
  <c r="F134" i="1"/>
  <c r="G113" i="1"/>
  <c r="F115" i="1"/>
  <c r="G115" i="1"/>
  <c r="G116" i="1"/>
  <c r="B118" i="1"/>
  <c r="C118" i="1"/>
  <c r="D118" i="1"/>
  <c r="E118" i="1"/>
  <c r="G118" i="1"/>
  <c r="G120" i="1"/>
  <c r="G122" i="1"/>
  <c r="B125" i="1"/>
  <c r="C125" i="1"/>
  <c r="D125" i="1"/>
  <c r="E125" i="1"/>
  <c r="G125" i="1"/>
  <c r="G127" i="1"/>
  <c r="F129" i="1"/>
  <c r="G131" i="1"/>
  <c r="G132" i="1"/>
  <c r="G134" i="1"/>
  <c r="H114" i="1"/>
  <c r="H113" i="1"/>
  <c r="H115" i="1"/>
  <c r="H116" i="1"/>
  <c r="H118" i="1"/>
  <c r="H120" i="1"/>
  <c r="H122" i="1"/>
  <c r="H125" i="1"/>
  <c r="H127" i="1"/>
  <c r="B129" i="1"/>
  <c r="C129" i="1"/>
  <c r="G129" i="1"/>
  <c r="H131" i="1"/>
  <c r="H132" i="1"/>
  <c r="H134" i="1"/>
  <c r="I114" i="1"/>
  <c r="I113" i="1"/>
  <c r="I115" i="1"/>
  <c r="I116" i="1"/>
  <c r="I118" i="1"/>
  <c r="I120" i="1"/>
  <c r="I122" i="1"/>
  <c r="I125" i="1"/>
  <c r="I127" i="1"/>
  <c r="H129" i="1"/>
  <c r="I131" i="1"/>
  <c r="I132" i="1"/>
  <c r="I134" i="1"/>
  <c r="J114" i="1"/>
  <c r="J113" i="1"/>
  <c r="J115" i="1"/>
  <c r="J116" i="1"/>
  <c r="J118" i="1"/>
  <c r="J120" i="1"/>
  <c r="J122" i="1"/>
  <c r="J125" i="1"/>
  <c r="J127" i="1"/>
  <c r="I129" i="1"/>
  <c r="J131" i="1"/>
  <c r="J132" i="1"/>
  <c r="J134" i="1"/>
  <c r="K114" i="1"/>
  <c r="K113" i="1"/>
  <c r="K115" i="1"/>
  <c r="K116" i="1"/>
  <c r="K118" i="1"/>
  <c r="K120" i="1"/>
  <c r="K122" i="1"/>
  <c r="K125" i="1"/>
  <c r="K127" i="1"/>
  <c r="J129" i="1"/>
  <c r="K131" i="1"/>
  <c r="K132" i="1"/>
  <c r="K133" i="1"/>
  <c r="K134" i="1"/>
  <c r="B146" i="1"/>
  <c r="B148" i="1"/>
  <c r="B149" i="1"/>
  <c r="B150" i="1"/>
  <c r="B151" i="1"/>
  <c r="G135" i="1"/>
  <c r="H135" i="1"/>
  <c r="I135" i="1"/>
  <c r="J135" i="1"/>
  <c r="K135" i="1"/>
  <c r="F135" i="1"/>
  <c r="C8" i="1"/>
  <c r="B116" i="1"/>
  <c r="B120" i="1"/>
  <c r="F8" i="1"/>
  <c r="E116" i="1"/>
  <c r="E120" i="1"/>
  <c r="E122" i="1"/>
  <c r="E131" i="1"/>
  <c r="E132" i="1"/>
  <c r="E8" i="1"/>
  <c r="D116" i="1"/>
  <c r="D120" i="1"/>
  <c r="D122" i="1"/>
  <c r="D131" i="1"/>
  <c r="D132" i="1"/>
  <c r="C130" i="1"/>
  <c r="D130" i="1"/>
  <c r="E130" i="1"/>
  <c r="F130" i="1"/>
  <c r="G130" i="1"/>
  <c r="H130" i="1"/>
  <c r="I130" i="1"/>
  <c r="J130" i="1"/>
  <c r="K130" i="1"/>
  <c r="K129" i="1"/>
  <c r="K128" i="1"/>
  <c r="J128" i="1"/>
  <c r="I128" i="1"/>
  <c r="H128" i="1"/>
  <c r="G128" i="1"/>
  <c r="F128" i="1"/>
  <c r="E128" i="1"/>
  <c r="D128" i="1"/>
  <c r="C128" i="1"/>
  <c r="B128" i="1"/>
  <c r="F126" i="1"/>
  <c r="B126" i="1"/>
  <c r="C126" i="1"/>
  <c r="D126" i="1"/>
  <c r="E126" i="1"/>
  <c r="G126" i="1"/>
  <c r="H126" i="1"/>
  <c r="I126" i="1"/>
  <c r="J126" i="1"/>
  <c r="K126" i="1"/>
  <c r="K124" i="1"/>
  <c r="J124" i="1"/>
  <c r="I124" i="1"/>
  <c r="H124" i="1"/>
  <c r="G124" i="1"/>
  <c r="F124" i="1"/>
  <c r="E124" i="1"/>
  <c r="D124" i="1"/>
  <c r="C122" i="1"/>
  <c r="D8" i="1"/>
  <c r="C116" i="1"/>
  <c r="C120" i="1"/>
  <c r="C124" i="1"/>
  <c r="B122" i="1"/>
  <c r="B124" i="1"/>
  <c r="F121" i="1"/>
  <c r="B121" i="1"/>
  <c r="C121" i="1"/>
  <c r="D121" i="1"/>
  <c r="E121" i="1"/>
  <c r="G121" i="1"/>
  <c r="H121" i="1"/>
  <c r="I121" i="1"/>
  <c r="J121" i="1"/>
  <c r="K121" i="1"/>
  <c r="K119" i="1"/>
  <c r="J119" i="1"/>
  <c r="I119" i="1"/>
  <c r="H119" i="1"/>
  <c r="G119" i="1"/>
  <c r="F119" i="1"/>
  <c r="E119" i="1"/>
  <c r="D119" i="1"/>
  <c r="C119" i="1"/>
  <c r="B119" i="1"/>
  <c r="K117" i="1"/>
  <c r="J117" i="1"/>
  <c r="I117" i="1"/>
  <c r="H117" i="1"/>
  <c r="G117" i="1"/>
  <c r="F117" i="1"/>
  <c r="E117" i="1"/>
  <c r="D117" i="1"/>
  <c r="C117" i="1"/>
  <c r="B117" i="1"/>
  <c r="E115" i="1"/>
  <c r="D115" i="1"/>
  <c r="C115" i="1"/>
  <c r="B115" i="1"/>
</calcChain>
</file>

<file path=xl/sharedStrings.xml><?xml version="1.0" encoding="utf-8"?>
<sst xmlns="http://schemas.openxmlformats.org/spreadsheetml/2006/main" count="260" uniqueCount="146">
  <si>
    <t>DISCOUNTED CASH FLOW VALUATION FOR MASTERCARD</t>
  </si>
  <si>
    <t>INCOME STATEMENT</t>
  </si>
  <si>
    <t>Year ended May 31</t>
  </si>
  <si>
    <t>(in millions of dollars except per-share data)</t>
  </si>
  <si>
    <t>Revenues</t>
  </si>
  <si>
    <t>Cost of goods sold</t>
  </si>
  <si>
    <t>Gross profit</t>
  </si>
  <si>
    <t>Total operating expenses</t>
  </si>
  <si>
    <t>Operating income</t>
  </si>
  <si>
    <t>Interest expense</t>
  </si>
  <si>
    <t>Other expenses</t>
  </si>
  <si>
    <t>Total nonoperating income, net</t>
  </si>
  <si>
    <t>Income before taxes</t>
  </si>
  <si>
    <t>Provision for income taxes</t>
  </si>
  <si>
    <t>Net income</t>
  </si>
  <si>
    <t>Diluted EPS</t>
  </si>
  <si>
    <t>Weighted Average shares o/s (diluted)</t>
  </si>
  <si>
    <t>Assets</t>
  </si>
  <si>
    <t> Cash &amp; Short Term Investments</t>
  </si>
  <si>
    <t>Cash Only</t>
  </si>
  <si>
    <t>Short-Term Investments</t>
  </si>
  <si>
    <t> Total Accounts Receivable</t>
  </si>
  <si>
    <t>Accounts Receivables, Net</t>
  </si>
  <si>
    <t>Accounts Receivables, Gross</t>
  </si>
  <si>
    <t>Bad Debt/Doubtful Accounts</t>
  </si>
  <si>
    <t>-</t>
  </si>
  <si>
    <t>Other Receivables</t>
  </si>
  <si>
    <t>Inventories</t>
  </si>
  <si>
    <t>Finished Goods</t>
  </si>
  <si>
    <t>Work in Progress</t>
  </si>
  <si>
    <t>Raw Materials</t>
  </si>
  <si>
    <t>Progress Payments &amp; Other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</si>
  <si>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</si>
  <si>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</si>
  <si>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</si>
  <si>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</si>
  <si>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</si>
  <si>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</si>
  <si>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</si>
  <si>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Computer Software and Equipment</t>
  </si>
  <si>
    <t>Other Property, Plant &amp; Equipment</t>
  </si>
  <si>
    <t>Accumulated Depreciation</t>
  </si>
  <si>
    <t>Total Investments and Advances</t>
  </si>
  <si>
    <t>Other Long-Term Investments</t>
  </si>
  <si>
    <t>Long-Term Note Receivable</t>
  </si>
  <si>
    <t>Intangible Assets</t>
  </si>
  <si>
    <t>Net Goodwill</t>
  </si>
  <si>
    <t>Net Other Intangibles</t>
  </si>
  <si>
    <t>Other Assets</t>
  </si>
  <si>
    <t>Tangible Other Assets</t>
  </si>
  <si>
    <t>Liabilities &amp; Shareholders' Equity</t>
  </si>
  <si>
    <t>ST Debt &amp; Current Portion LT Debt</t>
  </si>
  <si>
    <t>Short Term Debt</t>
  </si>
  <si>
    <t>Current Portion of Long Term Debt</t>
  </si>
  <si>
    <t>Income Tax Payable</t>
  </si>
  <si>
    <t>Other Current Liabilities</t>
  </si>
  <si>
    <t>Dividends Payable</t>
  </si>
  <si>
    <t>Accrued Payroll</t>
  </si>
  <si>
    <t>Miscellaneous Current Liabilities</t>
  </si>
  <si>
    <t>Long-Term Debt</t>
  </si>
  <si>
    <t>Long-Term Debt excl. Capitalized Leases</t>
  </si>
  <si>
    <t>Non-Convertible Debt</t>
  </si>
  <si>
    <t>Convertible Debt</t>
  </si>
  <si>
    <t>Capitalized Lease Obligations</t>
  </si>
  <si>
    <t>Provision for Risks &amp; Charges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</si>
  <si>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</si>
  <si>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</si>
  <si>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</si>
  <si>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</si>
  <si>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</si>
  <si>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</si>
  <si>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Non-Equity Reserves</t>
  </si>
  <si>
    <t>Preferred Stock (Carrying Value)</t>
  </si>
  <si>
    <t>Redeemable Preferred Stock</t>
  </si>
  <si>
    <t>Non-Redeemable Preferred Stock</t>
  </si>
  <si>
    <t>Common Stock Par/Carry Value</t>
  </si>
  <si>
    <t>Retained Earnings</t>
  </si>
  <si>
    <t>ESOP Debt Guarantee</t>
  </si>
  <si>
    <t>Cumulative Translation Adjustment/Unrealized For. Exch. Gain</t>
  </si>
  <si>
    <t>Unrealized Gain/Loss Marketable Securities</t>
  </si>
  <si>
    <t>(4M)</t>
  </si>
  <si>
    <t>(26M)</t>
  </si>
  <si>
    <t>14M</t>
  </si>
  <si>
    <t>1M</t>
  </si>
  <si>
    <t>Revaluation Reserves</t>
  </si>
  <si>
    <t>Treasury Stock</t>
  </si>
  <si>
    <t>Accumulated Minority Interest</t>
  </si>
  <si>
    <t>Total Equity</t>
  </si>
  <si>
    <t>CASH FLOW STATEMENT - KEY ACCOUNTS</t>
  </si>
  <si>
    <t>Depreciation expense</t>
  </si>
  <si>
    <t>Net capital expenditures</t>
  </si>
  <si>
    <t>ACTUALS (NORMALIZED)</t>
  </si>
  <si>
    <t>FORECAST</t>
  </si>
  <si>
    <t xml:space="preserve"> % growth</t>
  </si>
  <si>
    <t>N/A</t>
  </si>
  <si>
    <t>Cost of Goods Sold</t>
  </si>
  <si>
    <t>Gross margin</t>
  </si>
  <si>
    <t xml:space="preserve"> % of sales</t>
  </si>
  <si>
    <t>Operating expenses</t>
  </si>
  <si>
    <t>Normalized operating income</t>
  </si>
  <si>
    <t>Income taxes</t>
  </si>
  <si>
    <t>Tax rate</t>
  </si>
  <si>
    <t>Tax rate as % of operating income</t>
  </si>
  <si>
    <t xml:space="preserve"> % sales</t>
  </si>
  <si>
    <t xml:space="preserve">Capex </t>
  </si>
  <si>
    <t>Non-cash working capital</t>
  </si>
  <si>
    <t>Change in non-cash WC</t>
  </si>
  <si>
    <t>Free cash flow</t>
  </si>
  <si>
    <t>Terminal value</t>
  </si>
  <si>
    <t>Total flows</t>
  </si>
  <si>
    <t>WACC</t>
  </si>
  <si>
    <t>Terminal Multiple</t>
  </si>
  <si>
    <t>WD</t>
  </si>
  <si>
    <t>WE</t>
  </si>
  <si>
    <t>Cost of Debt</t>
  </si>
  <si>
    <t>After tax cost of debt</t>
  </si>
  <si>
    <t xml:space="preserve">Cost of Equity </t>
  </si>
  <si>
    <t>Enterprise value to Equity Value</t>
  </si>
  <si>
    <t>less: Net Debt</t>
  </si>
  <si>
    <t>Equity value</t>
  </si>
  <si>
    <t>Diluted Shares Outstandings</t>
  </si>
  <si>
    <t>Equity value per share</t>
  </si>
  <si>
    <t>1-year return</t>
  </si>
  <si>
    <t>Source: Morningstar (March 13, 2018). Mastercard Inc. Retrieved from http://financials.morningstar.com/income-statement/is.html?t=MA&amp;region=usa&amp;culture=en-US</t>
  </si>
  <si>
    <t xml:space="preserve">Beta </t>
  </si>
  <si>
    <t>Risk Premium</t>
  </si>
  <si>
    <t>Risk Free Rate</t>
  </si>
  <si>
    <t>Diluted shares outstanding (millions)</t>
  </si>
  <si>
    <t xml:space="preserve">Debt to Equity </t>
  </si>
  <si>
    <t>Cost of Equity</t>
  </si>
  <si>
    <t xml:space="preserve">P/E </t>
  </si>
  <si>
    <t>Forecast</t>
  </si>
  <si>
    <t>Actual</t>
  </si>
  <si>
    <t>Total operating expense growth %</t>
  </si>
  <si>
    <t xml:space="preserve">Forecasted share price </t>
  </si>
  <si>
    <r>
      <t xml:space="preserve">Source: Morningstar (March 13, 2018). </t>
    </r>
    <r>
      <rPr>
        <i/>
        <sz val="12"/>
        <color rgb="FF000000"/>
        <rFont val="Times New Roman"/>
        <family val="1"/>
      </rPr>
      <t xml:space="preserve">Mastercard Inc. </t>
    </r>
    <r>
      <rPr>
        <sz val="12"/>
        <color rgb="FF000000"/>
        <rFont val="Times New Roman"/>
        <family val="1"/>
      </rPr>
      <t>Retrieved from http://financials.morningstar.com/income-statement/is.html?t=MA&amp;region=usa&amp;culture=en-US</t>
    </r>
  </si>
  <si>
    <r>
      <t xml:space="preserve">Source: MarketWatch. </t>
    </r>
    <r>
      <rPr>
        <i/>
        <sz val="12"/>
        <color rgb="FF000000"/>
        <rFont val="Times New Roman"/>
        <family val="1"/>
      </rPr>
      <t xml:space="preserve">Mastercard Inc. </t>
    </r>
    <r>
      <rPr>
        <sz val="12"/>
        <color rgb="FF000000"/>
        <rFont val="Times New Roman"/>
        <family val="1"/>
      </rPr>
      <t>(March 13, 2018). Retrieved from https://www.marketwatch.com/investing/stock/ma/financials/balance-sheet</t>
    </r>
  </si>
  <si>
    <t>Weight of Debt &amp; Equity</t>
  </si>
  <si>
    <t>Fiscal year is January-December (in millions) USD</t>
  </si>
  <si>
    <t>Total Shareholders' Equity</t>
  </si>
  <si>
    <t>Common Equity (Total)</t>
  </si>
  <si>
    <t>Total Liabilities</t>
  </si>
  <si>
    <t>Total Assets</t>
  </si>
  <si>
    <t>Accounts Payable</t>
  </si>
  <si>
    <t>Total Current Liabilities</t>
  </si>
  <si>
    <t>Share Price (as of April 15,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</si>
</sst>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"/>
    <numFmt numFmtId="165" formatCode="&quot;$&quot;#,##0.00"/>
    <numFmt numFmtId="166" formatCode="0.0"/>
    <numFmt numFmtId="167" formatCode="&quot;$&quot;#,##0"/>
    <numFmt numFmtId="168" formatCode="0.0%"/>
    <numFmt numFmtId="170" formatCode="0.000%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</numFmts>
  <fonts count="17" x14ac:knownFonts="1">
    <font>
      <sz val="11"/>
      <color rgb="FF000000"/>
      <name val="Calibri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b/>
      <sz val="12"/>
      <color rgb="FF26262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4"/>
      <color theme="0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15357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/>
    <xf numFmtId="17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0" fontId="4" fillId="0" borderId="0" xfId="0" applyFont="1" applyAlignment="1">
      <alignment horizontal="right"/>
    </xf>
    <xf numFmtId="0" fontId="9" fillId="0" borderId="0" xfId="0" applyFont="1"/>
    <xf numFmtId="165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  <xf numFmtId="10" fontId="5" fillId="0" borderId="0" xfId="0" applyNumberFormat="1" applyFont="1"/>
    <xf numFmtId="167" fontId="4" fillId="0" borderId="0" xfId="0" applyNumberFormat="1" applyFont="1"/>
    <xf numFmtId="0" fontId="5" fillId="0" borderId="9" xfId="0" applyFont="1" applyBorder="1" applyAlignment="1"/>
    <xf numFmtId="168" fontId="5" fillId="0" borderId="9" xfId="0" applyNumberFormat="1" applyFont="1" applyBorder="1"/>
    <xf numFmtId="0" fontId="4" fillId="0" borderId="9" xfId="0" applyFont="1" applyBorder="1"/>
    <xf numFmtId="0" fontId="5" fillId="0" borderId="1" xfId="0" applyFont="1" applyBorder="1" applyAlignment="1"/>
    <xf numFmtId="164" fontId="5" fillId="0" borderId="9" xfId="0" applyNumberFormat="1" applyFont="1" applyBorder="1"/>
    <xf numFmtId="168" fontId="5" fillId="0" borderId="9" xfId="0" applyNumberFormat="1" applyFont="1" applyBorder="1" applyAlignment="1">
      <alignment horizontal="right"/>
    </xf>
    <xf numFmtId="10" fontId="5" fillId="0" borderId="1" xfId="0" applyNumberFormat="1" applyFont="1" applyBorder="1" applyAlignment="1"/>
    <xf numFmtId="165" fontId="5" fillId="0" borderId="9" xfId="0" applyNumberFormat="1" applyFont="1" applyBorder="1"/>
    <xf numFmtId="165" fontId="5" fillId="0" borderId="1" xfId="0" applyNumberFormat="1" applyFont="1" applyFill="1" applyBorder="1" applyAlignment="1"/>
    <xf numFmtId="10" fontId="5" fillId="0" borderId="9" xfId="0" applyNumberFormat="1" applyFont="1" applyBorder="1"/>
    <xf numFmtId="0" fontId="10" fillId="0" borderId="9" xfId="0" applyFont="1" applyBorder="1"/>
    <xf numFmtId="1" fontId="10" fillId="0" borderId="9" xfId="0" applyNumberFormat="1" applyFont="1" applyBorder="1"/>
    <xf numFmtId="0" fontId="10" fillId="0" borderId="1" xfId="0" applyFont="1" applyBorder="1"/>
    <xf numFmtId="8" fontId="5" fillId="0" borderId="1" xfId="0" applyNumberFormat="1" applyFont="1" applyBorder="1" applyAlignment="1"/>
    <xf numFmtId="8" fontId="5" fillId="0" borderId="1" xfId="0" applyNumberFormat="1" applyFont="1" applyBorder="1"/>
    <xf numFmtId="0" fontId="5" fillId="0" borderId="11" xfId="0" applyFont="1" applyBorder="1" applyAlignment="1"/>
    <xf numFmtId="8" fontId="5" fillId="0" borderId="11" xfId="0" applyNumberFormat="1" applyFont="1" applyBorder="1" applyAlignment="1"/>
    <xf numFmtId="44" fontId="5" fillId="0" borderId="9" xfId="6" applyFont="1" applyBorder="1" applyAlignment="1"/>
    <xf numFmtId="8" fontId="5" fillId="0" borderId="9" xfId="0" applyNumberFormat="1" applyFont="1" applyBorder="1" applyAlignment="1"/>
    <xf numFmtId="0" fontId="5" fillId="0" borderId="9" xfId="0" applyFont="1" applyBorder="1"/>
    <xf numFmtId="10" fontId="5" fillId="0" borderId="9" xfId="0" applyNumberFormat="1" applyFont="1" applyBorder="1" applyAlignment="1"/>
    <xf numFmtId="10" fontId="5" fillId="0" borderId="1" xfId="0" applyNumberFormat="1" applyFont="1" applyBorder="1"/>
    <xf numFmtId="170" fontId="5" fillId="0" borderId="0" xfId="0" applyNumberFormat="1" applyFont="1"/>
    <xf numFmtId="44" fontId="5" fillId="0" borderId="0" xfId="0" applyNumberFormat="1" applyFont="1"/>
    <xf numFmtId="0" fontId="10" fillId="3" borderId="9" xfId="0" applyFont="1" applyFill="1" applyBorder="1" applyAlignment="1"/>
    <xf numFmtId="0" fontId="10" fillId="0" borderId="9" xfId="0" applyFont="1" applyBorder="1" applyAlignment="1"/>
    <xf numFmtId="0" fontId="8" fillId="0" borderId="9" xfId="0" applyFont="1" applyBorder="1" applyAlignment="1"/>
    <xf numFmtId="0" fontId="10" fillId="0" borderId="1" xfId="0" applyFont="1" applyBorder="1" applyAlignment="1"/>
    <xf numFmtId="0" fontId="8" fillId="0" borderId="1" xfId="0" applyFont="1" applyBorder="1" applyAlignment="1"/>
    <xf numFmtId="0" fontId="10" fillId="0" borderId="0" xfId="0" applyFont="1" applyAlignment="1"/>
    <xf numFmtId="0" fontId="5" fillId="0" borderId="1" xfId="0" applyFont="1" applyFill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8" fontId="5" fillId="0" borderId="0" xfId="0" applyNumberFormat="1" applyFont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5" fillId="2" borderId="2" xfId="0" applyNumberFormat="1" applyFont="1" applyFill="1" applyBorder="1"/>
    <xf numFmtId="10" fontId="5" fillId="2" borderId="2" xfId="0" applyNumberFormat="1" applyFont="1" applyFill="1" applyBorder="1"/>
    <xf numFmtId="0" fontId="5" fillId="2" borderId="6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/>
    <xf numFmtId="0" fontId="5" fillId="2" borderId="7" xfId="0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right"/>
    </xf>
    <xf numFmtId="0" fontId="5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168" fontId="11" fillId="4" borderId="10" xfId="0" applyNumberFormat="1" applyFont="1" applyFill="1" applyBorder="1" applyAlignment="1">
      <alignment horizontal="center"/>
    </xf>
    <xf numFmtId="168" fontId="11" fillId="4" borderId="13" xfId="0" applyNumberFormat="1" applyFont="1" applyFill="1" applyBorder="1" applyAlignment="1">
      <alignment horizontal="center"/>
    </xf>
    <xf numFmtId="168" fontId="11" fillId="4" borderId="12" xfId="0" applyNumberFormat="1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17" fontId="12" fillId="4" borderId="9" xfId="0" applyNumberFormat="1" applyFont="1" applyFill="1" applyBorder="1"/>
    <xf numFmtId="0" fontId="5" fillId="4" borderId="9" xfId="0" applyFont="1" applyFill="1" applyBorder="1" applyAlignment="1"/>
    <xf numFmtId="168" fontId="5" fillId="6" borderId="9" xfId="0" applyNumberFormat="1" applyFont="1" applyFill="1" applyBorder="1"/>
    <xf numFmtId="168" fontId="5" fillId="5" borderId="9" xfId="0" applyNumberFormat="1" applyFont="1" applyFill="1" applyBorder="1"/>
    <xf numFmtId="10" fontId="5" fillId="5" borderId="9" xfId="0" applyNumberFormat="1" applyFont="1" applyFill="1" applyBorder="1"/>
    <xf numFmtId="0" fontId="5" fillId="5" borderId="9" xfId="0" applyFont="1" applyFill="1" applyBorder="1" applyAlignment="1"/>
    <xf numFmtId="0" fontId="11" fillId="4" borderId="9" xfId="0" applyFont="1" applyFill="1" applyBorder="1" applyAlignment="1"/>
    <xf numFmtId="0" fontId="11" fillId="4" borderId="0" xfId="0" applyFont="1" applyFill="1"/>
    <xf numFmtId="0" fontId="11" fillId="4" borderId="0" xfId="0" applyFont="1" applyFill="1" applyAlignment="1"/>
    <xf numFmtId="0" fontId="11" fillId="4" borderId="0" xfId="0" applyFont="1" applyFill="1" applyAlignment="1">
      <alignment horizontal="left"/>
    </xf>
    <xf numFmtId="0" fontId="11" fillId="4" borderId="9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/>
    </xf>
    <xf numFmtId="17" fontId="11" fillId="4" borderId="9" xfId="0" applyNumberFormat="1" applyFont="1" applyFill="1" applyBorder="1"/>
    <xf numFmtId="1" fontId="5" fillId="5" borderId="9" xfId="0" applyNumberFormat="1" applyFont="1" applyFill="1" applyBorder="1" applyAlignment="1"/>
    <xf numFmtId="1" fontId="5" fillId="5" borderId="9" xfId="0" applyNumberFormat="1" applyFont="1" applyFill="1" applyBorder="1"/>
    <xf numFmtId="2" fontId="5" fillId="5" borderId="9" xfId="0" applyNumberFormat="1" applyFont="1" applyFill="1" applyBorder="1" applyAlignment="1"/>
    <xf numFmtId="166" fontId="5" fillId="0" borderId="9" xfId="0" applyNumberFormat="1" applyFont="1" applyBorder="1"/>
    <xf numFmtId="10" fontId="5" fillId="0" borderId="9" xfId="7" applyNumberFormat="1" applyFont="1" applyBorder="1" applyAlignment="1"/>
    <xf numFmtId="10" fontId="5" fillId="5" borderId="9" xfId="7" applyNumberFormat="1" applyFont="1" applyFill="1" applyBorder="1" applyAlignment="1"/>
    <xf numFmtId="0" fontId="13" fillId="4" borderId="9" xfId="0" applyFont="1" applyFill="1" applyBorder="1" applyAlignment="1"/>
    <xf numFmtId="166" fontId="13" fillId="4" borderId="10" xfId="0" applyNumberFormat="1" applyFont="1" applyFill="1" applyBorder="1" applyAlignment="1">
      <alignment horizontal="left"/>
    </xf>
    <xf numFmtId="166" fontId="13" fillId="4" borderId="13" xfId="0" applyNumberFormat="1" applyFont="1" applyFill="1" applyBorder="1" applyAlignment="1">
      <alignment horizontal="left"/>
    </xf>
    <xf numFmtId="166" fontId="13" fillId="4" borderId="12" xfId="0" applyNumberFormat="1" applyFont="1" applyFill="1" applyBorder="1" applyAlignment="1">
      <alignment horizontal="left"/>
    </xf>
    <xf numFmtId="0" fontId="14" fillId="0" borderId="9" xfId="0" applyFont="1" applyBorder="1"/>
    <xf numFmtId="17" fontId="8" fillId="0" borderId="9" xfId="0" applyNumberFormat="1" applyFont="1" applyBorder="1"/>
    <xf numFmtId="164" fontId="8" fillId="0" borderId="9" xfId="0" applyNumberFormat="1" applyFont="1" applyBorder="1"/>
    <xf numFmtId="0" fontId="8" fillId="0" borderId="9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7" fontId="8" fillId="0" borderId="9" xfId="0" quotePrefix="1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0" fontId="11" fillId="4" borderId="10" xfId="0" applyFont="1" applyFill="1" applyBorder="1" applyAlignment="1">
      <alignment horizontal="left"/>
    </xf>
    <xf numFmtId="0" fontId="11" fillId="4" borderId="13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2" fillId="4" borderId="9" xfId="0" applyFont="1" applyFill="1" applyBorder="1" applyAlignment="1"/>
    <xf numFmtId="0" fontId="5" fillId="0" borderId="9" xfId="0" applyFont="1" applyBorder="1" applyAlignment="1">
      <alignment horizontal="left"/>
    </xf>
    <xf numFmtId="0" fontId="15" fillId="0" borderId="9" xfId="0" applyFont="1" applyBorder="1"/>
    <xf numFmtId="164" fontId="10" fillId="0" borderId="9" xfId="0" applyNumberFormat="1" applyFont="1" applyBorder="1"/>
    <xf numFmtId="0" fontId="15" fillId="3" borderId="9" xfId="0" applyFont="1" applyFill="1" applyBorder="1"/>
    <xf numFmtId="164" fontId="10" fillId="0" borderId="9" xfId="0" applyNumberFormat="1" applyFont="1" applyBorder="1" applyAlignment="1"/>
    <xf numFmtId="0" fontId="15" fillId="0" borderId="9" xfId="0" applyFont="1" applyBorder="1" applyAlignment="1"/>
    <xf numFmtId="0" fontId="8" fillId="0" borderId="9" xfId="0" applyFont="1" applyBorder="1"/>
    <xf numFmtId="171" fontId="5" fillId="0" borderId="9" xfId="6" applyNumberFormat="1" applyFont="1" applyBorder="1"/>
    <xf numFmtId="171" fontId="5" fillId="5" borderId="9" xfId="6" applyNumberFormat="1" applyFont="1" applyFill="1" applyBorder="1"/>
    <xf numFmtId="172" fontId="5" fillId="0" borderId="9" xfId="6" applyNumberFormat="1" applyFont="1" applyBorder="1" applyAlignment="1"/>
    <xf numFmtId="172" fontId="5" fillId="5" borderId="9" xfId="6" applyNumberFormat="1" applyFont="1" applyFill="1" applyBorder="1" applyAlignment="1"/>
    <xf numFmtId="172" fontId="5" fillId="0" borderId="9" xfId="6" applyNumberFormat="1" applyFont="1" applyBorder="1"/>
    <xf numFmtId="172" fontId="5" fillId="5" borderId="9" xfId="6" applyNumberFormat="1" applyFont="1" applyFill="1" applyBorder="1"/>
    <xf numFmtId="44" fontId="5" fillId="0" borderId="9" xfId="6" applyNumberFormat="1" applyFont="1" applyBorder="1" applyAlignment="1"/>
    <xf numFmtId="44" fontId="5" fillId="5" borderId="9" xfId="6" applyNumberFormat="1" applyFont="1" applyFill="1" applyBorder="1" applyAlignment="1"/>
    <xf numFmtId="44" fontId="5" fillId="0" borderId="0" xfId="6" applyNumberFormat="1" applyFont="1" applyAlignment="1"/>
    <xf numFmtId="44" fontId="5" fillId="0" borderId="9" xfId="6" applyFont="1" applyBorder="1" applyAlignment="1">
      <alignment horizontal="right"/>
    </xf>
    <xf numFmtId="2" fontId="5" fillId="0" borderId="9" xfId="0" applyNumberFormat="1" applyFont="1" applyBorder="1" applyAlignment="1">
      <alignment horizontal="right"/>
    </xf>
    <xf numFmtId="10" fontId="5" fillId="0" borderId="9" xfId="0" applyNumberFormat="1" applyFont="1" applyBorder="1" applyAlignment="1">
      <alignment horizontal="right"/>
    </xf>
    <xf numFmtId="166" fontId="5" fillId="0" borderId="9" xfId="0" applyNumberFormat="1" applyFont="1" applyBorder="1" applyAlignment="1">
      <alignment horizontal="right"/>
    </xf>
    <xf numFmtId="0" fontId="13" fillId="4" borderId="9" xfId="0" applyFont="1" applyFill="1" applyBorder="1"/>
    <xf numFmtId="44" fontId="16" fillId="4" borderId="9" xfId="6" applyFont="1" applyFill="1" applyBorder="1" applyAlignment="1">
      <alignment horizontal="right"/>
    </xf>
    <xf numFmtId="10" fontId="13" fillId="4" borderId="9" xfId="0" applyNumberFormat="1" applyFont="1" applyFill="1" applyBorder="1" applyAlignment="1">
      <alignment horizontal="right"/>
    </xf>
    <xf numFmtId="44" fontId="13" fillId="4" borderId="9" xfId="6" applyFont="1" applyFill="1" applyBorder="1" applyAlignment="1">
      <alignment horizontal="right"/>
    </xf>
  </cellXfs>
  <cellStyles count="13">
    <cellStyle name="Currency" xfId="6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Normal" xfId="0" builtinId="0"/>
    <cellStyle name="Percent" xfId="7" builtinId="5"/>
  </cellStyles>
  <dxfs count="0"/>
  <tableStyles count="0" defaultTableStyle="TableStyleMedium9" defaultPivotStyle="PivotStyleMedium7"/>
  <colors>
    <mruColors>
      <color rgb="FF1535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ketwatch.com/investing/stock/ma/financials/balance-sheet" TargetMode="External"/><Relationship Id="rId3" Type="http://schemas.openxmlformats.org/officeDocument/2006/relationships/hyperlink" Target="https://www.marketwatch.com/investing/stock/ma/financials/balance-sheet" TargetMode="External"/><Relationship Id="rId7" Type="http://schemas.openxmlformats.org/officeDocument/2006/relationships/hyperlink" Target="https://www.marketwatch.com/investing/stock/ma/financials/balance-sheet" TargetMode="External"/><Relationship Id="rId2" Type="http://schemas.openxmlformats.org/officeDocument/2006/relationships/hyperlink" Target="https://www.marketwatch.com/investing/stock/ma/financials/balance-sheet" TargetMode="External"/><Relationship Id="rId1" Type="http://schemas.openxmlformats.org/officeDocument/2006/relationships/hyperlink" Target="https://www.marketwatch.com/investing/stock/ma/financials/balance-sheet" TargetMode="External"/><Relationship Id="rId6" Type="http://schemas.openxmlformats.org/officeDocument/2006/relationships/hyperlink" Target="https://www.marketwatch.com/investing/stock/ma/financials/balance-sheet" TargetMode="External"/><Relationship Id="rId5" Type="http://schemas.openxmlformats.org/officeDocument/2006/relationships/hyperlink" Target="https://www.marketwatch.com/investing/stock/ma/financials/balance-sheet" TargetMode="External"/><Relationship Id="rId4" Type="http://schemas.openxmlformats.org/officeDocument/2006/relationships/hyperlink" Target="https://www.marketwatch.com/investing/stock/ma/financials/balance-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2"/>
  <sheetViews>
    <sheetView tabSelected="1" topLeftCell="A109" zoomScale="88" zoomScaleNormal="109" workbookViewId="0">
      <selection activeCell="M126" sqref="M126"/>
    </sheetView>
  </sheetViews>
  <sheetFormatPr defaultColWidth="14.42578125" defaultRowHeight="15" customHeight="1" x14ac:dyDescent="0.25"/>
  <cols>
    <col min="1" max="1" width="51.85546875" style="2" customWidth="1"/>
    <col min="2" max="2" width="16.140625" style="2" bestFit="1" customWidth="1"/>
    <col min="3" max="3" width="15.140625" style="2" customWidth="1"/>
    <col min="4" max="4" width="15.5703125" style="2" bestFit="1" customWidth="1"/>
    <col min="5" max="6" width="11.85546875" style="2" customWidth="1"/>
    <col min="7" max="10" width="13.28515625" style="2" bestFit="1" customWidth="1"/>
    <col min="11" max="11" width="14.28515625" style="2" bestFit="1" customWidth="1"/>
    <col min="12" max="12" width="16.85546875" style="2" customWidth="1"/>
    <col min="13" max="17" width="9.42578125" style="2" customWidth="1"/>
    <col min="18" max="19" width="10.140625" style="2" customWidth="1"/>
    <col min="20" max="20" width="51.85546875" style="2" customWidth="1"/>
    <col min="21" max="27" width="8.85546875" style="2" customWidth="1"/>
    <col min="28" max="28" width="51.85546875" style="2" customWidth="1"/>
    <col min="29" max="39" width="8.85546875" style="2" customWidth="1"/>
    <col min="40" max="16384" width="14.42578125" style="2"/>
  </cols>
  <sheetData>
    <row r="1" spans="1:33" ht="15.75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33" ht="15.75" x14ac:dyDescent="0.25">
      <c r="A2" s="99" t="s">
        <v>1</v>
      </c>
      <c r="B2" s="100"/>
      <c r="C2" s="100"/>
      <c r="D2" s="100"/>
      <c r="E2" s="100"/>
      <c r="F2" s="100"/>
      <c r="G2" s="100"/>
      <c r="H2" s="100"/>
      <c r="I2" s="100"/>
      <c r="J2" s="100"/>
      <c r="K2" s="101"/>
    </row>
    <row r="3" spans="1:33" ht="15.75" x14ac:dyDescent="0.25">
      <c r="A3" s="99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1"/>
    </row>
    <row r="4" spans="1:33" ht="15.75" x14ac:dyDescent="0.25">
      <c r="A4" s="99" t="s">
        <v>3</v>
      </c>
      <c r="B4" s="101"/>
      <c r="C4" s="80" t="s">
        <v>132</v>
      </c>
      <c r="D4" s="80"/>
      <c r="E4" s="80"/>
      <c r="F4" s="80"/>
      <c r="G4" s="80"/>
      <c r="H4" s="75" t="s">
        <v>131</v>
      </c>
      <c r="I4" s="75"/>
      <c r="J4" s="75"/>
      <c r="K4" s="75"/>
      <c r="U4" s="4"/>
      <c r="V4" s="4"/>
      <c r="W4" s="4"/>
      <c r="X4" s="4"/>
      <c r="Y4" s="4"/>
    </row>
    <row r="5" spans="1:33" ht="15.75" x14ac:dyDescent="0.25">
      <c r="A5" s="99"/>
      <c r="B5" s="101"/>
      <c r="C5" s="81">
        <v>41609</v>
      </c>
      <c r="D5" s="81">
        <v>41974</v>
      </c>
      <c r="E5" s="81">
        <v>42339</v>
      </c>
      <c r="F5" s="81">
        <v>42705</v>
      </c>
      <c r="G5" s="81">
        <v>43070</v>
      </c>
      <c r="H5" s="81">
        <v>43452</v>
      </c>
      <c r="I5" s="81">
        <v>43817</v>
      </c>
      <c r="J5" s="81">
        <v>44183</v>
      </c>
      <c r="K5" s="81">
        <v>44548</v>
      </c>
      <c r="L5" s="5"/>
      <c r="M5" s="1"/>
      <c r="N5" s="1"/>
      <c r="O5" s="1"/>
      <c r="P5" s="5"/>
      <c r="Q5" s="5"/>
      <c r="R5" s="5"/>
      <c r="AC5" s="4"/>
      <c r="AD5" s="4"/>
      <c r="AE5" s="4"/>
      <c r="AF5" s="4"/>
      <c r="AG5" s="4"/>
    </row>
    <row r="6" spans="1:33" ht="15.75" x14ac:dyDescent="0.25">
      <c r="A6" s="17" t="s">
        <v>4</v>
      </c>
      <c r="B6" s="21"/>
      <c r="C6" s="112">
        <v>8346</v>
      </c>
      <c r="D6" s="112">
        <v>9473</v>
      </c>
      <c r="E6" s="112">
        <v>9667</v>
      </c>
      <c r="F6" s="112">
        <v>10776</v>
      </c>
      <c r="G6" s="112">
        <v>12497</v>
      </c>
      <c r="H6" s="113">
        <v>13945.3783433221</v>
      </c>
      <c r="I6" s="113">
        <v>15608.549096895853</v>
      </c>
      <c r="J6" s="113">
        <v>17573.47942218366</v>
      </c>
      <c r="K6" s="113">
        <v>19775.163864460916</v>
      </c>
      <c r="L6" s="6"/>
      <c r="M6" s="6"/>
      <c r="N6" s="6"/>
      <c r="O6" s="6"/>
      <c r="P6" s="6"/>
      <c r="Q6" s="6"/>
      <c r="R6" s="6"/>
      <c r="S6" s="6"/>
    </row>
    <row r="7" spans="1:33" ht="15.75" x14ac:dyDescent="0.25">
      <c r="A7" s="17" t="s">
        <v>5</v>
      </c>
      <c r="B7" s="21"/>
      <c r="C7" s="114">
        <v>0</v>
      </c>
      <c r="D7" s="114">
        <v>0</v>
      </c>
      <c r="E7" s="114">
        <v>0</v>
      </c>
      <c r="F7" s="114">
        <v>0</v>
      </c>
      <c r="G7" s="114">
        <v>0</v>
      </c>
      <c r="H7" s="115">
        <v>0</v>
      </c>
      <c r="I7" s="115">
        <v>0</v>
      </c>
      <c r="J7" s="115">
        <v>0</v>
      </c>
      <c r="K7" s="115">
        <v>0</v>
      </c>
      <c r="L7" s="6"/>
      <c r="M7" s="6"/>
      <c r="N7" s="6"/>
      <c r="O7" s="6"/>
      <c r="P7" s="6"/>
      <c r="Q7" s="6"/>
      <c r="R7" s="6"/>
      <c r="S7" s="6"/>
    </row>
    <row r="8" spans="1:33" ht="15.75" x14ac:dyDescent="0.25">
      <c r="A8" s="17" t="s">
        <v>6</v>
      </c>
      <c r="B8" s="21"/>
      <c r="C8" s="114">
        <f t="shared" ref="C8:G8" si="0">C6-C7</f>
        <v>8346</v>
      </c>
      <c r="D8" s="114">
        <f t="shared" si="0"/>
        <v>9473</v>
      </c>
      <c r="E8" s="114">
        <f t="shared" si="0"/>
        <v>9667</v>
      </c>
      <c r="F8" s="114">
        <f t="shared" si="0"/>
        <v>10776</v>
      </c>
      <c r="G8" s="114">
        <f t="shared" si="0"/>
        <v>12497</v>
      </c>
      <c r="H8" s="115">
        <v>13945.378343322081</v>
      </c>
      <c r="I8" s="115">
        <v>15608.549096895853</v>
      </c>
      <c r="J8" s="115">
        <v>17573.47942218366</v>
      </c>
      <c r="K8" s="115">
        <v>19775.163864460916</v>
      </c>
      <c r="L8" s="6"/>
      <c r="M8" s="6"/>
      <c r="N8" s="6"/>
      <c r="O8" s="6"/>
      <c r="P8" s="6"/>
      <c r="Q8" s="6"/>
      <c r="R8" s="6"/>
      <c r="S8" s="6"/>
    </row>
    <row r="9" spans="1:33" ht="15.75" x14ac:dyDescent="0.25">
      <c r="A9" s="17" t="s">
        <v>7</v>
      </c>
      <c r="B9" s="21"/>
      <c r="C9" s="112">
        <v>3843</v>
      </c>
      <c r="D9" s="112">
        <v>4367</v>
      </c>
      <c r="E9" s="112">
        <v>4589</v>
      </c>
      <c r="F9" s="112">
        <v>5015</v>
      </c>
      <c r="G9" s="112">
        <v>5875</v>
      </c>
      <c r="H9" s="113">
        <f>G9*(1+G10)</f>
        <v>6462.0528188665894</v>
      </c>
      <c r="I9" s="113">
        <f t="shared" ref="I9:K9" si="1">H9*(1+H10)</f>
        <v>7075.3478026121529</v>
      </c>
      <c r="J9" s="113">
        <f t="shared" si="1"/>
        <v>7829.153893386253</v>
      </c>
      <c r="K9" s="113">
        <f t="shared" si="1"/>
        <v>8705.5372466543613</v>
      </c>
      <c r="L9" s="6"/>
      <c r="M9" s="6"/>
      <c r="N9" s="6"/>
      <c r="O9" s="6"/>
      <c r="P9" s="6"/>
      <c r="Q9" s="6"/>
      <c r="R9" s="6"/>
      <c r="S9" s="6"/>
    </row>
    <row r="10" spans="1:33" ht="15.75" x14ac:dyDescent="0.25">
      <c r="A10" s="17" t="s">
        <v>133</v>
      </c>
      <c r="B10" s="21"/>
      <c r="C10" s="112">
        <f>(D9-C9)/D9</f>
        <v>0.11999084039386307</v>
      </c>
      <c r="D10" s="112">
        <f t="shared" ref="D10:F10" si="2">(E9-D9)/E9</f>
        <v>4.8376552625844407E-2</v>
      </c>
      <c r="E10" s="112">
        <f t="shared" si="2"/>
        <v>8.4945164506480555E-2</v>
      </c>
      <c r="F10" s="112">
        <f t="shared" si="2"/>
        <v>0.14638297872340425</v>
      </c>
      <c r="G10" s="112">
        <f>AVERAGE(C10:F10)</f>
        <v>9.9923884062398077E-2</v>
      </c>
      <c r="H10" s="113">
        <f t="shared" ref="H10:K10" si="3">AVERAGE(D10:G10)</f>
        <v>9.4907144979531816E-2</v>
      </c>
      <c r="I10" s="113">
        <f t="shared" si="3"/>
        <v>0.10653979306795366</v>
      </c>
      <c r="J10" s="113">
        <f t="shared" si="3"/>
        <v>0.11193845020832197</v>
      </c>
      <c r="K10" s="113">
        <f t="shared" si="3"/>
        <v>0.10332731807955137</v>
      </c>
      <c r="L10" s="6"/>
      <c r="M10" s="6"/>
      <c r="N10" s="6"/>
      <c r="O10" s="6"/>
      <c r="P10" s="6"/>
      <c r="Q10" s="6"/>
      <c r="R10" s="6"/>
      <c r="S10" s="6"/>
    </row>
    <row r="11" spans="1:33" ht="15.75" x14ac:dyDescent="0.25">
      <c r="A11" s="17" t="s">
        <v>8</v>
      </c>
      <c r="B11" s="21"/>
      <c r="C11" s="112">
        <v>4503</v>
      </c>
      <c r="D11" s="112">
        <v>5106</v>
      </c>
      <c r="E11" s="112">
        <v>5078</v>
      </c>
      <c r="F11" s="112">
        <v>5761</v>
      </c>
      <c r="G11" s="112">
        <v>6622</v>
      </c>
      <c r="H11" s="113">
        <f>H8-H9</f>
        <v>7483.3255244554921</v>
      </c>
      <c r="I11" s="113">
        <f t="shared" ref="I11:K11" si="4">I8-I9</f>
        <v>8533.2012942836991</v>
      </c>
      <c r="J11" s="113">
        <f t="shared" si="4"/>
        <v>9744.3255287974062</v>
      </c>
      <c r="K11" s="113">
        <f t="shared" si="4"/>
        <v>11069.626617806554</v>
      </c>
      <c r="L11" s="6"/>
      <c r="M11" s="6"/>
      <c r="N11" s="6"/>
      <c r="O11" s="6"/>
      <c r="P11" s="6"/>
      <c r="Q11" s="6"/>
      <c r="R11" s="6"/>
      <c r="S11" s="6"/>
    </row>
    <row r="12" spans="1:33" ht="15.75" x14ac:dyDescent="0.25">
      <c r="A12" s="17" t="s">
        <v>9</v>
      </c>
      <c r="B12" s="21"/>
      <c r="C12" s="112">
        <v>14</v>
      </c>
      <c r="D12" s="112">
        <v>48</v>
      </c>
      <c r="E12" s="112">
        <v>61</v>
      </c>
      <c r="F12" s="112">
        <v>95</v>
      </c>
      <c r="G12" s="112">
        <v>154</v>
      </c>
      <c r="H12" s="113">
        <f>AVERAGE(C12:G12)</f>
        <v>74.400000000000006</v>
      </c>
      <c r="I12" s="113">
        <f t="shared" ref="I12:K12" si="5">AVERAGE(D12:H12)</f>
        <v>86.47999999999999</v>
      </c>
      <c r="J12" s="113">
        <f t="shared" si="5"/>
        <v>94.176000000000002</v>
      </c>
      <c r="K12" s="113">
        <f t="shared" si="5"/>
        <v>100.8112</v>
      </c>
      <c r="L12" s="6"/>
      <c r="M12" s="6"/>
      <c r="N12" s="6"/>
      <c r="O12" s="6"/>
      <c r="P12" s="6"/>
      <c r="Q12" s="6"/>
      <c r="R12" s="6"/>
      <c r="S12" s="6"/>
    </row>
    <row r="13" spans="1:33" ht="15.75" x14ac:dyDescent="0.25">
      <c r="A13" s="17" t="s">
        <v>10</v>
      </c>
      <c r="B13" s="21"/>
      <c r="C13" s="112">
        <v>11</v>
      </c>
      <c r="D13" s="112">
        <v>21</v>
      </c>
      <c r="E13" s="112">
        <v>-59</v>
      </c>
      <c r="F13" s="112">
        <v>-20</v>
      </c>
      <c r="G13" s="112">
        <v>54</v>
      </c>
      <c r="H13" s="113">
        <f>AVERAGE(C13:G13)</f>
        <v>1.4</v>
      </c>
      <c r="I13" s="113">
        <f t="shared" ref="I13:K13" si="6">AVERAGE(D13:H13)</f>
        <v>-0.52</v>
      </c>
      <c r="J13" s="113">
        <f t="shared" si="6"/>
        <v>-4.8239999999999998</v>
      </c>
      <c r="K13" s="113">
        <f t="shared" si="6"/>
        <v>6.0111999999999997</v>
      </c>
      <c r="L13" s="6"/>
      <c r="M13" s="6"/>
      <c r="N13" s="6"/>
      <c r="O13" s="6"/>
      <c r="P13" s="6"/>
      <c r="Q13" s="6"/>
      <c r="R13" s="6"/>
      <c r="S13" s="6"/>
    </row>
    <row r="14" spans="1:33" ht="15.75" x14ac:dyDescent="0.25">
      <c r="A14" s="17" t="s">
        <v>11</v>
      </c>
      <c r="B14" s="21"/>
      <c r="C14" s="112">
        <v>-3</v>
      </c>
      <c r="D14" s="112">
        <v>-27</v>
      </c>
      <c r="E14" s="112">
        <v>-120</v>
      </c>
      <c r="F14" s="112">
        <v>-115</v>
      </c>
      <c r="G14" s="112">
        <v>-100</v>
      </c>
      <c r="H14" s="113">
        <f>H13-H12</f>
        <v>-73</v>
      </c>
      <c r="I14" s="113">
        <f t="shared" ref="I14:K14" si="7">I13-I12</f>
        <v>-86.999999999999986</v>
      </c>
      <c r="J14" s="113">
        <f t="shared" si="7"/>
        <v>-99</v>
      </c>
      <c r="K14" s="113">
        <f t="shared" si="7"/>
        <v>-94.8</v>
      </c>
      <c r="L14" s="6"/>
      <c r="M14" s="6"/>
      <c r="N14" s="6"/>
      <c r="O14" s="6"/>
      <c r="P14" s="6"/>
      <c r="Q14" s="6"/>
      <c r="R14" s="6"/>
      <c r="S14" s="6"/>
    </row>
    <row r="15" spans="1:33" ht="15.75" x14ac:dyDescent="0.25">
      <c r="A15" s="17" t="s">
        <v>12</v>
      </c>
      <c r="B15" s="21"/>
      <c r="C15" s="112">
        <v>4500</v>
      </c>
      <c r="D15" s="112">
        <v>5079</v>
      </c>
      <c r="E15" s="112">
        <v>4958</v>
      </c>
      <c r="F15" s="112">
        <v>5646</v>
      </c>
      <c r="G15" s="112">
        <v>6522</v>
      </c>
      <c r="H15" s="113">
        <f>H11+H14</f>
        <v>7410.3255244554921</v>
      </c>
      <c r="I15" s="113">
        <f t="shared" ref="I15:K15" si="8">I11+I14</f>
        <v>8446.2012942836991</v>
      </c>
      <c r="J15" s="113">
        <f t="shared" si="8"/>
        <v>9645.3255287974062</v>
      </c>
      <c r="K15" s="113">
        <f t="shared" si="8"/>
        <v>10974.826617806555</v>
      </c>
      <c r="L15" s="6"/>
      <c r="M15" s="6"/>
      <c r="N15" s="6"/>
      <c r="O15" s="6"/>
      <c r="P15" s="6"/>
      <c r="Q15" s="6"/>
      <c r="R15" s="6"/>
      <c r="S15" s="6"/>
    </row>
    <row r="16" spans="1:33" ht="15.75" x14ac:dyDescent="0.25">
      <c r="A16" s="17" t="s">
        <v>13</v>
      </c>
      <c r="B16" s="21"/>
      <c r="C16" s="112">
        <v>1384</v>
      </c>
      <c r="D16" s="112">
        <v>1462</v>
      </c>
      <c r="E16" s="112">
        <v>1150</v>
      </c>
      <c r="F16" s="112">
        <v>1587</v>
      </c>
      <c r="G16" s="112">
        <v>2607</v>
      </c>
      <c r="H16" s="113">
        <f>H15*0.32</f>
        <v>2371.3041678257573</v>
      </c>
      <c r="I16" s="113">
        <f t="shared" ref="I16:K16" si="9">I15*0.32</f>
        <v>2702.7844141707837</v>
      </c>
      <c r="J16" s="113">
        <f t="shared" si="9"/>
        <v>3086.5041692151699</v>
      </c>
      <c r="K16" s="113">
        <f t="shared" si="9"/>
        <v>3511.9445176980976</v>
      </c>
      <c r="L16" s="6"/>
      <c r="M16" s="6"/>
      <c r="N16" s="6"/>
      <c r="O16" s="6"/>
      <c r="P16" s="6"/>
      <c r="Q16" s="6"/>
      <c r="R16" s="6"/>
      <c r="S16" s="6"/>
    </row>
    <row r="17" spans="1:19" ht="15.75" x14ac:dyDescent="0.25">
      <c r="A17" s="17" t="s">
        <v>14</v>
      </c>
      <c r="B17" s="21"/>
      <c r="C17" s="112">
        <v>3116</v>
      </c>
      <c r="D17" s="112">
        <v>3617</v>
      </c>
      <c r="E17" s="112">
        <v>3808</v>
      </c>
      <c r="F17" s="112">
        <v>4059</v>
      </c>
      <c r="G17" s="112">
        <v>3915</v>
      </c>
      <c r="H17" s="113">
        <f>H15-H16</f>
        <v>5039.0213566297352</v>
      </c>
      <c r="I17" s="113">
        <f t="shared" ref="I17:K17" si="10">I15-I16</f>
        <v>5743.4168801129154</v>
      </c>
      <c r="J17" s="113">
        <f t="shared" si="10"/>
        <v>6558.8213595822363</v>
      </c>
      <c r="K17" s="113">
        <f t="shared" si="10"/>
        <v>7462.882100108458</v>
      </c>
      <c r="L17" s="6"/>
      <c r="M17" s="6"/>
      <c r="N17" s="6"/>
      <c r="O17" s="6"/>
      <c r="P17" s="6"/>
      <c r="Q17" s="6"/>
      <c r="R17" s="6"/>
      <c r="S17" s="6"/>
    </row>
    <row r="18" spans="1:19" ht="15.75" x14ac:dyDescent="0.25">
      <c r="A18" s="17"/>
      <c r="B18" s="21"/>
      <c r="C18" s="21"/>
      <c r="D18" s="21"/>
      <c r="E18" s="21"/>
      <c r="F18" s="21"/>
      <c r="G18" s="21"/>
      <c r="H18" s="83"/>
      <c r="I18" s="83"/>
      <c r="J18" s="83"/>
      <c r="K18" s="83"/>
      <c r="L18" s="6"/>
      <c r="M18" s="6"/>
      <c r="N18" s="6"/>
      <c r="O18" s="6"/>
      <c r="P18" s="6"/>
      <c r="Q18" s="6"/>
      <c r="R18" s="6"/>
      <c r="S18" s="6"/>
    </row>
    <row r="19" spans="1:19" ht="15.75" x14ac:dyDescent="0.25">
      <c r="A19" s="17" t="s">
        <v>15</v>
      </c>
      <c r="B19" s="24"/>
      <c r="C19" s="116">
        <v>2.56</v>
      </c>
      <c r="D19" s="116">
        <v>3.1</v>
      </c>
      <c r="E19" s="116">
        <v>3.35</v>
      </c>
      <c r="F19" s="116">
        <v>3.69</v>
      </c>
      <c r="G19" s="116">
        <v>3.65</v>
      </c>
      <c r="H19" s="117">
        <f>H17/H20</f>
        <v>4.4248519113362619</v>
      </c>
      <c r="I19" s="117">
        <f t="shared" ref="I19:K19" si="11">I17/I20</f>
        <v>5.1118025562612726</v>
      </c>
      <c r="J19" s="117">
        <f t="shared" si="11"/>
        <v>5.8851378586292302</v>
      </c>
      <c r="K19" s="117">
        <f t="shared" si="11"/>
        <v>6.7235207300945845</v>
      </c>
      <c r="L19" s="118"/>
    </row>
    <row r="20" spans="1:19" ht="15.75" x14ac:dyDescent="0.25">
      <c r="A20" s="17" t="s">
        <v>16</v>
      </c>
      <c r="B20" s="85"/>
      <c r="C20" s="17">
        <v>1215</v>
      </c>
      <c r="D20" s="17">
        <v>1169</v>
      </c>
      <c r="E20" s="17">
        <v>1137</v>
      </c>
      <c r="F20" s="17">
        <v>1101</v>
      </c>
      <c r="G20" s="17">
        <v>1072</v>
      </c>
      <c r="H20" s="82">
        <f>(AVERAGE(C20:G20))</f>
        <v>1138.8</v>
      </c>
      <c r="I20" s="82">
        <f t="shared" ref="I20:K20" si="12">(AVERAGE(D20:H20))</f>
        <v>1123.56</v>
      </c>
      <c r="J20" s="82">
        <f t="shared" si="12"/>
        <v>1114.4720000000002</v>
      </c>
      <c r="K20" s="82">
        <f t="shared" si="12"/>
        <v>1109.9664</v>
      </c>
    </row>
    <row r="21" spans="1:19" ht="15.75" x14ac:dyDescent="0.25">
      <c r="A21" s="17" t="s">
        <v>130</v>
      </c>
      <c r="B21" s="85"/>
      <c r="C21" s="17">
        <v>23.03</v>
      </c>
      <c r="D21" s="17">
        <v>27.19</v>
      </c>
      <c r="E21" s="17">
        <v>29.1</v>
      </c>
      <c r="F21" s="17">
        <v>28</v>
      </c>
      <c r="G21" s="17">
        <v>41.5</v>
      </c>
      <c r="H21" s="84">
        <f>G21*(1+G22)</f>
        <v>46.73572979447615</v>
      </c>
      <c r="I21" s="84">
        <f t="shared" ref="I21:K21" si="13">H21*(1+H22)</f>
        <v>52.318469202355885</v>
      </c>
      <c r="J21" s="84">
        <f t="shared" si="13"/>
        <v>59.271999260547346</v>
      </c>
      <c r="K21" s="84">
        <f t="shared" si="13"/>
        <v>69.701270089042154</v>
      </c>
    </row>
    <row r="22" spans="1:19" ht="15.75" x14ac:dyDescent="0.25">
      <c r="A22" s="17"/>
      <c r="B22" s="85"/>
      <c r="C22" s="86">
        <f>(D21-C21)/D21</f>
        <v>0.15299742552408974</v>
      </c>
      <c r="D22" s="86">
        <f t="shared" ref="D22:F22" si="14">(E21-D21)/E21</f>
        <v>6.5635738831615123E-2</v>
      </c>
      <c r="E22" s="86">
        <f t="shared" si="14"/>
        <v>-3.9285714285714333E-2</v>
      </c>
      <c r="F22" s="86">
        <f t="shared" si="14"/>
        <v>0.3253012048192771</v>
      </c>
      <c r="G22" s="86">
        <f>AVERAGE(C22:F22)</f>
        <v>0.12616216372231689</v>
      </c>
      <c r="H22" s="87">
        <f>AVERAGE(D22:G22)</f>
        <v>0.1194533482718737</v>
      </c>
      <c r="I22" s="87">
        <f t="shared" ref="I22:K22" si="15">AVERAGE(E22:H22)</f>
        <v>0.13290775063193835</v>
      </c>
      <c r="J22" s="87">
        <f t="shared" si="15"/>
        <v>0.17595611686135151</v>
      </c>
      <c r="K22" s="87">
        <f t="shared" si="15"/>
        <v>0.13861984487187012</v>
      </c>
    </row>
    <row r="23" spans="1:19" ht="18.75" x14ac:dyDescent="0.3">
      <c r="A23" s="88" t="s">
        <v>134</v>
      </c>
      <c r="B23" s="89">
        <f>H21*H19</f>
        <v>206.79868330878287</v>
      </c>
      <c r="C23" s="90"/>
      <c r="D23" s="90"/>
      <c r="E23" s="90"/>
      <c r="F23" s="90"/>
      <c r="G23" s="90"/>
      <c r="H23" s="90"/>
      <c r="I23" s="90"/>
      <c r="J23" s="90"/>
      <c r="K23" s="91"/>
    </row>
    <row r="24" spans="1:19" ht="15.75" x14ac:dyDescent="0.25">
      <c r="A24" s="17" t="s">
        <v>135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9" ht="15.75" x14ac:dyDescent="0.25">
      <c r="A25" s="3"/>
      <c r="B25" s="8"/>
      <c r="D25" s="8"/>
      <c r="E25" s="8"/>
    </row>
    <row r="26" spans="1:19" ht="15.75" x14ac:dyDescent="0.25">
      <c r="A26" s="77" t="s">
        <v>17</v>
      </c>
      <c r="B26" s="77"/>
      <c r="C26" s="77"/>
      <c r="D26" s="77"/>
      <c r="E26" s="77"/>
      <c r="F26" s="77"/>
      <c r="G26" s="77"/>
    </row>
    <row r="27" spans="1:19" ht="15.75" x14ac:dyDescent="0.25">
      <c r="A27" s="78" t="s">
        <v>138</v>
      </c>
      <c r="B27" s="78"/>
      <c r="C27" s="76">
        <v>2013</v>
      </c>
      <c r="D27" s="76">
        <v>2014</v>
      </c>
      <c r="E27" s="76">
        <v>2015</v>
      </c>
      <c r="F27" s="76">
        <v>2016</v>
      </c>
      <c r="G27" s="76">
        <v>2017</v>
      </c>
    </row>
    <row r="28" spans="1:19" ht="15.75" x14ac:dyDescent="0.25">
      <c r="A28" s="92" t="s">
        <v>18</v>
      </c>
      <c r="B28" s="43"/>
      <c r="C28" s="93">
        <v>7020</v>
      </c>
      <c r="D28" s="93">
        <v>6850</v>
      </c>
      <c r="E28" s="93">
        <v>7280</v>
      </c>
      <c r="F28" s="93">
        <v>8880</v>
      </c>
      <c r="G28" s="93">
        <v>8330</v>
      </c>
    </row>
    <row r="29" spans="1:19" ht="15.75" x14ac:dyDescent="0.25">
      <c r="A29" s="43" t="s">
        <v>19</v>
      </c>
      <c r="B29" s="43"/>
      <c r="C29" s="43">
        <v>4320</v>
      </c>
      <c r="D29" s="43">
        <v>5680</v>
      </c>
      <c r="E29" s="43">
        <v>6290</v>
      </c>
      <c r="F29" s="43">
        <v>7260</v>
      </c>
      <c r="G29" s="43">
        <v>6480</v>
      </c>
    </row>
    <row r="30" spans="1:19" ht="15.75" x14ac:dyDescent="0.25">
      <c r="A30" s="43" t="s">
        <v>20</v>
      </c>
      <c r="B30" s="43"/>
      <c r="C30" s="94">
        <v>2700</v>
      </c>
      <c r="D30" s="94">
        <v>1170</v>
      </c>
      <c r="E30" s="94">
        <v>991</v>
      </c>
      <c r="F30" s="94">
        <v>1610</v>
      </c>
      <c r="G30" s="94">
        <v>1850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x14ac:dyDescent="0.25">
      <c r="A31" s="92" t="s">
        <v>21</v>
      </c>
      <c r="B31" s="43"/>
      <c r="C31" s="94">
        <v>2320</v>
      </c>
      <c r="D31" s="94">
        <v>2160</v>
      </c>
      <c r="E31" s="94">
        <v>2150</v>
      </c>
      <c r="F31" s="94">
        <v>2510</v>
      </c>
      <c r="G31" s="94">
        <v>3340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x14ac:dyDescent="0.25">
      <c r="A32" s="43" t="s">
        <v>22</v>
      </c>
      <c r="B32" s="43"/>
      <c r="C32" s="43">
        <v>966</v>
      </c>
      <c r="D32" s="43">
        <v>1110</v>
      </c>
      <c r="E32" s="43">
        <v>1080</v>
      </c>
      <c r="F32" s="43">
        <v>1420</v>
      </c>
      <c r="G32" s="43">
        <v>1970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25" ht="15.75" x14ac:dyDescent="0.25">
      <c r="A33" s="43" t="s">
        <v>23</v>
      </c>
      <c r="B33" s="43"/>
      <c r="C33" s="43">
        <v>966</v>
      </c>
      <c r="D33" s="43">
        <v>1110</v>
      </c>
      <c r="E33" s="43">
        <v>1080</v>
      </c>
      <c r="F33" s="43">
        <v>1420</v>
      </c>
      <c r="G33" s="43">
        <v>1970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25" ht="15.75" x14ac:dyDescent="0.25">
      <c r="A34" s="43" t="s">
        <v>24</v>
      </c>
      <c r="B34" s="43"/>
      <c r="C34" s="95" t="s">
        <v>25</v>
      </c>
      <c r="D34" s="95" t="s">
        <v>25</v>
      </c>
      <c r="E34" s="95" t="s">
        <v>25</v>
      </c>
      <c r="F34" s="95" t="s">
        <v>25</v>
      </c>
      <c r="G34" s="95" t="s">
        <v>25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25" ht="15.75" x14ac:dyDescent="0.25">
      <c r="A35" s="43" t="s">
        <v>26</v>
      </c>
      <c r="B35" s="43"/>
      <c r="C35" s="43">
        <v>1360</v>
      </c>
      <c r="D35" s="43">
        <v>1050</v>
      </c>
      <c r="E35" s="43">
        <v>1070</v>
      </c>
      <c r="F35" s="43">
        <v>1090</v>
      </c>
      <c r="G35" s="43">
        <v>1380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ht="15.75" x14ac:dyDescent="0.25">
      <c r="A36" s="43" t="s">
        <v>27</v>
      </c>
      <c r="B36" s="43"/>
      <c r="C36" s="95" t="s">
        <v>25</v>
      </c>
      <c r="D36" s="95" t="s">
        <v>25</v>
      </c>
      <c r="E36" s="95" t="s">
        <v>25</v>
      </c>
      <c r="F36" s="95" t="s">
        <v>25</v>
      </c>
      <c r="G36" s="95" t="s">
        <v>25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ht="15.75" x14ac:dyDescent="0.25">
      <c r="A37" s="43" t="s">
        <v>28</v>
      </c>
      <c r="B37" s="43"/>
      <c r="C37" s="95" t="s">
        <v>25</v>
      </c>
      <c r="D37" s="95" t="s">
        <v>25</v>
      </c>
      <c r="E37" s="95" t="s">
        <v>25</v>
      </c>
      <c r="F37" s="95" t="s">
        <v>25</v>
      </c>
      <c r="G37" s="95" t="s">
        <v>25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25" ht="15.75" x14ac:dyDescent="0.25">
      <c r="A38" s="43" t="s">
        <v>29</v>
      </c>
      <c r="B38" s="43"/>
      <c r="C38" s="95" t="s">
        <v>25</v>
      </c>
      <c r="D38" s="95" t="s">
        <v>25</v>
      </c>
      <c r="E38" s="95" t="s">
        <v>25</v>
      </c>
      <c r="F38" s="95" t="s">
        <v>25</v>
      </c>
      <c r="G38" s="95" t="s">
        <v>25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U38" s="4"/>
      <c r="V38" s="4"/>
      <c r="W38" s="4"/>
      <c r="X38" s="4"/>
      <c r="Y38" s="4"/>
    </row>
    <row r="39" spans="1:25" ht="15.75" x14ac:dyDescent="0.25">
      <c r="A39" s="43" t="s">
        <v>30</v>
      </c>
      <c r="B39" s="43"/>
      <c r="C39" s="95" t="s">
        <v>25</v>
      </c>
      <c r="D39" s="95" t="s">
        <v>25</v>
      </c>
      <c r="E39" s="95" t="s">
        <v>25</v>
      </c>
      <c r="F39" s="95" t="s">
        <v>25</v>
      </c>
      <c r="G39" s="95" t="s">
        <v>25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25" ht="15.75" x14ac:dyDescent="0.25">
      <c r="A40" s="43" t="s">
        <v>31</v>
      </c>
      <c r="B40" s="43"/>
      <c r="C40" s="96" t="s">
        <v>25</v>
      </c>
      <c r="D40" s="96" t="s">
        <v>25</v>
      </c>
      <c r="E40" s="96" t="s">
        <v>25</v>
      </c>
      <c r="F40" s="96" t="s">
        <v>25</v>
      </c>
      <c r="G40" s="96" t="s">
        <v>25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25" ht="15.75" x14ac:dyDescent="0.25">
      <c r="A41" s="43" t="s">
        <v>32</v>
      </c>
      <c r="B41" s="43"/>
      <c r="C41" s="43">
        <v>1610</v>
      </c>
      <c r="D41" s="43">
        <v>1970</v>
      </c>
      <c r="E41" s="43">
        <v>1560</v>
      </c>
      <c r="F41" s="43">
        <v>1840</v>
      </c>
      <c r="G41" s="43">
        <v>2130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5" ht="15.75" x14ac:dyDescent="0.25">
      <c r="A42" s="43" t="s">
        <v>33</v>
      </c>
      <c r="B42" s="43"/>
      <c r="C42" s="43">
        <v>1340</v>
      </c>
      <c r="D42" s="43">
        <v>1480</v>
      </c>
      <c r="E42" s="43">
        <v>1140</v>
      </c>
      <c r="F42" s="43">
        <v>1240</v>
      </c>
      <c r="G42" s="43">
        <v>1580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5" ht="15.75" x14ac:dyDescent="0.25">
      <c r="A43" s="43" t="s">
        <v>34</v>
      </c>
      <c r="B43" s="43"/>
      <c r="C43" s="93">
        <v>10950</v>
      </c>
      <c r="D43" s="93">
        <v>10980</v>
      </c>
      <c r="E43" s="93">
        <v>10980</v>
      </c>
      <c r="F43" s="93">
        <v>13230</v>
      </c>
      <c r="G43" s="93">
        <v>1380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5" ht="15.75" x14ac:dyDescent="0.25">
      <c r="A44" s="43"/>
      <c r="B44" s="43"/>
      <c r="C44" s="43">
        <v>2013</v>
      </c>
      <c r="D44" s="43">
        <v>2014</v>
      </c>
      <c r="E44" s="43">
        <v>2015</v>
      </c>
      <c r="F44" s="43">
        <v>2016</v>
      </c>
      <c r="G44" s="43">
        <v>2017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5" ht="15.75" x14ac:dyDescent="0.25">
      <c r="A45" s="43" t="s">
        <v>35</v>
      </c>
      <c r="B45" s="43"/>
      <c r="C45" s="94">
        <v>526</v>
      </c>
      <c r="D45" s="94">
        <v>615</v>
      </c>
      <c r="E45" s="94">
        <v>675</v>
      </c>
      <c r="F45" s="94">
        <v>733</v>
      </c>
      <c r="G45" s="94">
        <v>829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5" ht="15.75" x14ac:dyDescent="0.25">
      <c r="A46" s="43" t="s">
        <v>36</v>
      </c>
      <c r="B46" s="43"/>
      <c r="C46" s="94">
        <v>920</v>
      </c>
      <c r="D46" s="94">
        <v>1050</v>
      </c>
      <c r="E46" s="94">
        <v>1170</v>
      </c>
      <c r="F46" s="94">
        <v>1340</v>
      </c>
      <c r="G46" s="94">
        <v>1540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5" ht="15.75" x14ac:dyDescent="0.25">
      <c r="A47" s="43" t="s">
        <v>37</v>
      </c>
      <c r="B47" s="43"/>
      <c r="C47" s="43">
        <v>451</v>
      </c>
      <c r="D47" s="43">
        <v>510</v>
      </c>
      <c r="E47" s="43">
        <v>503</v>
      </c>
      <c r="F47" s="43">
        <v>534</v>
      </c>
      <c r="G47" s="43">
        <v>455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5" ht="15.75" x14ac:dyDescent="0.25">
      <c r="A48" s="43" t="s">
        <v>38</v>
      </c>
      <c r="B48" s="43"/>
      <c r="C48" s="95" t="s">
        <v>25</v>
      </c>
      <c r="D48" s="95" t="s">
        <v>25</v>
      </c>
      <c r="E48" s="95" t="s">
        <v>25</v>
      </c>
      <c r="F48" s="95" t="s">
        <v>25</v>
      </c>
      <c r="G48" s="95" t="s">
        <v>25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24" ht="15.75" x14ac:dyDescent="0.25">
      <c r="A49" s="43" t="s">
        <v>39</v>
      </c>
      <c r="B49" s="43"/>
      <c r="C49" s="95" t="s">
        <v>25</v>
      </c>
      <c r="D49" s="95" t="s">
        <v>25</v>
      </c>
      <c r="E49" s="95" t="s">
        <v>25</v>
      </c>
      <c r="F49" s="95" t="s">
        <v>25</v>
      </c>
      <c r="G49" s="95" t="s">
        <v>25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24" ht="15.75" x14ac:dyDescent="0.25">
      <c r="A50" s="43" t="s">
        <v>40</v>
      </c>
      <c r="B50" s="43"/>
      <c r="C50" s="43">
        <v>48</v>
      </c>
      <c r="D50" s="43">
        <v>144</v>
      </c>
      <c r="E50" s="43">
        <v>166</v>
      </c>
      <c r="F50" s="43">
        <v>196</v>
      </c>
      <c r="G50" s="43">
        <v>81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24" ht="15.75" x14ac:dyDescent="0.25">
      <c r="A51" s="43" t="s">
        <v>41</v>
      </c>
      <c r="B51" s="43"/>
      <c r="C51" s="43">
        <v>394</v>
      </c>
      <c r="D51" s="43">
        <v>437</v>
      </c>
      <c r="E51" s="43">
        <v>491</v>
      </c>
      <c r="F51" s="43">
        <v>603</v>
      </c>
      <c r="G51" s="43">
        <v>714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24" ht="15.75" x14ac:dyDescent="0.25">
      <c r="A52" s="43" t="s">
        <v>42</v>
      </c>
      <c r="B52" s="43"/>
      <c r="C52" s="43">
        <v>240</v>
      </c>
      <c r="D52" s="43">
        <v>245</v>
      </c>
      <c r="E52" s="43">
        <v>166</v>
      </c>
      <c r="F52" s="43">
        <v>132</v>
      </c>
      <c r="G52" s="43">
        <v>249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24" ht="15.75" x14ac:dyDescent="0.25">
      <c r="A53" s="43" t="s">
        <v>43</v>
      </c>
      <c r="B53" s="43"/>
      <c r="C53" s="43">
        <v>11</v>
      </c>
      <c r="D53" s="43" t="s">
        <v>25</v>
      </c>
      <c r="E53" s="43" t="s">
        <v>25</v>
      </c>
      <c r="F53" s="43" t="s">
        <v>25</v>
      </c>
      <c r="G53" s="43" t="s">
        <v>25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24" ht="15.75" x14ac:dyDescent="0.25">
      <c r="A54" s="43" t="s">
        <v>44</v>
      </c>
      <c r="B54" s="43"/>
      <c r="C54" s="43">
        <v>78</v>
      </c>
      <c r="D54" s="43">
        <v>89</v>
      </c>
      <c r="E54" s="43">
        <v>160</v>
      </c>
      <c r="F54" s="43">
        <v>175</v>
      </c>
      <c r="G54" s="43">
        <v>178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4" ht="15.75" x14ac:dyDescent="0.25">
      <c r="A55" s="43" t="s">
        <v>45</v>
      </c>
      <c r="B55" s="43"/>
      <c r="C55" s="94">
        <v>1790</v>
      </c>
      <c r="D55" s="94">
        <v>2240</v>
      </c>
      <c r="E55" s="94">
        <v>2690</v>
      </c>
      <c r="F55" s="94">
        <v>2480</v>
      </c>
      <c r="G55" s="94">
        <v>4160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4" ht="15.75" x14ac:dyDescent="0.25">
      <c r="A56" s="43" t="s">
        <v>46</v>
      </c>
      <c r="B56" s="43"/>
      <c r="C56" s="43">
        <v>1120</v>
      </c>
      <c r="D56" s="43">
        <v>1520</v>
      </c>
      <c r="E56" s="43">
        <v>1890</v>
      </c>
      <c r="F56" s="43">
        <v>1760</v>
      </c>
      <c r="G56" s="43">
        <v>3040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4" ht="15.75" x14ac:dyDescent="0.25">
      <c r="A57" s="43" t="s">
        <v>47</v>
      </c>
      <c r="B57" s="43"/>
      <c r="C57" s="43">
        <v>672</v>
      </c>
      <c r="D57" s="43">
        <v>714</v>
      </c>
      <c r="E57" s="43">
        <v>803</v>
      </c>
      <c r="F57" s="43">
        <v>722</v>
      </c>
      <c r="G57" s="43">
        <v>1120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4" ht="15.75" x14ac:dyDescent="0.25">
      <c r="A58" s="43" t="s">
        <v>48</v>
      </c>
      <c r="B58" s="43"/>
      <c r="C58" s="93">
        <v>584</v>
      </c>
      <c r="D58" s="93">
        <v>1070</v>
      </c>
      <c r="E58" s="93">
        <v>1250</v>
      </c>
      <c r="F58" s="93">
        <v>1620</v>
      </c>
      <c r="G58" s="93">
        <v>1870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4" ht="15.75" x14ac:dyDescent="0.25">
      <c r="A59" s="43" t="s">
        <v>49</v>
      </c>
      <c r="B59" s="43"/>
      <c r="C59" s="43">
        <v>53</v>
      </c>
      <c r="D59" s="43">
        <v>237</v>
      </c>
      <c r="E59" s="43">
        <v>902</v>
      </c>
      <c r="F59" s="43">
        <v>1300</v>
      </c>
      <c r="G59" s="43">
        <v>1520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.75" x14ac:dyDescent="0.25">
      <c r="A60" s="104" t="s">
        <v>142</v>
      </c>
      <c r="B60" s="42"/>
      <c r="C60" s="105">
        <v>14240</v>
      </c>
      <c r="D60" s="105">
        <v>15330</v>
      </c>
      <c r="E60" s="105">
        <v>16250</v>
      </c>
      <c r="F60" s="105">
        <v>18680</v>
      </c>
      <c r="G60" s="105">
        <v>21330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5.75" x14ac:dyDescent="0.25">
      <c r="A61" s="43" t="s">
        <v>50</v>
      </c>
      <c r="B61" s="43"/>
      <c r="C61" s="94"/>
      <c r="D61" s="94"/>
      <c r="E61" s="94"/>
      <c r="F61" s="94"/>
      <c r="G61" s="9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.75" x14ac:dyDescent="0.25">
      <c r="A62" s="43"/>
      <c r="B62" s="43"/>
      <c r="C62" s="43">
        <v>2013</v>
      </c>
      <c r="D62" s="43">
        <v>2014</v>
      </c>
      <c r="E62" s="43">
        <v>2015</v>
      </c>
      <c r="F62" s="43">
        <v>2016</v>
      </c>
      <c r="G62" s="43">
        <v>2017</v>
      </c>
    </row>
    <row r="63" spans="1:24" ht="15.75" x14ac:dyDescent="0.25">
      <c r="A63" s="43" t="s">
        <v>51</v>
      </c>
      <c r="B63" s="43"/>
      <c r="C63" s="43">
        <v>35</v>
      </c>
      <c r="D63" s="43">
        <v>41</v>
      </c>
      <c r="E63" s="43" t="s">
        <v>25</v>
      </c>
      <c r="F63" s="43" t="s">
        <v>25</v>
      </c>
      <c r="G63" s="43" t="s">
        <v>25</v>
      </c>
    </row>
    <row r="64" spans="1:24" ht="15.75" x14ac:dyDescent="0.25">
      <c r="A64" s="43" t="s">
        <v>52</v>
      </c>
      <c r="B64" s="43"/>
      <c r="C64" s="43">
        <v>35</v>
      </c>
      <c r="D64" s="43">
        <v>41</v>
      </c>
      <c r="E64" s="43">
        <v>0</v>
      </c>
      <c r="F64" s="43">
        <v>0</v>
      </c>
      <c r="G64" s="43">
        <v>0</v>
      </c>
    </row>
    <row r="65" spans="1:20" ht="15.75" x14ac:dyDescent="0.25">
      <c r="A65" s="43" t="s">
        <v>53</v>
      </c>
      <c r="B65" s="43"/>
      <c r="C65" s="43">
        <v>0</v>
      </c>
      <c r="D65" s="43">
        <v>0</v>
      </c>
      <c r="E65" s="43">
        <v>0</v>
      </c>
      <c r="F65" s="43">
        <v>0</v>
      </c>
      <c r="G65" s="43">
        <v>0</v>
      </c>
    </row>
    <row r="66" spans="1:20" ht="15.75" x14ac:dyDescent="0.25">
      <c r="A66" s="109" t="s">
        <v>143</v>
      </c>
      <c r="B66" s="43"/>
      <c r="C66" s="43">
        <v>338</v>
      </c>
      <c r="D66" s="43">
        <v>419</v>
      </c>
      <c r="E66" s="43">
        <v>472</v>
      </c>
      <c r="F66" s="43">
        <v>609</v>
      </c>
      <c r="G66" s="43">
        <v>933</v>
      </c>
    </row>
    <row r="67" spans="1:20" ht="15.75" x14ac:dyDescent="0.25">
      <c r="A67" s="43" t="s">
        <v>54</v>
      </c>
      <c r="B67" s="43"/>
      <c r="C67" s="43">
        <v>100</v>
      </c>
      <c r="D67" s="43">
        <v>112</v>
      </c>
      <c r="E67" s="43">
        <v>143</v>
      </c>
      <c r="F67" s="43">
        <v>161</v>
      </c>
      <c r="G67" s="43">
        <v>194</v>
      </c>
      <c r="J67" s="9"/>
      <c r="K67" s="9"/>
      <c r="L67" s="9"/>
      <c r="M67" s="9"/>
      <c r="N67" s="9"/>
      <c r="O67" s="9"/>
      <c r="P67" s="9"/>
      <c r="Q67" s="9"/>
      <c r="R67" s="9"/>
    </row>
    <row r="68" spans="1:20" ht="15.75" x14ac:dyDescent="0.25">
      <c r="A68" s="43" t="s">
        <v>55</v>
      </c>
      <c r="B68" s="43"/>
      <c r="C68" s="43">
        <v>5560</v>
      </c>
      <c r="D68" s="43">
        <v>5650</v>
      </c>
      <c r="E68" s="43">
        <v>5650</v>
      </c>
      <c r="F68" s="43">
        <v>6440</v>
      </c>
      <c r="G68" s="43">
        <v>7670</v>
      </c>
      <c r="S68" s="10"/>
    </row>
    <row r="69" spans="1:20" ht="15.75" x14ac:dyDescent="0.25">
      <c r="A69" s="43" t="s">
        <v>56</v>
      </c>
      <c r="B69" s="43"/>
      <c r="C69" s="95" t="s">
        <v>25</v>
      </c>
      <c r="D69" s="95" t="s">
        <v>25</v>
      </c>
      <c r="E69" s="95" t="s">
        <v>25</v>
      </c>
      <c r="F69" s="95" t="s">
        <v>25</v>
      </c>
      <c r="G69" s="95" t="s">
        <v>25</v>
      </c>
      <c r="N69" s="5"/>
      <c r="O69" s="5"/>
      <c r="P69" s="5"/>
      <c r="Q69" s="5"/>
      <c r="R69" s="5"/>
      <c r="S69" s="11"/>
    </row>
    <row r="70" spans="1:20" ht="15.75" x14ac:dyDescent="0.25">
      <c r="A70" s="43" t="s">
        <v>57</v>
      </c>
      <c r="B70" s="43"/>
      <c r="C70" s="94">
        <v>413</v>
      </c>
      <c r="D70" s="94">
        <v>531</v>
      </c>
      <c r="E70" s="94">
        <v>473</v>
      </c>
      <c r="F70" s="94">
        <v>496</v>
      </c>
      <c r="G70" s="94">
        <v>613</v>
      </c>
      <c r="N70" s="6"/>
      <c r="O70" s="6"/>
      <c r="P70" s="6"/>
      <c r="Q70" s="6"/>
      <c r="R70" s="12"/>
      <c r="S70" s="13"/>
      <c r="T70" s="6"/>
    </row>
    <row r="71" spans="1:20" ht="15.75" x14ac:dyDescent="0.25">
      <c r="A71" s="43" t="s">
        <v>58</v>
      </c>
      <c r="B71" s="43"/>
      <c r="C71" s="43">
        <v>5150</v>
      </c>
      <c r="D71" s="43">
        <v>5120</v>
      </c>
      <c r="E71" s="43">
        <v>5180</v>
      </c>
      <c r="F71" s="43">
        <v>5940</v>
      </c>
      <c r="G71" s="43">
        <v>7050</v>
      </c>
      <c r="N71" s="6"/>
      <c r="O71" s="6"/>
      <c r="P71" s="6"/>
      <c r="Q71" s="6"/>
      <c r="R71" s="6"/>
      <c r="T71" s="14"/>
    </row>
    <row r="72" spans="1:20" ht="15.75" x14ac:dyDescent="0.25">
      <c r="A72" s="104" t="s">
        <v>144</v>
      </c>
      <c r="B72" s="42"/>
      <c r="C72" s="42">
        <v>6030</v>
      </c>
      <c r="D72" s="42">
        <v>6220</v>
      </c>
      <c r="E72" s="42">
        <v>6270</v>
      </c>
      <c r="F72" s="42">
        <v>7210</v>
      </c>
      <c r="G72" s="42">
        <v>8790</v>
      </c>
      <c r="N72" s="6"/>
      <c r="O72" s="6"/>
      <c r="P72" s="6"/>
      <c r="Q72" s="6"/>
      <c r="R72" s="12"/>
      <c r="S72" s="3"/>
      <c r="T72" s="6"/>
    </row>
    <row r="73" spans="1:20" ht="15.75" x14ac:dyDescent="0.25">
      <c r="A73" s="43" t="s">
        <v>59</v>
      </c>
      <c r="B73" s="43"/>
      <c r="C73" s="97" t="s">
        <v>25</v>
      </c>
      <c r="D73" s="43">
        <v>1490</v>
      </c>
      <c r="E73" s="43">
        <v>3270</v>
      </c>
      <c r="F73" s="43">
        <v>5180</v>
      </c>
      <c r="G73" s="43">
        <v>5420</v>
      </c>
      <c r="N73" s="6"/>
      <c r="O73" s="6"/>
      <c r="P73" s="6"/>
      <c r="Q73" s="6"/>
      <c r="R73" s="6"/>
      <c r="S73" s="13"/>
      <c r="T73" s="6"/>
    </row>
    <row r="74" spans="1:20" ht="15.75" x14ac:dyDescent="0.25">
      <c r="A74" s="43" t="s">
        <v>60</v>
      </c>
      <c r="B74" s="43"/>
      <c r="C74" s="95" t="s">
        <v>25</v>
      </c>
      <c r="D74" s="43">
        <v>1490</v>
      </c>
      <c r="E74" s="43">
        <v>3270</v>
      </c>
      <c r="F74" s="43">
        <v>5180</v>
      </c>
      <c r="G74" s="43">
        <v>5420</v>
      </c>
      <c r="N74" s="6"/>
      <c r="O74" s="6"/>
      <c r="P74" s="6"/>
      <c r="Q74" s="6"/>
      <c r="R74" s="12"/>
      <c r="S74" s="14"/>
      <c r="T74" s="6"/>
    </row>
    <row r="75" spans="1:20" ht="15.75" x14ac:dyDescent="0.25">
      <c r="A75" s="43" t="s">
        <v>61</v>
      </c>
      <c r="B75" s="43"/>
      <c r="C75" s="96" t="s">
        <v>25</v>
      </c>
      <c r="D75" s="94">
        <v>1490</v>
      </c>
      <c r="E75" s="94">
        <v>3270</v>
      </c>
      <c r="F75" s="94">
        <v>5180</v>
      </c>
      <c r="G75" s="94">
        <v>5420</v>
      </c>
      <c r="N75" s="6"/>
      <c r="O75" s="6"/>
      <c r="P75" s="6"/>
      <c r="Q75" s="6"/>
      <c r="R75" s="6"/>
      <c r="S75" s="13"/>
      <c r="T75" s="6"/>
    </row>
    <row r="76" spans="1:20" ht="15.75" x14ac:dyDescent="0.25">
      <c r="A76" s="43" t="s">
        <v>62</v>
      </c>
      <c r="B76" s="43"/>
      <c r="C76" s="96" t="s">
        <v>25</v>
      </c>
      <c r="D76" s="96" t="s">
        <v>25</v>
      </c>
      <c r="E76" s="96" t="s">
        <v>25</v>
      </c>
      <c r="F76" s="96" t="s">
        <v>25</v>
      </c>
      <c r="G76" s="96" t="s">
        <v>25</v>
      </c>
      <c r="N76" s="6"/>
      <c r="O76" s="6"/>
      <c r="P76" s="6"/>
      <c r="Q76" s="6"/>
      <c r="R76" s="12"/>
      <c r="S76" s="14"/>
      <c r="T76" s="6"/>
    </row>
    <row r="77" spans="1:20" ht="15.75" x14ac:dyDescent="0.25">
      <c r="A77" s="43" t="s">
        <v>63</v>
      </c>
      <c r="B77" s="43"/>
      <c r="C77" s="95" t="s">
        <v>25</v>
      </c>
      <c r="D77" s="95" t="s">
        <v>25</v>
      </c>
      <c r="E77" s="95" t="s">
        <v>25</v>
      </c>
      <c r="F77" s="95" t="s">
        <v>25</v>
      </c>
      <c r="G77" s="95" t="s">
        <v>25</v>
      </c>
      <c r="N77" s="6"/>
      <c r="O77" s="6"/>
      <c r="P77" s="6"/>
      <c r="Q77" s="6"/>
      <c r="R77" s="6"/>
      <c r="S77" s="13"/>
      <c r="T77" s="6"/>
    </row>
    <row r="78" spans="1:20" ht="15.75" x14ac:dyDescent="0.25">
      <c r="A78" s="43" t="s">
        <v>64</v>
      </c>
      <c r="B78" s="43"/>
      <c r="C78" s="95" t="s">
        <v>25</v>
      </c>
      <c r="D78" s="95" t="s">
        <v>25</v>
      </c>
      <c r="E78" s="43">
        <v>59</v>
      </c>
      <c r="F78" s="43">
        <v>59</v>
      </c>
      <c r="G78" s="95" t="s">
        <v>25</v>
      </c>
      <c r="N78" s="6"/>
      <c r="O78" s="6"/>
      <c r="P78" s="6"/>
      <c r="Q78" s="6"/>
      <c r="R78" s="12"/>
      <c r="S78" s="14"/>
      <c r="T78" s="6"/>
    </row>
    <row r="79" spans="1:20" ht="15.75" x14ac:dyDescent="0.25">
      <c r="A79" s="43" t="s">
        <v>65</v>
      </c>
      <c r="B79" s="43"/>
      <c r="C79" s="43">
        <v>47</v>
      </c>
      <c r="D79" s="43">
        <v>19</v>
      </c>
      <c r="E79" s="43">
        <v>-238</v>
      </c>
      <c r="F79" s="43">
        <v>-226</v>
      </c>
      <c r="G79" s="43">
        <v>-144</v>
      </c>
      <c r="N79" s="6"/>
      <c r="O79" s="6"/>
      <c r="P79" s="6"/>
      <c r="Q79" s="6"/>
      <c r="R79" s="6"/>
      <c r="S79" s="13"/>
      <c r="T79" s="6"/>
    </row>
    <row r="80" spans="1:20" ht="15.75" x14ac:dyDescent="0.25">
      <c r="A80" s="43" t="s">
        <v>66</v>
      </c>
      <c r="B80" s="43"/>
      <c r="C80" s="43">
        <v>117</v>
      </c>
      <c r="D80" s="43">
        <v>115</v>
      </c>
      <c r="E80" s="43">
        <v>79</v>
      </c>
      <c r="F80" s="43">
        <v>81</v>
      </c>
      <c r="G80" s="43">
        <v>106</v>
      </c>
      <c r="N80" s="6"/>
      <c r="O80" s="6"/>
      <c r="P80" s="6"/>
      <c r="Q80" s="6"/>
      <c r="R80" s="12"/>
      <c r="S80" s="14"/>
      <c r="T80" s="6"/>
    </row>
    <row r="81" spans="1:20" ht="15.75" x14ac:dyDescent="0.25">
      <c r="A81" s="43" t="s">
        <v>67</v>
      </c>
      <c r="B81" s="43"/>
      <c r="C81" s="43">
        <v>70</v>
      </c>
      <c r="D81" s="43">
        <v>96</v>
      </c>
      <c r="E81" s="43">
        <v>317</v>
      </c>
      <c r="F81" s="43">
        <v>307</v>
      </c>
      <c r="G81" s="43">
        <v>250</v>
      </c>
      <c r="N81" s="6"/>
      <c r="O81" s="6"/>
      <c r="P81" s="6"/>
      <c r="Q81" s="6"/>
      <c r="R81" s="6"/>
      <c r="S81" s="14"/>
      <c r="T81" s="6"/>
    </row>
    <row r="82" spans="1:20" ht="15.75" x14ac:dyDescent="0.25">
      <c r="A82" s="43" t="s">
        <v>68</v>
      </c>
      <c r="B82" s="43"/>
      <c r="C82" s="43">
        <v>598</v>
      </c>
      <c r="D82" s="43">
        <v>674</v>
      </c>
      <c r="E82" s="43">
        <v>513</v>
      </c>
      <c r="F82" s="43">
        <v>465</v>
      </c>
      <c r="G82" s="43">
        <v>1440</v>
      </c>
      <c r="N82" s="6"/>
      <c r="O82" s="6"/>
      <c r="P82" s="6"/>
      <c r="Q82" s="6"/>
      <c r="R82" s="12"/>
      <c r="S82" s="13"/>
      <c r="T82" s="6"/>
    </row>
    <row r="83" spans="1:20" ht="15.75" x14ac:dyDescent="0.25">
      <c r="A83" s="43" t="s">
        <v>69</v>
      </c>
      <c r="B83" s="43"/>
      <c r="C83" s="43">
        <v>598</v>
      </c>
      <c r="D83" s="43">
        <v>674</v>
      </c>
      <c r="E83" s="43">
        <v>513</v>
      </c>
      <c r="F83" s="43">
        <v>465</v>
      </c>
      <c r="G83" s="43">
        <v>1440</v>
      </c>
      <c r="N83" s="6"/>
      <c r="O83" s="6"/>
      <c r="P83" s="6"/>
      <c r="Q83" s="6"/>
      <c r="R83" s="6"/>
      <c r="S83" s="14"/>
      <c r="T83" s="6"/>
    </row>
    <row r="84" spans="1:20" ht="15.75" x14ac:dyDescent="0.25">
      <c r="A84" s="43" t="s">
        <v>70</v>
      </c>
      <c r="B84" s="43"/>
      <c r="C84" s="95" t="s">
        <v>25</v>
      </c>
      <c r="D84" s="95" t="s">
        <v>25</v>
      </c>
      <c r="E84" s="95" t="s">
        <v>25</v>
      </c>
      <c r="F84" s="95" t="s">
        <v>25</v>
      </c>
      <c r="G84" s="95" t="s">
        <v>25</v>
      </c>
      <c r="N84" s="6"/>
      <c r="O84" s="6"/>
      <c r="P84" s="6"/>
      <c r="Q84" s="6"/>
      <c r="R84" s="12"/>
      <c r="S84" s="13"/>
      <c r="T84" s="6"/>
    </row>
    <row r="85" spans="1:20" ht="15.75" x14ac:dyDescent="0.25">
      <c r="A85" s="104" t="s">
        <v>141</v>
      </c>
      <c r="B85" s="42"/>
      <c r="C85" s="105">
        <v>6750</v>
      </c>
      <c r="D85" s="105">
        <v>8510</v>
      </c>
      <c r="E85" s="105">
        <v>10190</v>
      </c>
      <c r="F85" s="105">
        <v>12990</v>
      </c>
      <c r="G85" s="105">
        <v>15760</v>
      </c>
      <c r="N85" s="6"/>
      <c r="O85" s="6"/>
      <c r="P85" s="6"/>
      <c r="Q85" s="6"/>
      <c r="R85" s="6"/>
      <c r="S85" s="14"/>
      <c r="T85" s="6"/>
    </row>
    <row r="86" spans="1:20" ht="15.75" x14ac:dyDescent="0.25">
      <c r="A86" s="43" t="s">
        <v>71</v>
      </c>
      <c r="B86" s="43"/>
      <c r="C86" s="95" t="s">
        <v>25</v>
      </c>
      <c r="D86" s="95" t="s">
        <v>25</v>
      </c>
      <c r="E86" s="95" t="s">
        <v>25</v>
      </c>
      <c r="F86" s="95" t="s">
        <v>25</v>
      </c>
      <c r="G86" s="95" t="s">
        <v>25</v>
      </c>
      <c r="N86" s="6"/>
      <c r="O86" s="6"/>
      <c r="P86" s="6"/>
      <c r="Q86" s="6"/>
      <c r="R86" s="12"/>
      <c r="S86" s="13"/>
      <c r="T86" s="6"/>
    </row>
    <row r="87" spans="1:20" ht="15.75" x14ac:dyDescent="0.25">
      <c r="A87" s="43" t="s">
        <v>72</v>
      </c>
      <c r="B87" s="43"/>
      <c r="C87" s="95" t="s">
        <v>25</v>
      </c>
      <c r="D87" s="95" t="s">
        <v>25</v>
      </c>
      <c r="E87" s="95" t="s">
        <v>25</v>
      </c>
      <c r="F87" s="95" t="s">
        <v>25</v>
      </c>
      <c r="G87" s="95" t="s">
        <v>25</v>
      </c>
      <c r="N87" s="6"/>
      <c r="O87" s="6"/>
      <c r="P87" s="6"/>
      <c r="Q87" s="6"/>
      <c r="R87" s="6"/>
      <c r="S87" s="14"/>
      <c r="T87" s="6"/>
    </row>
    <row r="88" spans="1:20" ht="15.75" x14ac:dyDescent="0.25">
      <c r="A88" s="43" t="s">
        <v>73</v>
      </c>
      <c r="B88" s="43"/>
      <c r="C88" s="98" t="s">
        <v>25</v>
      </c>
      <c r="D88" s="98" t="s">
        <v>25</v>
      </c>
      <c r="E88" s="98" t="s">
        <v>25</v>
      </c>
      <c r="F88" s="98" t="s">
        <v>25</v>
      </c>
      <c r="G88" s="98" t="s">
        <v>25</v>
      </c>
      <c r="N88" s="6"/>
      <c r="O88" s="6"/>
      <c r="P88" s="6"/>
      <c r="Q88" s="6"/>
      <c r="R88" s="12"/>
      <c r="S88" s="13"/>
      <c r="T88" s="6"/>
    </row>
    <row r="89" spans="1:20" ht="15.75" x14ac:dyDescent="0.25">
      <c r="A89" s="43" t="s">
        <v>74</v>
      </c>
      <c r="B89" s="43"/>
      <c r="C89" s="95" t="s">
        <v>25</v>
      </c>
      <c r="D89" s="95" t="s">
        <v>25</v>
      </c>
      <c r="E89" s="95" t="s">
        <v>25</v>
      </c>
      <c r="F89" s="95" t="s">
        <v>25</v>
      </c>
      <c r="G89" s="95" t="s">
        <v>25</v>
      </c>
      <c r="N89" s="6"/>
      <c r="O89" s="6"/>
      <c r="P89" s="6"/>
      <c r="Q89" s="6"/>
      <c r="R89" s="6"/>
      <c r="S89" s="13"/>
      <c r="T89" s="6"/>
    </row>
    <row r="90" spans="1:20" ht="15.75" x14ac:dyDescent="0.25">
      <c r="A90" s="104" t="s">
        <v>140</v>
      </c>
      <c r="B90" s="42"/>
      <c r="C90" s="105">
        <v>7480</v>
      </c>
      <c r="D90" s="105">
        <v>6790</v>
      </c>
      <c r="E90" s="105">
        <v>6030</v>
      </c>
      <c r="F90" s="105">
        <v>5660</v>
      </c>
      <c r="G90" s="105">
        <v>5470</v>
      </c>
      <c r="N90" s="6"/>
      <c r="O90" s="6"/>
      <c r="P90" s="6"/>
      <c r="Q90" s="6"/>
      <c r="R90" s="12"/>
      <c r="S90" s="6"/>
      <c r="T90" s="6"/>
    </row>
    <row r="91" spans="1:20" ht="15.75" x14ac:dyDescent="0.25">
      <c r="A91" s="43" t="s">
        <v>75</v>
      </c>
      <c r="B91" s="43"/>
      <c r="C91" s="94" t="s">
        <v>25</v>
      </c>
      <c r="D91" s="94" t="s">
        <v>25</v>
      </c>
      <c r="E91" s="94" t="s">
        <v>25</v>
      </c>
      <c r="F91" s="94" t="s">
        <v>25</v>
      </c>
      <c r="G91" s="94" t="s">
        <v>25</v>
      </c>
      <c r="N91" s="6"/>
      <c r="O91" s="6"/>
      <c r="P91" s="6"/>
      <c r="Q91" s="6"/>
      <c r="R91" s="6"/>
      <c r="S91" s="6"/>
      <c r="T91" s="6"/>
    </row>
    <row r="92" spans="1:20" ht="15.75" x14ac:dyDescent="0.25">
      <c r="A92" s="43" t="s">
        <v>76</v>
      </c>
      <c r="B92" s="43"/>
      <c r="C92" s="43">
        <v>10120</v>
      </c>
      <c r="D92" s="43">
        <v>13170</v>
      </c>
      <c r="E92" s="43">
        <v>16220</v>
      </c>
      <c r="F92" s="43">
        <v>19420</v>
      </c>
      <c r="G92" s="43">
        <v>22360</v>
      </c>
      <c r="N92" s="15"/>
      <c r="O92" s="15"/>
      <c r="P92" s="15"/>
      <c r="Q92" s="15"/>
      <c r="R92" s="15"/>
    </row>
    <row r="93" spans="1:20" ht="15.75" x14ac:dyDescent="0.25">
      <c r="A93" s="43" t="s">
        <v>77</v>
      </c>
      <c r="B93" s="43"/>
      <c r="C93" s="43" t="s">
        <v>25</v>
      </c>
      <c r="D93" s="43" t="s">
        <v>25</v>
      </c>
      <c r="E93" s="43" t="s">
        <v>25</v>
      </c>
      <c r="F93" s="43" t="s">
        <v>25</v>
      </c>
      <c r="G93" s="43" t="s">
        <v>25</v>
      </c>
      <c r="N93" s="15"/>
      <c r="O93" s="15"/>
      <c r="P93" s="15"/>
      <c r="Q93" s="15"/>
      <c r="R93" s="15"/>
    </row>
    <row r="94" spans="1:20" ht="15.75" x14ac:dyDescent="0.25">
      <c r="A94" s="43" t="s">
        <v>78</v>
      </c>
      <c r="B94" s="43"/>
      <c r="C94" s="43">
        <v>206</v>
      </c>
      <c r="D94" s="43">
        <v>-230</v>
      </c>
      <c r="E94" s="43">
        <v>-663</v>
      </c>
      <c r="F94" s="43">
        <v>-949</v>
      </c>
      <c r="G94" s="43">
        <v>-382</v>
      </c>
    </row>
    <row r="95" spans="1:20" ht="15.75" x14ac:dyDescent="0.25">
      <c r="A95" s="43" t="s">
        <v>79</v>
      </c>
      <c r="B95" s="43"/>
      <c r="C95" s="43">
        <v>1</v>
      </c>
      <c r="D95" s="43" t="s">
        <v>80</v>
      </c>
      <c r="E95" s="43" t="s">
        <v>81</v>
      </c>
      <c r="F95" s="43" t="s">
        <v>82</v>
      </c>
      <c r="G95" s="43" t="s">
        <v>83</v>
      </c>
    </row>
    <row r="96" spans="1:20" ht="15.75" x14ac:dyDescent="0.25">
      <c r="A96" s="43" t="s">
        <v>84</v>
      </c>
      <c r="B96" s="43"/>
      <c r="C96" s="43" t="s">
        <v>25</v>
      </c>
      <c r="D96" s="43" t="s">
        <v>25</v>
      </c>
      <c r="E96" s="43" t="s">
        <v>25</v>
      </c>
      <c r="F96" s="43" t="s">
        <v>25</v>
      </c>
      <c r="G96" s="43" t="s">
        <v>25</v>
      </c>
      <c r="N96" s="6"/>
      <c r="O96" s="6"/>
      <c r="P96" s="6"/>
      <c r="Q96" s="6"/>
    </row>
    <row r="97" spans="1:17" ht="15.75" x14ac:dyDescent="0.25">
      <c r="A97" s="43" t="s">
        <v>85</v>
      </c>
      <c r="B97" s="43"/>
      <c r="C97" s="43">
        <v>-6580</v>
      </c>
      <c r="D97" s="43">
        <v>-1000</v>
      </c>
      <c r="E97" s="43">
        <v>-13520</v>
      </c>
      <c r="F97" s="43">
        <v>17020</v>
      </c>
      <c r="G97" s="43">
        <v>-20760</v>
      </c>
      <c r="N97" s="6"/>
      <c r="O97" s="6"/>
      <c r="P97" s="6"/>
      <c r="Q97" s="6"/>
    </row>
    <row r="98" spans="1:17" ht="15.75" x14ac:dyDescent="0.25">
      <c r="A98" s="106" t="s">
        <v>139</v>
      </c>
      <c r="B98" s="41"/>
      <c r="C98" s="41">
        <v>7480</v>
      </c>
      <c r="D98" s="41">
        <v>6790</v>
      </c>
      <c r="E98" s="41">
        <v>6030</v>
      </c>
      <c r="F98" s="41">
        <v>5660</v>
      </c>
      <c r="G98" s="41">
        <v>5470</v>
      </c>
    </row>
    <row r="99" spans="1:17" ht="15.75" x14ac:dyDescent="0.25">
      <c r="A99" s="43" t="s">
        <v>86</v>
      </c>
      <c r="B99" s="43"/>
      <c r="C99" s="43">
        <v>11</v>
      </c>
      <c r="D99" s="43">
        <v>34</v>
      </c>
      <c r="E99" s="43">
        <v>34</v>
      </c>
      <c r="F99" s="43">
        <v>28</v>
      </c>
      <c r="G99" s="43">
        <v>100</v>
      </c>
    </row>
    <row r="100" spans="1:17" ht="15.75" x14ac:dyDescent="0.25">
      <c r="A100" s="108" t="s">
        <v>87</v>
      </c>
      <c r="B100" s="108"/>
      <c r="C100" s="107">
        <v>7500</v>
      </c>
      <c r="D100" s="107">
        <v>6820</v>
      </c>
      <c r="E100" s="107">
        <v>6060</v>
      </c>
      <c r="F100" s="107">
        <v>5680</v>
      </c>
      <c r="G100" s="107">
        <v>5570</v>
      </c>
    </row>
    <row r="101" spans="1:17" ht="15" customHeight="1" x14ac:dyDescent="0.25">
      <c r="A101" s="103" t="s">
        <v>136</v>
      </c>
      <c r="B101" s="103"/>
      <c r="C101" s="103"/>
      <c r="D101" s="103"/>
      <c r="E101" s="103"/>
      <c r="F101" s="103"/>
      <c r="G101" s="103"/>
    </row>
    <row r="102" spans="1:17" ht="15.75" x14ac:dyDescent="0.25"/>
    <row r="104" spans="1:17" ht="15.75" x14ac:dyDescent="0.25">
      <c r="A104" s="79" t="s">
        <v>88</v>
      </c>
      <c r="B104" s="79"/>
      <c r="C104" s="79"/>
      <c r="D104" s="79"/>
      <c r="E104" s="79"/>
      <c r="F104" s="79"/>
      <c r="G104" s="79"/>
    </row>
    <row r="105" spans="1:17" ht="15.75" x14ac:dyDescent="0.25">
      <c r="A105" s="102"/>
      <c r="B105" s="102"/>
      <c r="C105" s="69">
        <v>41609</v>
      </c>
      <c r="D105" s="69">
        <v>41974</v>
      </c>
      <c r="E105" s="69">
        <v>42339</v>
      </c>
      <c r="F105" s="69">
        <v>42705</v>
      </c>
      <c r="G105" s="69">
        <v>43070</v>
      </c>
    </row>
    <row r="106" spans="1:17" ht="15.75" x14ac:dyDescent="0.25">
      <c r="A106" s="17" t="s">
        <v>89</v>
      </c>
      <c r="B106" s="17"/>
      <c r="C106" s="17">
        <v>258</v>
      </c>
      <c r="D106" s="17">
        <v>1012</v>
      </c>
      <c r="E106" s="17">
        <v>1130</v>
      </c>
      <c r="F106" s="17">
        <v>1233</v>
      </c>
      <c r="G106" s="17">
        <v>1438</v>
      </c>
    </row>
    <row r="107" spans="1:17" ht="15.75" x14ac:dyDescent="0.25">
      <c r="A107" s="17" t="s">
        <v>90</v>
      </c>
      <c r="B107" s="17"/>
      <c r="C107" s="17">
        <v>-4</v>
      </c>
      <c r="D107" s="17">
        <v>690</v>
      </c>
      <c r="E107" s="17">
        <v>-715</v>
      </c>
      <c r="F107" s="17">
        <v>-1167</v>
      </c>
      <c r="G107" s="17">
        <v>-1779</v>
      </c>
    </row>
    <row r="108" spans="1:17" ht="15" customHeight="1" x14ac:dyDescent="0.25">
      <c r="A108" s="103" t="s">
        <v>123</v>
      </c>
      <c r="B108" s="103"/>
      <c r="C108" s="103"/>
      <c r="D108" s="103"/>
      <c r="E108" s="103"/>
      <c r="F108" s="103"/>
      <c r="G108" s="103"/>
    </row>
    <row r="109" spans="1:17" ht="15.75" x14ac:dyDescent="0.25">
      <c r="H109" s="16"/>
    </row>
    <row r="111" spans="1:17" ht="15.75" x14ac:dyDescent="0.25">
      <c r="A111" s="70"/>
      <c r="B111" s="63" t="s">
        <v>91</v>
      </c>
      <c r="C111" s="64"/>
      <c r="D111" s="64"/>
      <c r="E111" s="64"/>
      <c r="F111" s="65"/>
      <c r="G111" s="66" t="s">
        <v>92</v>
      </c>
      <c r="H111" s="67"/>
      <c r="I111" s="67"/>
      <c r="J111" s="67"/>
      <c r="K111" s="68"/>
      <c r="L111" s="20"/>
    </row>
    <row r="112" spans="1:17" ht="15.75" x14ac:dyDescent="0.25">
      <c r="A112" s="70"/>
      <c r="B112" s="69">
        <v>41609</v>
      </c>
      <c r="C112" s="69">
        <v>41974</v>
      </c>
      <c r="D112" s="69">
        <v>42339</v>
      </c>
      <c r="E112" s="69">
        <v>42705</v>
      </c>
      <c r="F112" s="69">
        <v>43070</v>
      </c>
      <c r="G112" s="69">
        <v>43435</v>
      </c>
      <c r="H112" s="69">
        <v>43800</v>
      </c>
      <c r="I112" s="69">
        <v>44166</v>
      </c>
      <c r="J112" s="69">
        <v>44531</v>
      </c>
      <c r="K112" s="69">
        <v>44896</v>
      </c>
    </row>
    <row r="113" spans="1:13" ht="15.75" x14ac:dyDescent="0.25">
      <c r="A113" s="62" t="s">
        <v>4</v>
      </c>
      <c r="B113" s="114">
        <f>C6</f>
        <v>8346</v>
      </c>
      <c r="C113" s="114">
        <f>D6</f>
        <v>9473</v>
      </c>
      <c r="D113" s="114">
        <f>E6</f>
        <v>9667</v>
      </c>
      <c r="E113" s="114">
        <f>F6</f>
        <v>10776</v>
      </c>
      <c r="F113" s="114">
        <f>G6</f>
        <v>12497</v>
      </c>
      <c r="G113" s="115">
        <f t="shared" ref="G113:J113" si="16">F113*(1+G114)</f>
        <v>13945.378343322081</v>
      </c>
      <c r="H113" s="115">
        <f t="shared" si="16"/>
        <v>15608.549096895853</v>
      </c>
      <c r="I113" s="115">
        <f t="shared" si="16"/>
        <v>17573.47942218366</v>
      </c>
      <c r="J113" s="115">
        <f t="shared" si="16"/>
        <v>19775.163864460916</v>
      </c>
      <c r="K113" s="115">
        <f>J113*(1+K114)</f>
        <v>22213.889959526659</v>
      </c>
      <c r="L113" s="20"/>
    </row>
    <row r="114" spans="1:13" ht="15.75" x14ac:dyDescent="0.25">
      <c r="A114" s="62" t="s">
        <v>93</v>
      </c>
      <c r="B114" s="22" t="s">
        <v>94</v>
      </c>
      <c r="C114" s="18">
        <f t="shared" ref="C114:F114" si="17">(C113-B113)/B113</f>
        <v>0.13503474718427991</v>
      </c>
      <c r="D114" s="18">
        <f t="shared" si="17"/>
        <v>2.0479256835215877E-2</v>
      </c>
      <c r="E114" s="18">
        <f t="shared" si="17"/>
        <v>0.1147201820626875</v>
      </c>
      <c r="F114" s="18">
        <f t="shared" si="17"/>
        <v>0.15970675575352636</v>
      </c>
      <c r="G114" s="71">
        <f>SUM(1*C114+2*D114+3*E114+4*F114)/10</f>
        <v>0.11589808300568796</v>
      </c>
      <c r="H114" s="71">
        <f t="shared" ref="H114:K114" si="18">SUM(1*D114+2*E114+3*F114+4*G114)/10</f>
        <v>0.11926322202439218</v>
      </c>
      <c r="I114" s="71">
        <f t="shared" si="18"/>
        <v>0.1258880830684373</v>
      </c>
      <c r="J114" s="71">
        <f t="shared" si="18"/>
        <v>0.1252844920111828</v>
      </c>
      <c r="K114" s="71">
        <f t="shared" si="18"/>
        <v>0.12332267443045156</v>
      </c>
      <c r="L114" s="23"/>
    </row>
    <row r="115" spans="1:13" ht="15.75" x14ac:dyDescent="0.25">
      <c r="A115" s="62" t="s">
        <v>95</v>
      </c>
      <c r="B115" s="110">
        <f t="shared" ref="B115:F116" si="19">C7</f>
        <v>0</v>
      </c>
      <c r="C115" s="110">
        <f t="shared" si="19"/>
        <v>0</v>
      </c>
      <c r="D115" s="110">
        <f t="shared" si="19"/>
        <v>0</v>
      </c>
      <c r="E115" s="110">
        <f t="shared" si="19"/>
        <v>0</v>
      </c>
      <c r="F115" s="110">
        <f t="shared" si="19"/>
        <v>0</v>
      </c>
      <c r="G115" s="111">
        <f>F115*(1+0.17)</f>
        <v>0</v>
      </c>
      <c r="H115" s="111">
        <f t="shared" ref="H115:K115" si="20">G115*(1.1)</f>
        <v>0</v>
      </c>
      <c r="I115" s="111">
        <f t="shared" si="20"/>
        <v>0</v>
      </c>
      <c r="J115" s="111">
        <f t="shared" si="20"/>
        <v>0</v>
      </c>
      <c r="K115" s="111">
        <f t="shared" si="20"/>
        <v>0</v>
      </c>
      <c r="L115" s="20"/>
    </row>
    <row r="116" spans="1:13" ht="15.75" x14ac:dyDescent="0.25">
      <c r="A116" s="62" t="s">
        <v>96</v>
      </c>
      <c r="B116" s="114">
        <f t="shared" si="19"/>
        <v>8346</v>
      </c>
      <c r="C116" s="114">
        <f t="shared" si="19"/>
        <v>9473</v>
      </c>
      <c r="D116" s="114">
        <f t="shared" si="19"/>
        <v>9667</v>
      </c>
      <c r="E116" s="114">
        <f t="shared" si="19"/>
        <v>10776</v>
      </c>
      <c r="F116" s="114">
        <f t="shared" si="19"/>
        <v>12497</v>
      </c>
      <c r="G116" s="115">
        <f t="shared" ref="G116:K116" si="21">G113-G115</f>
        <v>13945.378343322081</v>
      </c>
      <c r="H116" s="115">
        <f t="shared" si="21"/>
        <v>15608.549096895853</v>
      </c>
      <c r="I116" s="115">
        <f t="shared" si="21"/>
        <v>17573.47942218366</v>
      </c>
      <c r="J116" s="115">
        <f t="shared" si="21"/>
        <v>19775.163864460916</v>
      </c>
      <c r="K116" s="115">
        <f t="shared" si="21"/>
        <v>22213.889959526659</v>
      </c>
      <c r="L116" s="20"/>
    </row>
    <row r="117" spans="1:13" ht="15.75" x14ac:dyDescent="0.25">
      <c r="A117" s="62" t="s">
        <v>97</v>
      </c>
      <c r="B117" s="18">
        <f t="shared" ref="B117:K117" si="22">B116/B113</f>
        <v>1</v>
      </c>
      <c r="C117" s="18">
        <f t="shared" si="22"/>
        <v>1</v>
      </c>
      <c r="D117" s="18">
        <f t="shared" si="22"/>
        <v>1</v>
      </c>
      <c r="E117" s="18">
        <f t="shared" si="22"/>
        <v>1</v>
      </c>
      <c r="F117" s="18">
        <f t="shared" si="22"/>
        <v>1</v>
      </c>
      <c r="G117" s="71">
        <f t="shared" si="22"/>
        <v>1</v>
      </c>
      <c r="H117" s="71">
        <f t="shared" si="22"/>
        <v>1</v>
      </c>
      <c r="I117" s="71">
        <f t="shared" si="22"/>
        <v>1</v>
      </c>
      <c r="J117" s="71">
        <f t="shared" si="22"/>
        <v>1</v>
      </c>
      <c r="K117" s="71">
        <f t="shared" si="22"/>
        <v>1</v>
      </c>
      <c r="L117" s="20"/>
    </row>
    <row r="118" spans="1:13" ht="15.75" x14ac:dyDescent="0.25">
      <c r="A118" s="62" t="s">
        <v>98</v>
      </c>
      <c r="B118" s="114">
        <f>C9</f>
        <v>3843</v>
      </c>
      <c r="C118" s="114">
        <f>D9</f>
        <v>4367</v>
      </c>
      <c r="D118" s="114">
        <f>E9</f>
        <v>4589</v>
      </c>
      <c r="E118" s="114">
        <f>F9</f>
        <v>5015</v>
      </c>
      <c r="F118" s="114">
        <f>G9</f>
        <v>5875</v>
      </c>
      <c r="G118" s="115">
        <f>SUM(B118:F118)/5</f>
        <v>4737.8</v>
      </c>
      <c r="H118" s="115">
        <f t="shared" ref="H118:K118" si="23">SUM(A118:G118)/7</f>
        <v>4060.9714285714285</v>
      </c>
      <c r="I118" s="115">
        <f t="shared" si="23"/>
        <v>4641.1102040816322</v>
      </c>
      <c r="J118" s="115">
        <f t="shared" si="23"/>
        <v>4755.1259475218658</v>
      </c>
      <c r="K118" s="115">
        <f t="shared" si="23"/>
        <v>4810.5725114535608</v>
      </c>
      <c r="L118" s="20"/>
    </row>
    <row r="119" spans="1:13" ht="15.75" x14ac:dyDescent="0.25">
      <c r="A119" s="62" t="s">
        <v>97</v>
      </c>
      <c r="B119" s="18">
        <f t="shared" ref="B119:K119" si="24">B118/B113</f>
        <v>0.46046010064701653</v>
      </c>
      <c r="C119" s="18">
        <f t="shared" si="24"/>
        <v>0.46099440515148316</v>
      </c>
      <c r="D119" s="18">
        <f t="shared" si="24"/>
        <v>0.47470776869763109</v>
      </c>
      <c r="E119" s="18">
        <f t="shared" si="24"/>
        <v>0.46538604305864884</v>
      </c>
      <c r="F119" s="18">
        <f t="shared" si="24"/>
        <v>0.47011282707849883</v>
      </c>
      <c r="G119" s="71">
        <f t="shared" si="24"/>
        <v>0.3397397964658847</v>
      </c>
      <c r="H119" s="71">
        <f t="shared" si="24"/>
        <v>0.26017609986433993</v>
      </c>
      <c r="I119" s="71">
        <f t="shared" si="24"/>
        <v>0.26409739884652467</v>
      </c>
      <c r="J119" s="71">
        <f t="shared" si="24"/>
        <v>0.24045949657426485</v>
      </c>
      <c r="K119" s="71">
        <f t="shared" si="24"/>
        <v>0.21655696144251838</v>
      </c>
      <c r="L119" s="20"/>
    </row>
    <row r="120" spans="1:13" ht="15.75" x14ac:dyDescent="0.25">
      <c r="A120" s="62" t="s">
        <v>99</v>
      </c>
      <c r="B120" s="114">
        <f>B116-B118</f>
        <v>4503</v>
      </c>
      <c r="C120" s="114">
        <f t="shared" ref="C120:J120" si="25">C116-C118</f>
        <v>5106</v>
      </c>
      <c r="D120" s="114">
        <f t="shared" si="25"/>
        <v>5078</v>
      </c>
      <c r="E120" s="114">
        <f t="shared" si="25"/>
        <v>5761</v>
      </c>
      <c r="F120" s="114">
        <f t="shared" si="25"/>
        <v>6622</v>
      </c>
      <c r="G120" s="115">
        <f t="shared" si="25"/>
        <v>9207.5783433220822</v>
      </c>
      <c r="H120" s="115">
        <f t="shared" si="25"/>
        <v>11547.577668324424</v>
      </c>
      <c r="I120" s="115">
        <f t="shared" si="25"/>
        <v>12932.369218102027</v>
      </c>
      <c r="J120" s="115">
        <f t="shared" si="25"/>
        <v>15020.037916939051</v>
      </c>
      <c r="K120" s="115">
        <f>K116-K118</f>
        <v>17403.3174480731</v>
      </c>
      <c r="L120" s="20"/>
      <c r="M120" s="25"/>
    </row>
    <row r="121" spans="1:13" ht="15.75" x14ac:dyDescent="0.25">
      <c r="A121" s="62" t="s">
        <v>97</v>
      </c>
      <c r="B121" s="18">
        <f t="shared" ref="B121:F121" si="26">B120/B113</f>
        <v>0.53953989935298341</v>
      </c>
      <c r="C121" s="18">
        <f t="shared" si="26"/>
        <v>0.53900559484851684</v>
      </c>
      <c r="D121" s="18">
        <f t="shared" si="26"/>
        <v>0.52529223130236891</v>
      </c>
      <c r="E121" s="18">
        <f t="shared" si="26"/>
        <v>0.53461395694135116</v>
      </c>
      <c r="F121" s="18">
        <f t="shared" si="26"/>
        <v>0.52988717292150112</v>
      </c>
      <c r="G121" s="72">
        <f t="shared" ref="G121:K121" si="27">SUM(B121:F121)/5</f>
        <v>0.53366777107334429</v>
      </c>
      <c r="H121" s="72">
        <f t="shared" si="27"/>
        <v>0.53249334541741644</v>
      </c>
      <c r="I121" s="72">
        <f t="shared" si="27"/>
        <v>0.53119089553119636</v>
      </c>
      <c r="J121" s="72">
        <f t="shared" si="27"/>
        <v>0.53237062837696192</v>
      </c>
      <c r="K121" s="72">
        <f t="shared" si="27"/>
        <v>0.53192196266408398</v>
      </c>
      <c r="L121" s="20"/>
    </row>
    <row r="122" spans="1:13" ht="15.75" x14ac:dyDescent="0.25">
      <c r="A122" s="62" t="s">
        <v>100</v>
      </c>
      <c r="B122" s="114">
        <f>C16</f>
        <v>1384</v>
      </c>
      <c r="C122" s="114">
        <f>D16</f>
        <v>1462</v>
      </c>
      <c r="D122" s="114">
        <f>E16</f>
        <v>1150</v>
      </c>
      <c r="E122" s="114">
        <f>F16</f>
        <v>1587</v>
      </c>
      <c r="F122" s="114">
        <f>G16</f>
        <v>2607</v>
      </c>
      <c r="G122" s="115">
        <f t="shared" ref="G122:K122" si="28">G120*G123</f>
        <v>1841.5156686644166</v>
      </c>
      <c r="H122" s="115">
        <f t="shared" si="28"/>
        <v>2309.515533664885</v>
      </c>
      <c r="I122" s="115">
        <f t="shared" si="28"/>
        <v>2586.4738436204057</v>
      </c>
      <c r="J122" s="115">
        <f t="shared" si="28"/>
        <v>3004.0075833878104</v>
      </c>
      <c r="K122" s="115">
        <f t="shared" si="28"/>
        <v>3480.6634896146202</v>
      </c>
      <c r="L122" s="20"/>
    </row>
    <row r="123" spans="1:13" ht="15.75" x14ac:dyDescent="0.25">
      <c r="A123" s="62" t="s">
        <v>101</v>
      </c>
      <c r="B123" s="18">
        <v>0.38557751698579368</v>
      </c>
      <c r="C123" s="18">
        <v>0.38805513016845328</v>
      </c>
      <c r="D123" s="18">
        <v>0.39498726712236965</v>
      </c>
      <c r="E123" s="18">
        <v>0.36999564838990429</v>
      </c>
      <c r="F123" s="18">
        <v>0.35999565878011719</v>
      </c>
      <c r="G123" s="71">
        <v>0.2</v>
      </c>
      <c r="H123" s="71">
        <v>0.2</v>
      </c>
      <c r="I123" s="71">
        <v>0.2</v>
      </c>
      <c r="J123" s="71">
        <v>0.2</v>
      </c>
      <c r="K123" s="71">
        <v>0.2</v>
      </c>
      <c r="L123" s="20"/>
    </row>
    <row r="124" spans="1:13" ht="15.75" x14ac:dyDescent="0.25">
      <c r="A124" s="62" t="s">
        <v>102</v>
      </c>
      <c r="B124" s="18">
        <f t="shared" ref="B124:K124" si="29">B122/B120</f>
        <v>0.30735065511880966</v>
      </c>
      <c r="C124" s="18">
        <f t="shared" si="29"/>
        <v>0.28632980806893849</v>
      </c>
      <c r="D124" s="18">
        <f t="shared" si="29"/>
        <v>0.22646711303662859</v>
      </c>
      <c r="E124" s="18">
        <f t="shared" si="29"/>
        <v>0.27547300815830583</v>
      </c>
      <c r="F124" s="18">
        <f t="shared" si="29"/>
        <v>0.39368770764119604</v>
      </c>
      <c r="G124" s="72">
        <f t="shared" si="29"/>
        <v>0.2</v>
      </c>
      <c r="H124" s="72">
        <f t="shared" si="29"/>
        <v>0.2</v>
      </c>
      <c r="I124" s="72">
        <f t="shared" si="29"/>
        <v>0.2</v>
      </c>
      <c r="J124" s="72">
        <f t="shared" si="29"/>
        <v>0.2</v>
      </c>
      <c r="K124" s="72">
        <f t="shared" si="29"/>
        <v>0.2</v>
      </c>
      <c r="L124" s="20"/>
    </row>
    <row r="125" spans="1:13" ht="15.75" x14ac:dyDescent="0.25">
      <c r="A125" s="62" t="s">
        <v>89</v>
      </c>
      <c r="B125" s="114">
        <f t="shared" ref="B125:F125" si="30">C106</f>
        <v>258</v>
      </c>
      <c r="C125" s="114">
        <f t="shared" si="30"/>
        <v>1012</v>
      </c>
      <c r="D125" s="114">
        <f t="shared" si="30"/>
        <v>1130</v>
      </c>
      <c r="E125" s="114">
        <f t="shared" si="30"/>
        <v>1233</v>
      </c>
      <c r="F125" s="114">
        <f t="shared" si="30"/>
        <v>1438</v>
      </c>
      <c r="G125" s="115">
        <f>AVERAGE(B125:F125)</f>
        <v>1014.2</v>
      </c>
      <c r="H125" s="115">
        <f t="shared" ref="H125:K125" si="31">AVERAGE(A125:G125)</f>
        <v>1014.1999999999999</v>
      </c>
      <c r="I125" s="115">
        <f t="shared" si="31"/>
        <v>1014.1999999999999</v>
      </c>
      <c r="J125" s="115">
        <f t="shared" si="31"/>
        <v>1122.2285714285713</v>
      </c>
      <c r="K125" s="115">
        <f t="shared" si="31"/>
        <v>1137.9755102040815</v>
      </c>
      <c r="L125" s="20"/>
    </row>
    <row r="126" spans="1:13" ht="15.75" x14ac:dyDescent="0.25">
      <c r="A126" s="62" t="s">
        <v>103</v>
      </c>
      <c r="B126" s="18">
        <f t="shared" ref="B126:F126" si="32">B125/B113</f>
        <v>3.0913012221423435E-2</v>
      </c>
      <c r="C126" s="18">
        <f t="shared" si="32"/>
        <v>0.10682993771772406</v>
      </c>
      <c r="D126" s="18">
        <f t="shared" si="32"/>
        <v>0.11689252094755354</v>
      </c>
      <c r="E126" s="18">
        <f t="shared" si="32"/>
        <v>0.11442093541202672</v>
      </c>
      <c r="F126" s="18">
        <f t="shared" si="32"/>
        <v>0.1150676162278947</v>
      </c>
      <c r="G126" s="71">
        <f t="shared" ref="G126:K126" si="33">SUM(B126+C126+D126+E126+F126)/4</f>
        <v>0.1210310056316556</v>
      </c>
      <c r="H126" s="71">
        <f t="shared" si="33"/>
        <v>0.14356050398421366</v>
      </c>
      <c r="I126" s="71">
        <f t="shared" si="33"/>
        <v>0.15274314555083607</v>
      </c>
      <c r="J126" s="71">
        <f t="shared" si="33"/>
        <v>0.16170580170165669</v>
      </c>
      <c r="K126" s="71">
        <f t="shared" si="33"/>
        <v>0.17352701827406417</v>
      </c>
      <c r="L126" s="20"/>
    </row>
    <row r="127" spans="1:13" ht="15.75" x14ac:dyDescent="0.25">
      <c r="A127" s="62" t="s">
        <v>104</v>
      </c>
      <c r="B127" s="112">
        <v>299</v>
      </c>
      <c r="C127" s="112">
        <v>334</v>
      </c>
      <c r="D127" s="112">
        <v>342</v>
      </c>
      <c r="E127" s="112">
        <v>382</v>
      </c>
      <c r="F127" s="112">
        <v>423</v>
      </c>
      <c r="G127" s="115">
        <f t="shared" ref="G127:K127" si="34">SUM(B127:F127)/4</f>
        <v>445</v>
      </c>
      <c r="H127" s="115">
        <f t="shared" si="34"/>
        <v>481.5</v>
      </c>
      <c r="I127" s="115">
        <f t="shared" si="34"/>
        <v>518.375</v>
      </c>
      <c r="J127" s="115">
        <f t="shared" si="34"/>
        <v>562.46875</v>
      </c>
      <c r="K127" s="115">
        <f t="shared" si="34"/>
        <v>607.5859375</v>
      </c>
      <c r="L127" s="20"/>
    </row>
    <row r="128" spans="1:13" ht="15.75" x14ac:dyDescent="0.25">
      <c r="A128" s="62" t="s">
        <v>103</v>
      </c>
      <c r="B128" s="18">
        <f t="shared" ref="B128:K128" si="35">B127/B113</f>
        <v>3.5825545171339561E-2</v>
      </c>
      <c r="C128" s="18">
        <f t="shared" si="35"/>
        <v>3.525810197403146E-2</v>
      </c>
      <c r="D128" s="18">
        <f t="shared" si="35"/>
        <v>3.5378090410675495E-2</v>
      </c>
      <c r="E128" s="18">
        <f t="shared" si="35"/>
        <v>3.5449146250927988E-2</v>
      </c>
      <c r="F128" s="18">
        <f t="shared" si="35"/>
        <v>3.3848123549651915E-2</v>
      </c>
      <c r="G128" s="71">
        <f t="shared" si="35"/>
        <v>3.191021348037458E-2</v>
      </c>
      <c r="H128" s="71">
        <f t="shared" si="35"/>
        <v>3.0848479061757139E-2</v>
      </c>
      <c r="I128" s="71">
        <f t="shared" si="35"/>
        <v>2.9497573448410898E-2</v>
      </c>
      <c r="J128" s="71">
        <f t="shared" si="35"/>
        <v>2.8443190350035223E-2</v>
      </c>
      <c r="K128" s="71">
        <f t="shared" si="35"/>
        <v>2.7351622728257481E-2</v>
      </c>
      <c r="L128" s="20"/>
    </row>
    <row r="129" spans="1:19" ht="15.75" x14ac:dyDescent="0.25">
      <c r="A129" s="62" t="s">
        <v>105</v>
      </c>
      <c r="B129" s="114">
        <f t="shared" ref="B129:F129" si="36">C32+C35+C41+C42-C66-C67-C70-C71</f>
        <v>-725</v>
      </c>
      <c r="C129" s="114">
        <f t="shared" si="36"/>
        <v>-572</v>
      </c>
      <c r="D129" s="114">
        <f>E32+E35+E41+E42-E66-E67-E70-E71</f>
        <v>-1418</v>
      </c>
      <c r="E129" s="114">
        <f t="shared" si="36"/>
        <v>-1616</v>
      </c>
      <c r="F129" s="114">
        <f t="shared" si="36"/>
        <v>-1730</v>
      </c>
      <c r="G129" s="115">
        <f t="shared" ref="G129:K129" si="37">SUM(B129:F129)/4</f>
        <v>-1515.25</v>
      </c>
      <c r="H129" s="115">
        <f t="shared" si="37"/>
        <v>-1712.8125</v>
      </c>
      <c r="I129" s="115">
        <f t="shared" si="37"/>
        <v>-1998.015625</v>
      </c>
      <c r="J129" s="115">
        <f t="shared" si="37"/>
        <v>-2143.01953125</v>
      </c>
      <c r="K129" s="115">
        <f t="shared" si="37"/>
        <v>-2274.7744140625</v>
      </c>
      <c r="L129" s="20"/>
    </row>
    <row r="130" spans="1:19" ht="15.75" x14ac:dyDescent="0.25">
      <c r="A130" s="62" t="s">
        <v>103</v>
      </c>
      <c r="B130" s="17"/>
      <c r="C130" s="18">
        <f t="shared" ref="C130:F130" si="38">B129/C113</f>
        <v>-7.6533305183152114E-2</v>
      </c>
      <c r="D130" s="18">
        <f t="shared" si="38"/>
        <v>-5.9170373435398778E-2</v>
      </c>
      <c r="E130" s="18">
        <f t="shared" si="38"/>
        <v>-0.1315887156644395</v>
      </c>
      <c r="F130" s="18">
        <f t="shared" si="38"/>
        <v>-0.12931103464831559</v>
      </c>
      <c r="G130" s="71">
        <f t="shared" ref="G130:K130" si="39">AVERAGE(C130:F130)</f>
        <v>-9.9150857232826489E-2</v>
      </c>
      <c r="H130" s="71">
        <f t="shared" si="39"/>
        <v>-0.10480524524524509</v>
      </c>
      <c r="I130" s="71">
        <f t="shared" si="39"/>
        <v>-0.11621396319770667</v>
      </c>
      <c r="J130" s="71">
        <f t="shared" si="39"/>
        <v>-0.11237027508102346</v>
      </c>
      <c r="K130" s="71">
        <f t="shared" si="39"/>
        <v>-0.10813508518920043</v>
      </c>
      <c r="L130" s="20"/>
    </row>
    <row r="131" spans="1:19" ht="15.75" x14ac:dyDescent="0.25">
      <c r="A131" s="62" t="s">
        <v>106</v>
      </c>
      <c r="B131" s="17"/>
      <c r="C131" s="17"/>
      <c r="D131" s="114">
        <f t="shared" ref="D131:K131" si="40">C129-B129</f>
        <v>153</v>
      </c>
      <c r="E131" s="114">
        <f t="shared" si="40"/>
        <v>-846</v>
      </c>
      <c r="F131" s="114">
        <f t="shared" si="40"/>
        <v>-198</v>
      </c>
      <c r="G131" s="115">
        <f t="shared" si="40"/>
        <v>-114</v>
      </c>
      <c r="H131" s="115">
        <f t="shared" si="40"/>
        <v>214.75</v>
      </c>
      <c r="I131" s="115">
        <f t="shared" si="40"/>
        <v>-197.5625</v>
      </c>
      <c r="J131" s="115">
        <f t="shared" si="40"/>
        <v>-285.203125</v>
      </c>
      <c r="K131" s="115">
        <f t="shared" si="40"/>
        <v>-145.00390625</v>
      </c>
      <c r="L131" s="20"/>
    </row>
    <row r="132" spans="1:19" ht="15.75" x14ac:dyDescent="0.25">
      <c r="A132" s="62" t="s">
        <v>107</v>
      </c>
      <c r="B132" s="17"/>
      <c r="C132" s="17"/>
      <c r="D132" s="114">
        <f t="shared" ref="D132:K132" si="41">D120-D122+D125-D127-D131</f>
        <v>4563</v>
      </c>
      <c r="E132" s="114">
        <f t="shared" si="41"/>
        <v>5871</v>
      </c>
      <c r="F132" s="114">
        <f t="shared" si="41"/>
        <v>5228</v>
      </c>
      <c r="G132" s="115">
        <f t="shared" si="41"/>
        <v>8049.2626746576661</v>
      </c>
      <c r="H132" s="115">
        <f t="shared" si="41"/>
        <v>9556.0121346595406</v>
      </c>
      <c r="I132" s="115">
        <f t="shared" si="41"/>
        <v>11039.282874481622</v>
      </c>
      <c r="J132" s="115">
        <f t="shared" si="41"/>
        <v>12860.993279979812</v>
      </c>
      <c r="K132" s="115">
        <f t="shared" si="41"/>
        <v>14598.047437412561</v>
      </c>
      <c r="L132" s="20"/>
      <c r="M132" s="23"/>
      <c r="N132" s="23"/>
      <c r="O132" s="23"/>
      <c r="P132" s="23"/>
      <c r="Q132" s="23"/>
      <c r="R132" s="23"/>
      <c r="S132" s="23"/>
    </row>
    <row r="133" spans="1:19" ht="15.75" x14ac:dyDescent="0.25">
      <c r="A133" s="62" t="s">
        <v>108</v>
      </c>
      <c r="B133" s="17"/>
      <c r="C133" s="17"/>
      <c r="D133" s="112"/>
      <c r="E133" s="112"/>
      <c r="F133" s="114"/>
      <c r="G133" s="115"/>
      <c r="H133" s="115"/>
      <c r="I133" s="115"/>
      <c r="J133" s="115"/>
      <c r="K133" s="115">
        <f>B136*K120</f>
        <v>261049.7617210965</v>
      </c>
      <c r="L133" s="20"/>
    </row>
    <row r="134" spans="1:19" ht="15.75" x14ac:dyDescent="0.25">
      <c r="A134" s="62" t="s">
        <v>109</v>
      </c>
      <c r="B134" s="17"/>
      <c r="C134" s="17"/>
      <c r="D134" s="112"/>
      <c r="E134" s="112"/>
      <c r="F134" s="114">
        <f>F132</f>
        <v>5228</v>
      </c>
      <c r="G134" s="115">
        <f t="shared" ref="G134:J134" si="42">G132</f>
        <v>8049.2626746576661</v>
      </c>
      <c r="H134" s="115">
        <f t="shared" si="42"/>
        <v>9556.0121346595406</v>
      </c>
      <c r="I134" s="115">
        <f t="shared" si="42"/>
        <v>11039.282874481622</v>
      </c>
      <c r="J134" s="115">
        <f t="shared" si="42"/>
        <v>12860.993279979812</v>
      </c>
      <c r="K134" s="115">
        <f>K132+K133</f>
        <v>275647.80915850907</v>
      </c>
      <c r="L134" s="20"/>
    </row>
    <row r="135" spans="1:19" ht="15.75" x14ac:dyDescent="0.25">
      <c r="A135" s="62" t="s">
        <v>110</v>
      </c>
      <c r="B135" s="17"/>
      <c r="C135" s="17"/>
      <c r="D135" s="17"/>
      <c r="E135" s="17"/>
      <c r="F135" s="26">
        <f>$B$145</f>
        <v>6.5835175879396982E-2</v>
      </c>
      <c r="G135" s="73">
        <f>$B$145</f>
        <v>6.5835175879396982E-2</v>
      </c>
      <c r="H135" s="73">
        <f>$B$145</f>
        <v>6.5835175879396982E-2</v>
      </c>
      <c r="I135" s="73">
        <f>$B$145</f>
        <v>6.5835175879396982E-2</v>
      </c>
      <c r="J135" s="73">
        <f>$B$145</f>
        <v>6.5835175879396982E-2</v>
      </c>
      <c r="K135" s="73">
        <f>$B$145</f>
        <v>6.5835175879396982E-2</v>
      </c>
      <c r="L135" s="20"/>
    </row>
    <row r="136" spans="1:19" ht="15.75" x14ac:dyDescent="0.25">
      <c r="A136" s="27" t="s">
        <v>111</v>
      </c>
      <c r="B136" s="28">
        <v>15</v>
      </c>
      <c r="C136" s="17"/>
      <c r="D136" s="17"/>
      <c r="E136" s="17"/>
      <c r="F136" s="17"/>
      <c r="G136" s="74"/>
      <c r="H136" s="73"/>
      <c r="I136" s="73"/>
      <c r="J136" s="73"/>
      <c r="K136" s="73"/>
      <c r="L136" s="29"/>
    </row>
    <row r="137" spans="1:19" ht="15.75" x14ac:dyDescent="0.25">
      <c r="A137" s="20"/>
      <c r="B137" s="30"/>
      <c r="D137" s="20"/>
      <c r="E137" s="20"/>
      <c r="F137" s="20"/>
      <c r="G137" s="20"/>
      <c r="H137" s="31"/>
      <c r="I137" s="20"/>
      <c r="J137" s="20"/>
      <c r="K137" s="20"/>
      <c r="L137" s="20"/>
    </row>
    <row r="138" spans="1:19" ht="15.75" hidden="1" x14ac:dyDescent="0.25">
      <c r="A138" s="32"/>
      <c r="B138" s="33"/>
      <c r="C138" s="34"/>
      <c r="D138" s="20"/>
      <c r="E138" s="20"/>
      <c r="F138" s="20"/>
      <c r="G138" s="20"/>
      <c r="H138" s="31"/>
      <c r="I138" s="20"/>
      <c r="J138" s="20"/>
      <c r="K138" s="20"/>
      <c r="L138" s="20"/>
    </row>
    <row r="139" spans="1:19" ht="15.75" hidden="1" x14ac:dyDescent="0.25">
      <c r="A139" s="17"/>
      <c r="B139" s="35"/>
      <c r="C139" s="34"/>
      <c r="D139" s="20"/>
      <c r="E139" s="20"/>
      <c r="F139" s="20"/>
      <c r="G139" s="20"/>
      <c r="H139" s="31"/>
      <c r="I139" s="20"/>
      <c r="J139" s="20"/>
      <c r="K139" s="20"/>
      <c r="L139" s="20"/>
    </row>
    <row r="140" spans="1:19" ht="18.75" x14ac:dyDescent="0.3">
      <c r="A140" s="123" t="s">
        <v>145</v>
      </c>
      <c r="B140" s="126">
        <v>174.27</v>
      </c>
      <c r="D140" s="66" t="s">
        <v>129</v>
      </c>
      <c r="E140" s="68"/>
    </row>
    <row r="141" spans="1:19" ht="15.75" x14ac:dyDescent="0.25">
      <c r="A141" s="19" t="s">
        <v>127</v>
      </c>
      <c r="B141" s="120">
        <v>1072</v>
      </c>
      <c r="D141" s="36" t="s">
        <v>124</v>
      </c>
      <c r="E141" s="36">
        <v>1.3</v>
      </c>
    </row>
    <row r="142" spans="1:19" ht="15.75" x14ac:dyDescent="0.25">
      <c r="A142" s="19" t="s">
        <v>114</v>
      </c>
      <c r="B142" s="121">
        <v>6.0999999999999999E-2</v>
      </c>
      <c r="D142" s="36" t="s">
        <v>125</v>
      </c>
      <c r="E142" s="26">
        <v>5.5E-2</v>
      </c>
    </row>
    <row r="143" spans="1:19" ht="15.75" x14ac:dyDescent="0.25">
      <c r="A143" s="19" t="s">
        <v>115</v>
      </c>
      <c r="B143" s="22">
        <f>B142*(1-G123)</f>
        <v>4.8800000000000003E-2</v>
      </c>
      <c r="D143" s="36" t="s">
        <v>126</v>
      </c>
      <c r="E143" s="26">
        <v>1.12E-2</v>
      </c>
    </row>
    <row r="144" spans="1:19" ht="15.75" x14ac:dyDescent="0.25">
      <c r="A144" s="19" t="s">
        <v>116</v>
      </c>
      <c r="B144" s="121">
        <f>E143+E142*E141</f>
        <v>8.270000000000001E-2</v>
      </c>
      <c r="E144" s="38"/>
      <c r="I144" s="39"/>
    </row>
    <row r="145" spans="1:8" ht="15.75" x14ac:dyDescent="0.25">
      <c r="A145" s="19" t="s">
        <v>110</v>
      </c>
      <c r="B145" s="22">
        <f>B143*E147+B144*E148</f>
        <v>6.5835175879396982E-2</v>
      </c>
      <c r="D145" s="66" t="s">
        <v>137</v>
      </c>
      <c r="E145" s="68"/>
    </row>
    <row r="146" spans="1:8" ht="18.75" x14ac:dyDescent="0.3">
      <c r="A146" s="123" t="s">
        <v>117</v>
      </c>
      <c r="B146" s="124">
        <f>NPV(B145,F134:K134)</f>
        <v>225811.93107374353</v>
      </c>
      <c r="D146" s="17" t="s">
        <v>128</v>
      </c>
      <c r="E146" s="17">
        <v>0.99</v>
      </c>
      <c r="H146" s="15"/>
    </row>
    <row r="147" spans="1:8" ht="15.75" x14ac:dyDescent="0.25">
      <c r="A147" s="19" t="s">
        <v>118</v>
      </c>
      <c r="B147" s="122">
        <f>G72+G73+G65+G64-G29-G30</f>
        <v>5880</v>
      </c>
      <c r="D147" s="17" t="s">
        <v>112</v>
      </c>
      <c r="E147" s="37">
        <f>0.99/(1+0.99)</f>
        <v>0.49748743718592964</v>
      </c>
      <c r="F147" s="40"/>
      <c r="G147" s="40"/>
      <c r="H147" s="40"/>
    </row>
    <row r="148" spans="1:8" ht="15.75" x14ac:dyDescent="0.25">
      <c r="A148" s="19" t="s">
        <v>119</v>
      </c>
      <c r="B148" s="119">
        <f>B146-B147</f>
        <v>219931.93107374353</v>
      </c>
      <c r="D148" s="17" t="s">
        <v>113</v>
      </c>
      <c r="E148" s="37">
        <f>1-E147</f>
        <v>0.50251256281407031</v>
      </c>
      <c r="F148" s="40"/>
      <c r="G148" s="40"/>
      <c r="H148" s="40"/>
    </row>
    <row r="149" spans="1:8" ht="15.75" x14ac:dyDescent="0.25">
      <c r="A149" s="19" t="s">
        <v>120</v>
      </c>
      <c r="B149" s="120">
        <f>G20</f>
        <v>1072</v>
      </c>
      <c r="D149" s="40"/>
      <c r="E149" s="40"/>
      <c r="F149" s="40"/>
      <c r="G149" s="40"/>
      <c r="H149" s="40"/>
    </row>
    <row r="150" spans="1:8" ht="18.75" x14ac:dyDescent="0.3">
      <c r="A150" s="123" t="s">
        <v>121</v>
      </c>
      <c r="B150" s="124">
        <f>B148/B149</f>
        <v>205.16038346431299</v>
      </c>
      <c r="D150" s="40"/>
      <c r="E150" s="40"/>
      <c r="F150" s="40"/>
      <c r="G150" s="40"/>
      <c r="H150" s="40"/>
    </row>
    <row r="151" spans="1:8" ht="18.75" x14ac:dyDescent="0.3">
      <c r="A151" s="88" t="s">
        <v>122</v>
      </c>
      <c r="B151" s="125">
        <f>(B150-B140)/B140</f>
        <v>0.1772558872112984</v>
      </c>
    </row>
    <row r="154" spans="1:8" ht="15.75" hidden="1" x14ac:dyDescent="0.25">
      <c r="A154" s="42"/>
      <c r="B154" s="17"/>
    </row>
    <row r="155" spans="1:8" ht="15.75" hidden="1" x14ac:dyDescent="0.25">
      <c r="A155" s="42"/>
      <c r="B155" s="43"/>
    </row>
    <row r="156" spans="1:8" ht="12.95" hidden="1" customHeight="1" x14ac:dyDescent="0.25">
      <c r="A156" s="44"/>
      <c r="B156" s="45"/>
    </row>
    <row r="158" spans="1:8" ht="18" customHeight="1" x14ac:dyDescent="0.25">
      <c r="A158" s="46"/>
    </row>
    <row r="162" spans="2:11" ht="15" customHeight="1" x14ac:dyDescent="0.25">
      <c r="B162" s="47"/>
      <c r="C162" s="20"/>
    </row>
    <row r="163" spans="2:11" ht="15" customHeight="1" x14ac:dyDescent="0.25">
      <c r="B163" s="47"/>
      <c r="C163" s="20"/>
    </row>
    <row r="164" spans="2:11" ht="15.75" x14ac:dyDescent="0.25">
      <c r="J164" s="48"/>
    </row>
    <row r="165" spans="2:11" ht="15.75" x14ac:dyDescent="0.25">
      <c r="J165" s="49"/>
      <c r="K165" s="49"/>
    </row>
    <row r="166" spans="2:11" ht="15.75" x14ac:dyDescent="0.25">
      <c r="J166" s="7"/>
      <c r="K166" s="50"/>
    </row>
    <row r="167" spans="2:11" ht="15.75" x14ac:dyDescent="0.25">
      <c r="J167" s="7"/>
      <c r="K167" s="50"/>
    </row>
    <row r="168" spans="2:11" ht="15.75" x14ac:dyDescent="0.25">
      <c r="J168" s="7"/>
      <c r="K168" s="50"/>
    </row>
    <row r="169" spans="2:11" ht="15.75" hidden="1" x14ac:dyDescent="0.25"/>
    <row r="170" spans="2:11" ht="15.75" hidden="1" x14ac:dyDescent="0.25"/>
    <row r="171" spans="2:11" ht="15.75" hidden="1" x14ac:dyDescent="0.25"/>
    <row r="172" spans="2:11" ht="15.75" hidden="1" x14ac:dyDescent="0.25"/>
    <row r="173" spans="2:11" ht="15.75" hidden="1" x14ac:dyDescent="0.25"/>
    <row r="174" spans="2:11" ht="15.75" hidden="1" x14ac:dyDescent="0.25"/>
    <row r="175" spans="2:11" ht="15.75" hidden="1" x14ac:dyDescent="0.25"/>
    <row r="182" spans="1:7" ht="15.75" hidden="1" x14ac:dyDescent="0.25"/>
    <row r="183" spans="1:7" ht="15.75" hidden="1" x14ac:dyDescent="0.25">
      <c r="A183" s="51"/>
      <c r="B183" s="51"/>
      <c r="C183" s="52"/>
      <c r="D183" s="53"/>
      <c r="E183" s="53"/>
      <c r="F183" s="53"/>
      <c r="G183" s="54"/>
    </row>
    <row r="184" spans="1:7" ht="15.75" hidden="1" x14ac:dyDescent="0.25">
      <c r="A184" s="51"/>
      <c r="B184" s="55"/>
      <c r="C184" s="56"/>
      <c r="D184" s="56"/>
      <c r="E184" s="56"/>
      <c r="F184" s="56"/>
      <c r="G184" s="56"/>
    </row>
    <row r="185" spans="1:7" ht="15.75" hidden="1" x14ac:dyDescent="0.25">
      <c r="A185" s="57"/>
      <c r="B185" s="58"/>
      <c r="C185" s="55"/>
      <c r="D185" s="55"/>
      <c r="E185" s="55"/>
      <c r="F185" s="55"/>
      <c r="G185" s="55"/>
    </row>
    <row r="186" spans="1:7" ht="15.75" hidden="1" x14ac:dyDescent="0.25">
      <c r="A186" s="59"/>
      <c r="B186" s="58"/>
      <c r="C186" s="60"/>
      <c r="D186" s="60"/>
      <c r="E186" s="55"/>
      <c r="F186" s="55"/>
      <c r="G186" s="55"/>
    </row>
    <row r="187" spans="1:7" ht="15.75" hidden="1" x14ac:dyDescent="0.25">
      <c r="A187" s="59"/>
      <c r="B187" s="58"/>
      <c r="C187" s="55"/>
      <c r="D187" s="55"/>
      <c r="E187" s="55"/>
      <c r="F187" s="55"/>
      <c r="G187" s="55"/>
    </row>
    <row r="188" spans="1:7" ht="15.75" hidden="1" x14ac:dyDescent="0.25">
      <c r="A188" s="59"/>
      <c r="B188" s="58"/>
      <c r="C188" s="55"/>
      <c r="D188" s="55"/>
      <c r="E188" s="55"/>
      <c r="F188" s="55"/>
      <c r="G188" s="55"/>
    </row>
    <row r="189" spans="1:7" ht="15.75" hidden="1" x14ac:dyDescent="0.25">
      <c r="A189" s="61"/>
      <c r="B189" s="58"/>
      <c r="C189" s="55"/>
      <c r="D189" s="55"/>
      <c r="E189" s="55"/>
      <c r="F189" s="55"/>
      <c r="G189" s="55"/>
    </row>
    <row r="190" spans="1:7" ht="15.75" hidden="1" x14ac:dyDescent="0.25"/>
    <row r="191" spans="1:7" ht="15.75" hidden="1" x14ac:dyDescent="0.25"/>
    <row r="192" spans="1:7" ht="15.75" hidden="1" x14ac:dyDescent="0.25"/>
  </sheetData>
  <mergeCells count="15">
    <mergeCell ref="C4:G4"/>
    <mergeCell ref="A1:K1"/>
    <mergeCell ref="B23:K23"/>
    <mergeCell ref="A27:B27"/>
    <mergeCell ref="A2:K2"/>
    <mergeCell ref="A3:K3"/>
    <mergeCell ref="A4:B4"/>
    <mergeCell ref="A5:B5"/>
    <mergeCell ref="A101:G101"/>
    <mergeCell ref="A108:G108"/>
    <mergeCell ref="D145:E145"/>
    <mergeCell ref="D140:E140"/>
    <mergeCell ref="B111:F111"/>
    <mergeCell ref="G111:K111"/>
    <mergeCell ref="A104:G104"/>
  </mergeCells>
  <hyperlinks>
    <hyperlink ref="A28" r:id="rId1"/>
    <hyperlink ref="A31" r:id="rId2"/>
    <hyperlink ref="A60" r:id="rId3" display=" Total Assets"/>
    <hyperlink ref="A66" r:id="rId4" display=" Accounts Payable"/>
    <hyperlink ref="A72" r:id="rId5" display=" Total Current Liabilities"/>
    <hyperlink ref="A85" r:id="rId6" display=" Total Liabilities"/>
    <hyperlink ref="A90" r:id="rId7" display=" Common Equity (Total)"/>
    <hyperlink ref="A98" r:id="rId8" display=" Total Shareholders' Equity"/>
  </hyperlink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 of Mastercard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Kyoung Heo</cp:lastModifiedBy>
  <dcterms:created xsi:type="dcterms:W3CDTF">2018-04-15T00:26:11Z</dcterms:created>
  <dcterms:modified xsi:type="dcterms:W3CDTF">2018-04-16T21:10:34Z</dcterms:modified>
</cp:coreProperties>
</file>